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drawings/drawing4.xml" ContentType="application/vnd.openxmlformats-officedocument.drawing+xml"/>
  <Override PartName="/xl/worksheets/sheet43.xml" ContentType="application/vnd.openxmlformats-officedocument.spreadsheetml.worksheet+xml"/>
  <Override PartName="/xl/drawings/drawing5.xml" ContentType="application/vnd.openxmlformats-officedocument.drawing+xml"/>
  <Override PartName="/xl/worksheets/sheet44.xml" ContentType="application/vnd.openxmlformats-officedocument.spreadsheetml.worksheet+xml"/>
  <Override PartName="/xl/drawings/drawing6.xml" ContentType="application/vnd.openxmlformats-officedocument.drawing+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comments2.xml" ContentType="application/vnd.openxmlformats-officedocument.spreadsheetml.comments+xml"/>
  <Override PartName="/xl/worksheets/sheet56.xml" ContentType="application/vnd.openxmlformats-officedocument.spreadsheetml.worksheet+xml"/>
  <Override PartName="/xl/worksheets/sheet57.xml" ContentType="application/vnd.openxmlformats-officedocument.spreadsheetml.worksheet+xml"/>
  <Override PartName="/xl/comments3.xml" ContentType="application/vnd.openxmlformats-officedocument.spreadsheetml.comments+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70" activeTab="13"/>
  </bookViews>
  <sheets>
    <sheet name="Инструкция" sheetId="1" r:id="rId2"/>
    <sheet name="Титульный" sheetId="2" r:id="rId3"/>
    <sheet name="Список территорий" sheetId="3" r:id="rId4"/>
    <sheet name="Дифференциация" sheetId="4" state="hidden" r:id="rId5"/>
    <sheet name="Перечень тарифов" sheetId="5"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Резерв мощности" sheetId="13" state="hidden" r:id="rId14"/>
    <sheet name="ТС. Т-ТН" sheetId="14" r:id="rId15"/>
    <sheet name="ТС. Т-передача ТЭ" sheetId="15" state="hidden" r:id="rId16"/>
    <sheet name="ТС. Т-передача ТН" sheetId="16" state="hidden" r:id="rId17"/>
    <sheet name="ТС. Т-гор.вода" sheetId="17" state="hidden" r:id="rId18"/>
    <sheet name="ТС. Т-подкл" sheetId="18" state="hidden" r:id="rId19"/>
    <sheet name="ХВС. Т-пит" sheetId="19" state="hidden" r:id="rId20"/>
    <sheet name="ХВС. Т-тех" sheetId="20" state="hidden" r:id="rId21"/>
    <sheet name="ХВС. Т-транс" sheetId="21" state="hidden" r:id="rId22"/>
    <sheet name="ХВС. Т-подвоз" sheetId="22" state="hidden" r:id="rId23"/>
    <sheet name="ХВС. Т-подкл" sheetId="23" state="hidden" r:id="rId24"/>
    <sheet name="ВО. Т-во" sheetId="24" state="hidden" r:id="rId25"/>
    <sheet name="ВО. Т-транс" sheetId="25" state="hidden" r:id="rId26"/>
    <sheet name="ВО. Т-подкл" sheetId="26" state="hidden" r:id="rId27"/>
    <sheet name="ГВС. Т-гор.вода" sheetId="27" state="hidden" r:id="rId28"/>
    <sheet name="ГВС. Т-транс" sheetId="28" state="hidden" r:id="rId29"/>
    <sheet name="ГВС. Т-подкл" sheetId="29" state="hidden" r:id="rId30"/>
    <sheet name="Показатели ФХД" sheetId="30" state="hidden" r:id="rId31"/>
    <sheet name="Показатели ФХД &gt;20%" sheetId="31" state="hidden" r:id="rId32"/>
    <sheet name="ТКО. Показатели ФХД" sheetId="32" state="hidden" r:id="rId33"/>
    <sheet name="ТКО. Транс. Показатели ФХД" sheetId="33" state="hidden" r:id="rId34"/>
    <sheet name="Показатели КНЭ" sheetId="34" state="hidden" r:id="rId35"/>
    <sheet name="Ограничения" sheetId="35" state="hidden" r:id="rId36"/>
    <sheet name="ИП" sheetId="36" state="hidden" r:id="rId37"/>
    <sheet name="ИП. Детализация" sheetId="37" state="hidden" r:id="rId38"/>
    <sheet name="ИП. Финансовый план" sheetId="38" state="hidden" r:id="rId39"/>
    <sheet name="ИП. КНЭ" sheetId="39" state="hidden" r:id="rId40"/>
    <sheet name="ТП" sheetId="40" state="hidden" r:id="rId41"/>
    <sheet name="Договоры" sheetId="41" state="hidden" r:id="rId42"/>
    <sheet name="Порядок ТП" sheetId="42" r:id="rId43"/>
    <sheet name="Предложение" sheetId="43" state="hidden" r:id="rId44"/>
    <sheet name="Сведения о закупках" sheetId="44" state="hidden" r:id="rId45"/>
    <sheet name="Потребительские характеристики" sheetId="45" state="hidden" r:id="rId46"/>
    <sheet name="ЭД" sheetId="46" state="hidden" r:id="rId47"/>
    <sheet name="Сведения об изменении" sheetId="47" r:id="rId48"/>
    <sheet name="Орган регулирования" sheetId="48" state="hidden" r:id="rId49"/>
    <sheet name="Перечень организаций" sheetId="49" state="hidden" r:id="rId50"/>
    <sheet name="Дела об установлении тарифов" sheetId="50" state="hidden" r:id="rId51"/>
    <sheet name="Привлечение к ответственности" sheetId="51" state="hidden" r:id="rId52"/>
    <sheet name="Комментарии" sheetId="52" r:id="rId53"/>
    <sheet name="Проверка" sheetId="53" state="hidden" r:id="rId54"/>
    <sheet name="et_union_hor" sheetId="54" state="hidden" r:id="rId55"/>
    <sheet name="TEHSHEET" sheetId="55" state="hidden" r:id="rId56"/>
    <sheet name="DATA_FORMS" sheetId="56" state="hidden" r:id="rId57"/>
    <sheet name="DATA_NPA" sheetId="57" state="hidden" r:id="rId58"/>
    <sheet name="Т-ТЭ | потр" sheetId="58" state="hidden" r:id="rId59"/>
    <sheet name="Т-ТЭ | предел" sheetId="59" state="hidden" r:id="rId60"/>
    <sheet name="Т-ТЭ | индикат" sheetId="60" state="hidden" r:id="rId61"/>
    <sheet name="Т-подкл(инд)" sheetId="61" state="hidden" r:id="rId62"/>
    <sheet name="modMainProcedures" sheetId="62" state="hidden" r:id="rId63"/>
    <sheet name="modB_FHD" sheetId="63" state="hidden" r:id="rId64"/>
    <sheet name="modB_FHD20" sheetId="64" state="hidden" r:id="rId65"/>
    <sheet name="modB_KNE" sheetId="65" state="hidden" r:id="rId66"/>
    <sheet name="modIP_MAIN" sheetId="66" state="hidden" r:id="rId67"/>
    <sheet name="modIP_QRE" sheetId="67" state="hidden" r:id="rId68"/>
    <sheet name="modIP_DETAILED" sheetId="68" state="hidden" r:id="rId69"/>
    <sheet name="et_union_vert" sheetId="69" state="hidden" r:id="rId70"/>
    <sheet name="Легенда" sheetId="70" state="hidden" r:id="rId71"/>
    <sheet name="modfrmListIP" sheetId="71" state="hidden" r:id="rId72"/>
    <sheet name="modfrmActivity" sheetId="72" state="hidden" r:id="rId73"/>
    <sheet name="REESTR_ORG" sheetId="73" state="hidden" r:id="rId74"/>
    <sheet name="REESTR_MO" sheetId="74" state="hidden" r:id="rId75"/>
    <sheet name="REESTR_IP" sheetId="75" state="hidden" r:id="rId76"/>
    <sheet name="REESTR_OBJ_INFR" sheetId="76" state="hidden" r:id="rId77"/>
    <sheet name="REESTR_DS" sheetId="77" state="hidden" r:id="rId78"/>
    <sheet name="REESTR_VT" sheetId="78" state="hidden" r:id="rId79"/>
    <sheet name="REESTR_VED" sheetId="79" state="hidden" r:id="rId80"/>
    <sheet name="REESTR_MO_FILTER" sheetId="80" state="hidden" r:id="rId81"/>
    <sheet name="REESTR_LINK" sheetId="81" state="hidden" r:id="rId82"/>
    <sheet name="modSheetMain" sheetId="82" state="hidden" r:id="rId83"/>
    <sheet name="modfrmReportMode" sheetId="83" state="hidden" r:id="rId84"/>
    <sheet name="modfrmReestrObj" sheetId="84" state="hidden" r:id="rId85"/>
    <sheet name="AllSheetsInThisWorkbook" sheetId="85" state="hidden" r:id="rId86"/>
    <sheet name="modInfo" sheetId="86" state="hidden" r:id="rId87"/>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Т-ТН'!$624:$627</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Т-ТН'!$628:$631</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тарифов'!$194:$218</definedName>
    <definedName name="BLOCK_PT_HEAT">'Перечень тарифов'!$13:$192</definedName>
    <definedName name="BLOCK_PT_HOTVSNA">'Перечень тарифов'!$220:$234</definedName>
    <definedName name="BLOCK_PT_VOTV">'Перечень тарифов'!$236:$250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территорий'!$E$72:$I$72</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тарифов'!$Z$12:$Z$252</definedName>
    <definedName name="DIFFERENTIATION_TARIFF_VD_ID">'Перечень тарифов'!$AB$12:$AB$252</definedName>
    <definedName name="DIFFERENTIATION_TARIFF_VTAR_ID">'Перечень тарифов'!$AA$12:$AA$252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Предложение!$L$84</definedName>
    <definedName name="OFFER_METHOD">Предложение!$K$24:$K$82</definedName>
    <definedName name="OFFER_METHOD_FLAG">TEHSHEET!$L$6</definedName>
    <definedName name="OFFER_TARIFF_A_1">Предложение!$24:$26</definedName>
    <definedName name="OFFER_TARIFF_A_2">Предложение!$86:$88</definedName>
    <definedName name="OFFER_TARIFF_A_3">Предложение!$146:$148</definedName>
    <definedName name="OFFER_TARIFF_A_4">Предложение!$206:$208</definedName>
    <definedName name="OFFER_TARIFF_A_5">Предложение!$266:$268</definedName>
    <definedName name="OFFER_TARIFF_A_COLDVSNA_1">Предложение!$50:$52</definedName>
    <definedName name="OFFER_TARIFF_A_COLDVSNA_2">Предложение!$112:$114</definedName>
    <definedName name="OFFER_TARIFF_A_COLDVSNA_3">Предложение!$172:$174</definedName>
    <definedName name="OFFER_TARIFF_A_COLDVSNA_4">Предложение!$232:$234</definedName>
    <definedName name="OFFER_TARIFF_A_COLDVSNA_5">Предложение!$292:$294</definedName>
    <definedName name="OFFER_TARIFF_A_HOTVSNA_1">Предложение!$65:$67</definedName>
    <definedName name="OFFER_TARIFF_A_HOTVSNA_2">Предложение!$127:$129</definedName>
    <definedName name="OFFER_TARIFF_A_HOTVSNA_3">Предложение!$187:$189</definedName>
    <definedName name="OFFER_TARIFF_A_HOTVSNA_4">Предложение!$247:$249</definedName>
    <definedName name="OFFER_TARIFF_A_HOTVSNA_5">Предложение!$307:$309</definedName>
    <definedName name="OFFER_TARIFF_A_VOTV_1">Предложение!$74:$76</definedName>
    <definedName name="OFFER_TARIFF_A_VOTV_2">Предложение!$136:$138</definedName>
    <definedName name="OFFER_TARIFF_A_VOTV_3">Предложение!$196:$198</definedName>
    <definedName name="OFFER_TARIFF_A_VOTV_4">Предложение!$256:$258</definedName>
    <definedName name="OFFER_TARIFF_A_VOTV_5">Предложение!$316:$318</definedName>
    <definedName name="OFFER_TARIFF_B_1">Предложение!$27:$29</definedName>
    <definedName name="OFFER_TARIFF_B_2">Предложение!$89:$91</definedName>
    <definedName name="OFFER_TARIFF_B_3">Предложение!$149:$151</definedName>
    <definedName name="OFFER_TARIFF_B_4">Предложение!$209:$211</definedName>
    <definedName name="OFFER_TARIFF_B_5">Предложение!$269:$271</definedName>
    <definedName name="OFFER_TARIFF_B_COLDVSNA_1">Предложение!$53:$55</definedName>
    <definedName name="OFFER_TARIFF_B_COLDVSNA_2">Предложение!$115:$117</definedName>
    <definedName name="OFFER_TARIFF_B_COLDVSNA_3">Предложение!$175:$177</definedName>
    <definedName name="OFFER_TARIFF_B_COLDVSNA_4">Предложение!$235:$237</definedName>
    <definedName name="OFFER_TARIFF_B_COLDVSNA_5">Предложение!$295:$297</definedName>
    <definedName name="OFFER_TARIFF_B_HOTVSNA_1">Предложение!$68:$70</definedName>
    <definedName name="OFFER_TARIFF_B_HOTVSNA_2">Предложение!$130:$132</definedName>
    <definedName name="OFFER_TARIFF_B_HOTVSNA_3">Предложение!$190:$192</definedName>
    <definedName name="OFFER_TARIFF_B_HOTVSNA_4">Предложение!$250:$252</definedName>
    <definedName name="OFFER_TARIFF_B_HOTVSNA_5">Предложение!$310:$312</definedName>
    <definedName name="OFFER_TARIFF_B_VOTV_1">Предложение!$77:$79</definedName>
    <definedName name="OFFER_TARIFF_B_VOTV_2">Предложение!$139:$141</definedName>
    <definedName name="OFFER_TARIFF_B_VOTV_3">Предложение!$199:$201</definedName>
    <definedName name="OFFER_TARIFF_B_VOTV_4">Предложение!$259:$261</definedName>
    <definedName name="OFFER_TARIFF_B_VOTV_5">Предложение!$319:$321</definedName>
    <definedName name="OFFER_TARIFF_C_1">Предложение!$30:$34</definedName>
    <definedName name="OFFER_TARIFF_C_2">Предложение!$92:$96</definedName>
    <definedName name="OFFER_TARIFF_C_3">Предложение!$152:$156</definedName>
    <definedName name="OFFER_TARIFF_C_4">Предложение!$212:$216</definedName>
    <definedName name="OFFER_TARIFF_C_5">Предложение!$272:$276</definedName>
    <definedName name="OFFER_TARIFF_C_COLDVSNA_1">Предложение!$56:$58</definedName>
    <definedName name="OFFER_TARIFF_C_COLDVSNA_2">Предложение!$118:$120</definedName>
    <definedName name="OFFER_TARIFF_C_COLDVSNA_3">Предложение!$178:$180</definedName>
    <definedName name="OFFER_TARIFF_C_COLDVSNA_4">Предложение!$238:$240</definedName>
    <definedName name="OFFER_TARIFF_C_COLDVSNA_5">Предложение!$298:$300</definedName>
    <definedName name="OFFER_TARIFF_C_HOTVSNA_1">Предложение!$71:$73</definedName>
    <definedName name="OFFER_TARIFF_C_HOTVSNA_2">Предложение!$133:$135</definedName>
    <definedName name="OFFER_TARIFF_C_HOTVSNA_3">Предложение!$193:$195</definedName>
    <definedName name="OFFER_TARIFF_C_HOTVSNA_4">Предложение!$253:$255</definedName>
    <definedName name="OFFER_TARIFF_C_HOTVSNA_5">Предложение!$313:$315</definedName>
    <definedName name="OFFER_TARIFF_C_VOTV_1">Предложение!$80:$82</definedName>
    <definedName name="OFFER_TARIFF_C_VOTV_2">Предложение!$142:$144</definedName>
    <definedName name="OFFER_TARIFF_C_VOTV_3">Предложение!$202:$204</definedName>
    <definedName name="OFFER_TARIFF_C_VOTV_4">Предложение!$262:$264</definedName>
    <definedName name="OFFER_TARIFF_C_VOTV_5">Предложение!$322:$324</definedName>
    <definedName name="OFFER_TARIFF_D_1">Предложение!$35:$37</definedName>
    <definedName name="OFFER_TARIFF_D_2">Предложение!$97:$99</definedName>
    <definedName name="OFFER_TARIFF_D_3">Предложение!$157:$159</definedName>
    <definedName name="OFFER_TARIFF_D_4">Предложение!$217:$219</definedName>
    <definedName name="OFFER_TARIFF_D_5">Предложение!$277:$279</definedName>
    <definedName name="OFFER_TARIFF_D_COLDVSNA_1">Предложение!$59:$61</definedName>
    <definedName name="OFFER_TARIFF_D_COLDVSNA_2">Предложение!$121:$123</definedName>
    <definedName name="OFFER_TARIFF_D_COLDVSNA_3">Предложение!$181:$183</definedName>
    <definedName name="OFFER_TARIFF_D_COLDVSNA_4">Предложение!$241:$243</definedName>
    <definedName name="OFFER_TARIFF_D_COLDVSNA_5">Предложение!$301:$303</definedName>
    <definedName name="OFFER_TARIFF_E_COLDVSNA_1">Предложение!$62:$64</definedName>
    <definedName name="OFFER_TARIFF_E_COLDVSNA_2">Предложение!$124:$126</definedName>
    <definedName name="OFFER_TARIFF_E_COLDVSNA_3">Предложение!$184:$186</definedName>
    <definedName name="OFFER_TARIFF_E_COLDVSNA_4">Предложение!$244:$246</definedName>
    <definedName name="OFFER_TARIFF_E_COLDVSNA_5">Предложение!$304:$306</definedName>
    <definedName name="OFFER_TARIFF_E1_1">Предложение!$38:$40</definedName>
    <definedName name="OFFER_TARIFF_E1_2">Предложение!$100:$102</definedName>
    <definedName name="OFFER_TARIFF_E1_3">Предложение!$160:$162</definedName>
    <definedName name="OFFER_TARIFF_E1_4">Предложение!$220:$222</definedName>
    <definedName name="OFFER_TARIFF_E1_5">Предложение!$280:$282</definedName>
    <definedName name="OFFER_TARIFF_E2_1">Предложение!$41:$43</definedName>
    <definedName name="OFFER_TARIFF_E2_2">Предложение!$103:$105</definedName>
    <definedName name="OFFER_TARIFF_E2_3">Предложение!$163:$165</definedName>
    <definedName name="OFFER_TARIFF_E2_4">Предложение!$223:$225</definedName>
    <definedName name="OFFER_TARIFF_E2_5">Предложение!$283:$285</definedName>
    <definedName name="OFFER_TARIFF_F_1">Предложение!$44:$46</definedName>
    <definedName name="OFFER_TARIFF_F_2">Предложение!$106:$108</definedName>
    <definedName name="OFFER_TARIFF_F_3">Предложение!$166:$168</definedName>
    <definedName name="OFFER_TARIFF_F_4">Предложение!$226:$228</definedName>
    <definedName name="OFFER_TARIFF_F_5">Предложение!$286:$288</definedName>
    <definedName name="OFFER_TARIFF_G_1">Предложение!$47:$49</definedName>
    <definedName name="OFFER_TARIFF_G_2">Предложение!$109:$111</definedName>
    <definedName name="OFFER_TARIFF_G_3">Предложение!$169:$171</definedName>
    <definedName name="OFFER_TARIFF_G_4">Предложение!$229:$231</definedName>
    <definedName name="OFFER_TARIFF_G_5">Предложение!$289:$291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Комментарии!$C$11:$C$15</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территорий'!$C$12:$C$72</definedName>
    <definedName name="pDel_LT_MO">'Список территорий'!$D$11:$D$72</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ТП'!$C$26:$C$46</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ТП'!$A$21:$A$46</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Комментарии!$E$15</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территорий'!$G$72</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ТП'!$E$31</definedName>
    <definedName name="pIns_P_PROCEDURE_TC_2">'Порядок ТП'!$E$35</definedName>
    <definedName name="pIns_P_PROCEDURE_TC_3">'Порядок ТП'!$E$39</definedName>
    <definedName name="pIns_P_PROCEDURE_TC_4">'Порядок ТП'!$E$43</definedName>
    <definedName name="pIns_P_PROCEDURE_TC_5">'Порядок ТП'!$E$46</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Предложение!$G$52</definedName>
    <definedName name="pIns_PT_VTAR_A_COLDVSNA_OFFER_2">Предложение!$G$114</definedName>
    <definedName name="pIns_PT_VTAR_A_COLDVSNA_OFFER_3">Предложение!$G$174</definedName>
    <definedName name="pIns_PT_VTAR_A_COLDVSNA_OFFER_4">Предложение!$G$234</definedName>
    <definedName name="pIns_PT_VTAR_A_COLDVSNA_OFFER_5">Предложение!$G$294</definedName>
    <definedName name="pIns_PT_VTAR_A_COLDVSNA_OFFER5">Предложение!$G$294</definedName>
    <definedName name="pIns_PT_VTAR_A_HOTVSNA">'ГВС. Т-гор.вода'!$T$53</definedName>
    <definedName name="pIns_PT_VTAR_A_HOTVSNA_OFFER_1">Предложение!$G$67</definedName>
    <definedName name="pIns_PT_VTAR_A_HOTVSNA_OFFER_2">Предложение!$G$129</definedName>
    <definedName name="pIns_PT_VTAR_A_HOTVSNA_OFFER_3">Предложение!$G$189</definedName>
    <definedName name="pIns_PT_VTAR_A_HOTVSNA_OFFER_4">Предложение!$G$249</definedName>
    <definedName name="pIns_PT_VTAR_A_HOTVSNA_OFFER_5">Предложение!$G$309</definedName>
    <definedName name="pIns_PT_VTAR_A_OFFER_1">Предложение!$G$26</definedName>
    <definedName name="pIns_PT_VTAR_A_OFFER_2">Предложение!$G$88</definedName>
    <definedName name="pIns_PT_VTAR_A_OFFER_3">Предложение!$G$148</definedName>
    <definedName name="pIns_PT_VTAR_A_OFFER_4">Предложение!$G$208</definedName>
    <definedName name="pIns_PT_VTAR_A_OFFER_5">Предложение!$G$268</definedName>
    <definedName name="pIns_PT_VTAR_A_VOTV">'ВО. Т-во'!$T$53</definedName>
    <definedName name="pIns_PT_VTAR_A_VOTV_OFFER_1">Предложение!$G$76</definedName>
    <definedName name="pIns_PT_VTAR_A_VOTV_OFFER_2">Предложение!$G$138</definedName>
    <definedName name="pIns_PT_VTAR_A_VOTV_OFFER_3">Предложение!$G$198</definedName>
    <definedName name="pIns_PT_VTAR_A_VOTV_OFFER_4">Предложение!$G$258</definedName>
    <definedName name="pIns_PT_VTAR_A_VOTV_OFFER_5">Предложение!$G$318</definedName>
    <definedName name="pIns_PT_VTAR_B">'ТС. Т-ТЭ | ТСО'!$T$57</definedName>
    <definedName name="pIns_PT_VTAR_B_COLDVSNA">'ХВС. Т-тех'!$T$53</definedName>
    <definedName name="pIns_PT_VTAR_B_COLDVSNA_OFFER_1">Предложение!$G$55</definedName>
    <definedName name="pIns_PT_VTAR_B_COLDVSNA_OFFER_2">Предложение!$G$117</definedName>
    <definedName name="pIns_PT_VTAR_B_COLDVSNA_OFFER_3">Предложение!$G$177</definedName>
    <definedName name="pIns_PT_VTAR_B_COLDVSNA_OFFER_4">Предложение!$G$237</definedName>
    <definedName name="pIns_PT_VTAR_B_COLDVSNA_OFFER_5">Предложение!$G$297</definedName>
    <definedName name="pIns_PT_VTAR_B_HOTVSNA">'ГВС. Т-транс'!$T$53</definedName>
    <definedName name="pIns_PT_VTAR_B_HOTVSNA_OFFER_1">Предложение!$G$70</definedName>
    <definedName name="pIns_PT_VTAR_B_HOTVSNA_OFFER_2">Предложение!$G$132</definedName>
    <definedName name="pIns_PT_VTAR_B_HOTVSNA_OFFER_3">Предложение!$G$192</definedName>
    <definedName name="pIns_PT_VTAR_B_HOTVSNA_OFFER_4">Предложение!$G$252</definedName>
    <definedName name="pIns_PT_VTAR_B_HOTVSNA_OFFER_5">Предложение!$G$312</definedName>
    <definedName name="pIns_PT_VTAR_B_OFFER_1">Предложение!$G$29</definedName>
    <definedName name="pIns_PT_VTAR_B_OFFER_2">Предложение!$G$91</definedName>
    <definedName name="pIns_PT_VTAR_B_OFFER_3">Предложение!$G$151</definedName>
    <definedName name="pIns_PT_VTAR_B_OFFER_4">Предложение!$G$211</definedName>
    <definedName name="pIns_PT_VTAR_B_OFFER_5">Предложение!$G$271</definedName>
    <definedName name="pIns_PT_VTAR_B_VOTV">'ВО. Т-транс'!$T$53</definedName>
    <definedName name="pIns_PT_VTAR_B_VOTV_OFFER_1">Предложение!$G$79</definedName>
    <definedName name="pIns_PT_VTAR_B_VOTV_OFFER_2">Предложение!$G$141</definedName>
    <definedName name="pIns_PT_VTAR_B_VOTV_OFFER_3">Предложение!$G$201</definedName>
    <definedName name="pIns_PT_VTAR_B_VOTV_OFFER_4">Предложение!$G$261</definedName>
    <definedName name="pIns_PT_VTAR_B_VOTV_OFFER_5">Предложение!$G$321</definedName>
    <definedName name="pIns_PT_VTAR_C">'ТС. Т-ТН'!$T$623</definedName>
    <definedName name="pIns_PT_VTAR_C_COLDVSNA">'ХВС. Т-транс'!$T$53</definedName>
    <definedName name="pIns_PT_VTAR_C_COLDVSNA_OFFER_1">Предложение!$G$58</definedName>
    <definedName name="pIns_PT_VTAR_C_COLDVSNA_OFFER_2">Предложение!$G$120</definedName>
    <definedName name="pIns_PT_VTAR_C_COLDVSNA_OFFER_3">Предложение!$G$180</definedName>
    <definedName name="pIns_PT_VTAR_C_COLDVSNA_OFFER_4">Предложение!$G$240</definedName>
    <definedName name="pIns_PT_VTAR_C_COLDVSNA_OFFER_5">Предложение!$G$300</definedName>
    <definedName name="pIns_PT_VTAR_C_HOTVSNA">'ГВС. Т-подкл'!$T$63</definedName>
    <definedName name="pIns_PT_VTAR_C_HOTVSNA_OFFER_1">Предложение!$G$73</definedName>
    <definedName name="pIns_PT_VTAR_C_HOTVSNA_OFFER_2">Предложение!$G$135</definedName>
    <definedName name="pIns_PT_VTAR_C_HOTVSNA_OFFER_3">Предложение!$G$195</definedName>
    <definedName name="pIns_PT_VTAR_C_HOTVSNA_OFFER_4">Предложение!$G$255</definedName>
    <definedName name="pIns_PT_VTAR_C_HOTVSNA_OFFER_5">Предложение!$G$315</definedName>
    <definedName name="pIns_PT_VTAR_C_OFFER_1">Предложение!$G$34</definedName>
    <definedName name="pIns_PT_VTAR_C_OFFER_2">Предложение!$G$96</definedName>
    <definedName name="pIns_PT_VTAR_C_OFFER_3">Предложение!$G$156</definedName>
    <definedName name="pIns_PT_VTAR_C_OFFER_4">Предложение!$G$216</definedName>
    <definedName name="pIns_PT_VTAR_C_OFFER_5">Предложение!$G$276</definedName>
    <definedName name="pIns_PT_VTAR_C_VOTV">'ВО. Т-подкл'!$T$63</definedName>
    <definedName name="pIns_PT_VTAR_C_VOTV_OFFER_1">Предложение!$G$82</definedName>
    <definedName name="pIns_PT_VTAR_C_VOTV_OFFER_2">Предложение!$G$144</definedName>
    <definedName name="pIns_PT_VTAR_C_VOTV_OFFER_3">Предложение!$G$204</definedName>
    <definedName name="pIns_PT_VTAR_C_VOTV_OFFER_4">Предложение!$G$264</definedName>
    <definedName name="pIns_PT_VTAR_C_VOTV_OFFER_5">Предложение!$G$324</definedName>
    <definedName name="pIns_PT_VTAR_D">'ТС. Т-гор.вода'!$V$65</definedName>
    <definedName name="pIns_PT_VTAR_D_COLDVSNA">'ХВС. Т-подвоз'!$T$53</definedName>
    <definedName name="pIns_PT_VTAR_D_COLDVSNA_OFFER_1">Предложение!$G$61</definedName>
    <definedName name="pIns_PT_VTAR_D_COLDVSNA_OFFER_2">Предложение!$G$123</definedName>
    <definedName name="pIns_PT_VTAR_D_COLDVSNA_OFFER_3">Предложение!$G$183</definedName>
    <definedName name="pIns_PT_VTAR_D_COLDVSNA_OFFER_4">Предложение!$G$243</definedName>
    <definedName name="pIns_PT_VTAR_D_COLDVSNA_OFFER_5">Предложение!$G$303</definedName>
    <definedName name="pIns_PT_VTAR_D_OFFER_1">Предложение!$G$37</definedName>
    <definedName name="pIns_PT_VTAR_D_OFFER_2">Предложение!$G$99</definedName>
    <definedName name="pIns_PT_VTAR_D_OFFER_3">Предложение!$G$159</definedName>
    <definedName name="pIns_PT_VTAR_D_OFFER_4">Предложение!$G$219</definedName>
    <definedName name="pIns_PT_VTAR_D_OFFER_5">Предложение!$G$279</definedName>
    <definedName name="pIns_PT_VTAR_E_COLDVSNA">'ХВС. Т-подкл'!$T$63</definedName>
    <definedName name="pIns_PT_VTAR_E_COLDVSNA_OFFER_1">Предложение!$G$64</definedName>
    <definedName name="pIns_PT_VTAR_E_COLDVSNA_OFFER_2">Предложение!$G$126</definedName>
    <definedName name="pIns_PT_VTAR_E_COLDVSNA_OFFER_3">Предложение!$G$186</definedName>
    <definedName name="pIns_PT_VTAR_E_COLDVSNA_OFFER_4">Предложение!$G$246</definedName>
    <definedName name="pIns_PT_VTAR_E_COLDVSNA_OFFER_5">Предложение!$G$306</definedName>
    <definedName name="pIns_PT_VTAR_E1">'ТС. Т-передача ТЭ'!$T$57</definedName>
    <definedName name="pIns_PT_VTAR_E1_OFFER_1">Предложение!$G$40</definedName>
    <definedName name="pIns_PT_VTAR_E1_OFFER_2">Предложение!$G$102</definedName>
    <definedName name="pIns_PT_VTAR_E1_OFFER_3">Предложение!$G$162</definedName>
    <definedName name="pIns_PT_VTAR_E1_OFFER_4">Предложение!$G$222</definedName>
    <definedName name="pIns_PT_VTAR_E1_OFFER_5">Предложение!$G$282</definedName>
    <definedName name="pIns_PT_VTAR_E2">'ТС. Т-передача ТН'!$T$57</definedName>
    <definedName name="pIns_PT_VTAR_E2_OFFER_1">Предложение!$G$43</definedName>
    <definedName name="pIns_PT_VTAR_E2_OFFER_2">Предложение!$G$105</definedName>
    <definedName name="pIns_PT_VTAR_E2_OFFER_3">Предложение!$G$165</definedName>
    <definedName name="pIns_PT_VTAR_E2_OFFER_4">Предложение!$G$225</definedName>
    <definedName name="pIns_PT_VTAR_E2_OFFER_5">Предложение!$G$285</definedName>
    <definedName name="pIns_PT_VTAR_F">'ТС. Резерв мощности'!$T$57</definedName>
    <definedName name="pIns_PT_VTAR_F_OFFER_1">Предложение!$G$46</definedName>
    <definedName name="pIns_PT_VTAR_F_OFFER_2">Предложение!$G$108</definedName>
    <definedName name="pIns_PT_VTAR_F_OFFER_3">Предложение!$G$168</definedName>
    <definedName name="pIns_PT_VTAR_F_OFFER_4">Предложение!$G$228</definedName>
    <definedName name="pIns_PT_VTAR_F_OFFER_5">Предложение!$G$288</definedName>
    <definedName name="pIns_PT_VTAR_G">'ТС. Т-подкл'!$T$62</definedName>
    <definedName name="pIns_PT_VTAR_G_OFFER_1">Предложение!$G$49</definedName>
    <definedName name="pIns_PT_VTAR_G_OFFER_2">Предложение!$G$111</definedName>
    <definedName name="pIns_PT_VTAR_G_OFFER_3">Предложение!$G$171</definedName>
    <definedName name="pIns_PT_VTAR_G_OFFER_4">Предложение!$G$231</definedName>
    <definedName name="pIns_PT_VTAR_G_OFFER_5">Предложение!$G$291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Т-ТН'!$CP$39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Т-ТН'!$45:$70</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тарифов'!$AL$12:$AL$252</definedName>
    <definedName name="PT_DIFFERENTIATION_CS_ID">'Перечень тарифов'!$AF$12:$AF$252</definedName>
    <definedName name="PT_DIFFERENTIATION_IST_TE">'Перечень тарифов'!$AM$12:$AM$252</definedName>
    <definedName name="PT_DIFFERENTIATION_IST_TE_ID">'Перечень тарифов'!$AG$12:$AG$252</definedName>
    <definedName name="PT_DIFFERENTIATION_NTAR">'Перечень тарифов'!$AJ$12:$AJ$252</definedName>
    <definedName name="PT_DIFFERENTIATION_NTAR_ID">'Перечень тарифов'!$AD$12:$AD$252</definedName>
    <definedName name="PT_DIFFERENTIATION_NUM_CS">'Перечень тарифов'!$AP$12:$AP$252</definedName>
    <definedName name="PT_DIFFERENTIATION_NUM_IST_TE">'Перечень тарифов'!$AQ$12:$AQ$252</definedName>
    <definedName name="PT_DIFFERENTIATION_NUM_NTAR">'Перечень тарифов'!$AN$12:$AN$252</definedName>
    <definedName name="PT_DIFFERENTIATION_NUM_TER">'Перечень тарифов'!$AO$12:$AO$252</definedName>
    <definedName name="PT_DIFFERENTIATION_TER">'Перечень тарифов'!$AK$12:$AK$252</definedName>
    <definedName name="PT_DIFFERENTIATION_TER_ID">'Перечень тарифов'!$AE$12:$AE$252</definedName>
    <definedName name="PT_DIFFERENTIATION_VDET">'Перечень тарифов'!$AI$12:$AI$252</definedName>
    <definedName name="PT_DIFFERENTIATION_VTAR">'Перечень тарифов'!$AH$12:$AH$252</definedName>
    <definedName name="PT_DIFFERENTIATION_VTAR_ID">'Перечень тарифов'!$AC$12:$AC$252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Т-ТН'!$43:$332</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Т-ТН'!$44:$71</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территорий'!$E$11:$I$72</definedName>
    <definedName name="TERRITORY_ID">TEHSHEET!$E$56</definedName>
    <definedName name="TERRITORY_LIST_ID">'Список территорий'!$F$11:$F$72</definedName>
    <definedName name="TERRITORY_MO_LIST">'Список территорий'!$H$11:$H$72</definedName>
    <definedName name="TERRITORY_MR_LIST">'Список территорий'!$G$11:$G$72</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REESTR_IP_RANGE">REESTR_IP!$A$2:$D$44</definedName>
    <definedName name="VD_LIST">REESTR_VED!$A$2:$B$11</definedName>
    <definedName name="VD_ID_LIST">REESTR_VED!$A$2:$A$11</definedName>
    <definedName name="VD_NAME_LIST">REESTR_VED!$B$2:$B$11</definedName>
    <definedName name="et_B_FHD20_1">et_union_hor!$119:$127</definedName>
    <definedName name="ter_55">'Список территорий'!$G$16:$I$16</definedName>
    <definedName name="ter_56">'Список территорий'!$G$19:$I$19</definedName>
    <definedName name="ter_57">'Список территорий'!$G$22:$I$22</definedName>
    <definedName name="ter_58">'Список территорий'!$G$25:$I$25</definedName>
    <definedName name="ter_59">'Список территорий'!$G$28:$I$28</definedName>
    <definedName name="ter_60">'Список территорий'!$G$31:$I$31</definedName>
    <definedName name="ter_61">'Список территорий'!$G$34:$I$34</definedName>
    <definedName name="ter_62">'Список территорий'!$G$37:$I$37</definedName>
    <definedName name="ter_63">'Список территорий'!$G$40:$I$40</definedName>
    <definedName name="ter_64">'Список территорий'!$G$43:$I$43</definedName>
    <definedName name="ter_65">'Список территорий'!$G$46:$I$46</definedName>
    <definedName name="ter_66">'Список территорий'!$G$49:$I$49</definedName>
    <definedName name="ter_67">'Список территорий'!$G$52:$I$52</definedName>
    <definedName name="ter_68">'Список территорий'!$G$55:$I$55</definedName>
    <definedName name="ter_69">'Список территорий'!$G$58:$I$58</definedName>
    <definedName name="ter_70">'Список территорий'!$G$61:$I$61</definedName>
    <definedName name="ter_71">'Список территорий'!$G$64:$I$64</definedName>
    <definedName name="ter_72">'Список территорий'!$G$67:$I$67</definedName>
    <definedName name="ter_73">'Список территорий'!$G$70:$I$70</definedName>
    <definedName name="pt_ter_30">'ТС. Т-ТН'!$72:$83</definedName>
    <definedName name="pt_cs_30">'ТС. Т-ТН'!$73:$82</definedName>
    <definedName name="pt_ist_te_30">'ТС. Т-ТН'!$74:$81</definedName>
    <definedName name="pt_ter_31">'ТС. Т-ТН'!$84:$95</definedName>
    <definedName name="pt_cs_31">'ТС. Т-ТН'!$85:$94</definedName>
    <definedName name="pt_ist_te_31">'ТС. Т-ТН'!$86:$93</definedName>
    <definedName name="pt_ter_32">'ТС. Т-ТН'!$96:$107</definedName>
    <definedName name="pt_cs_32">'ТС. Т-ТН'!$97:$106</definedName>
    <definedName name="pt_ist_te_32">'ТС. Т-ТН'!$98:$105</definedName>
    <definedName name="pt_ter_33">'ТС. Т-ТН'!$108:$119</definedName>
    <definedName name="pt_cs_33">'ТС. Т-ТН'!$109:$118</definedName>
    <definedName name="pt_ist_te_33">'ТС. Т-ТН'!$110:$117</definedName>
    <definedName name="pt_ter_34">'ТС. Т-ТН'!$120:$131</definedName>
    <definedName name="pt_cs_34">'ТС. Т-ТН'!$121:$130</definedName>
    <definedName name="pt_ist_te_34">'ТС. Т-ТН'!$122:$129</definedName>
    <definedName name="pt_ter_35">'ТС. Т-ТН'!$132:$143</definedName>
    <definedName name="pt_cs_35">'ТС. Т-ТН'!$133:$142</definedName>
    <definedName name="pt_ist_te_35">'ТС. Т-ТН'!$134:$141</definedName>
    <definedName name="pt_ter_36">'ТС. Т-ТН'!$144:$155</definedName>
    <definedName name="pt_cs_36">'ТС. Т-ТН'!$145:$154</definedName>
    <definedName name="pt_ist_te_36">'ТС. Т-ТН'!$146:$153</definedName>
    <definedName name="pt_ter_37">'ТС. Т-ТН'!$156:$167</definedName>
    <definedName name="pt_cs_37">'ТС. Т-ТН'!$157:$166</definedName>
    <definedName name="pt_ist_te_37">'ТС. Т-ТН'!$158:$165</definedName>
    <definedName name="pt_ter_38">'ТС. Т-ТН'!$168:$187</definedName>
    <definedName name="pt_cs_38">'ТС. Т-ТН'!$169:$186</definedName>
    <definedName name="pt_ist_te_38">'ТС. Т-ТН'!$170:$177</definedName>
    <definedName name="pt_ter_39">'ТС. Т-ТН'!$188:$207</definedName>
    <definedName name="pt_cs_39">'ТС. Т-ТН'!$189:$206</definedName>
    <definedName name="pt_ist_te_39">'ТС. Т-ТН'!$190:$197</definedName>
    <definedName name="pt_ter_40">'ТС. Т-ТН'!$208:$219</definedName>
    <definedName name="pt_cs_40">'ТС. Т-ТН'!$209:$218</definedName>
    <definedName name="pt_ist_te_40">'ТС. Т-ТН'!$210:$217</definedName>
    <definedName name="pt_ter_41">'ТС. Т-ТН'!$220:$239</definedName>
    <definedName name="pt_cs_41">'ТС. Т-ТН'!$221:$238</definedName>
    <definedName name="pt_ist_te_41">'ТС. Т-ТН'!$222:$229</definedName>
    <definedName name="pt_ter_42">'ТС. Т-ТН'!$240:$251</definedName>
    <definedName name="pt_cs_42">'ТС. Т-ТН'!$241:$250</definedName>
    <definedName name="pt_ist_te_42">'ТС. Т-ТН'!$242:$249</definedName>
    <definedName name="pt_ter_43">'ТС. Т-ТН'!$252:$263</definedName>
    <definedName name="pt_cs_43">'ТС. Т-ТН'!$253:$262</definedName>
    <definedName name="pt_ist_te_43">'ТС. Т-ТН'!$254:$261</definedName>
    <definedName name="pt_ter_44">'ТС. Т-ТН'!$264:$283</definedName>
    <definedName name="pt_cs_44">'ТС. Т-ТН'!$265:$282</definedName>
    <definedName name="pt_ist_te_44">'ТС. Т-ТН'!$266:$273</definedName>
    <definedName name="pt_ter_45">'ТС. Т-ТН'!$284:$295</definedName>
    <definedName name="pt_cs_45">'ТС. Т-ТН'!$285:$294</definedName>
    <definedName name="pt_ist_te_45">'ТС. Т-ТН'!$286:$293</definedName>
    <definedName name="pt_ter_46">'ТС. Т-ТН'!$296:$307</definedName>
    <definedName name="pt_cs_46">'ТС. Т-ТН'!$297:$306</definedName>
    <definedName name="pt_ist_te_46">'ТС. Т-ТН'!$298:$305</definedName>
    <definedName name="pt_ter_47">'ТС. Т-ТН'!$308:$319</definedName>
    <definedName name="pt_cs_47">'ТС. Т-ТН'!$309:$318</definedName>
    <definedName name="pt_ist_te_47">'ТС. Т-ТН'!$310:$317</definedName>
    <definedName name="pt_ter_48">'ТС. Т-ТН'!$320:$331</definedName>
    <definedName name="pt_cs_48">'ТС. Т-ТН'!$321:$330</definedName>
    <definedName name="pt_ist_te_48">'ТС. Т-ТН'!$322:$329</definedName>
    <definedName name="pt_ist_te_49">'ТС. Т-ТН'!$54:$61</definedName>
    <definedName name="pt_ist_te_50">'ТС. Т-ТН'!$62:$69</definedName>
    <definedName name="pt_ist_te_51">'ТС. Т-ТН'!$178:$185</definedName>
    <definedName name="pt_ist_te_52">'ТС. Т-ТН'!$198:$205</definedName>
    <definedName name="pt_ist_te_53">'ТС. Т-ТН'!$230:$237</definedName>
    <definedName name="pt_ist_te_54">'ТС. Т-ТН'!$274:$281</definedName>
    <definedName name="pt_ntar_26">'ТС. Т-ТН'!$333:$622</definedName>
    <definedName name="pt_ter_49">'ТС. Т-ТН'!$334:$361</definedName>
    <definedName name="pt_cs_49">'ТС. Т-ТН'!$335:$360</definedName>
    <definedName name="pt_ist_te_55">'ТС. Т-ТН'!$336:$343</definedName>
    <definedName name="pt_ter_50">'ТС. Т-ТН'!$362:$373</definedName>
    <definedName name="pt_cs_50">'ТС. Т-ТН'!$363:$372</definedName>
    <definedName name="pt_ist_te_56">'ТС. Т-ТН'!$364:$371</definedName>
    <definedName name="pt_ter_51">'ТС. Т-ТН'!$374:$385</definedName>
    <definedName name="pt_cs_51">'ТС. Т-ТН'!$375:$384</definedName>
    <definedName name="pt_ist_te_57">'ТС. Т-ТН'!$376:$383</definedName>
    <definedName name="pt_ter_52">'ТС. Т-ТН'!$386:$397</definedName>
    <definedName name="pt_cs_52">'ТС. Т-ТН'!$387:$396</definedName>
    <definedName name="pt_ist_te_58">'ТС. Т-ТН'!$388:$395</definedName>
    <definedName name="pt_ter_53">'ТС. Т-ТН'!$398:$409</definedName>
    <definedName name="pt_cs_53">'ТС. Т-ТН'!$399:$408</definedName>
    <definedName name="pt_ist_te_59">'ТС. Т-ТН'!$400:$407</definedName>
    <definedName name="pt_ter_54">'ТС. Т-ТН'!$410:$421</definedName>
    <definedName name="pt_cs_54">'ТС. Т-ТН'!$411:$420</definedName>
    <definedName name="pt_ist_te_60">'ТС. Т-ТН'!$412:$419</definedName>
    <definedName name="pt_ter_55">'ТС. Т-ТН'!$422:$433</definedName>
    <definedName name="pt_cs_55">'ТС. Т-ТН'!$423:$432</definedName>
    <definedName name="pt_ist_te_61">'ТС. Т-ТН'!$424:$431</definedName>
    <definedName name="pt_ter_56">'ТС. Т-ТН'!$434:$445</definedName>
    <definedName name="pt_cs_56">'ТС. Т-ТН'!$435:$444</definedName>
    <definedName name="pt_ist_te_62">'ТС. Т-ТН'!$436:$443</definedName>
    <definedName name="pt_ter_57">'ТС. Т-ТН'!$446:$457</definedName>
    <definedName name="pt_cs_57">'ТС. Т-ТН'!$447:$456</definedName>
    <definedName name="pt_ist_te_63">'ТС. Т-ТН'!$448:$455</definedName>
    <definedName name="pt_ter_58">'ТС. Т-ТН'!$458:$477</definedName>
    <definedName name="pt_cs_58">'ТС. Т-ТН'!$459:$476</definedName>
    <definedName name="pt_ist_te_64">'ТС. Т-ТН'!$460:$467</definedName>
    <definedName name="pt_ter_59">'ТС. Т-ТН'!$478:$497</definedName>
    <definedName name="pt_cs_59">'ТС. Т-ТН'!$479:$496</definedName>
    <definedName name="pt_ist_te_65">'ТС. Т-ТН'!$480:$487</definedName>
    <definedName name="pt_ter_60">'ТС. Т-ТН'!$498:$509</definedName>
    <definedName name="pt_cs_60">'ТС. Т-ТН'!$499:$508</definedName>
    <definedName name="pt_ist_te_66">'ТС. Т-ТН'!$500:$507</definedName>
    <definedName name="pt_ter_61">'ТС. Т-ТН'!$510:$529</definedName>
    <definedName name="pt_cs_61">'ТС. Т-ТН'!$511:$528</definedName>
    <definedName name="pt_ist_te_67">'ТС. Т-ТН'!$512:$519</definedName>
    <definedName name="pt_ter_62">'ТС. Т-ТН'!$530:$541</definedName>
    <definedName name="pt_cs_62">'ТС. Т-ТН'!$531:$540</definedName>
    <definedName name="pt_ist_te_68">'ТС. Т-ТН'!$532:$539</definedName>
    <definedName name="pt_ter_63">'ТС. Т-ТН'!$542:$553</definedName>
    <definedName name="pt_cs_63">'ТС. Т-ТН'!$543:$552</definedName>
    <definedName name="pt_ist_te_69">'ТС. Т-ТН'!$544:$551</definedName>
    <definedName name="pt_ter_64">'ТС. Т-ТН'!$554:$573</definedName>
    <definedName name="pt_cs_64">'ТС. Т-ТН'!$555:$572</definedName>
    <definedName name="pt_ist_te_70">'ТС. Т-ТН'!$556:$563</definedName>
    <definedName name="pt_ter_65">'ТС. Т-ТН'!$574:$585</definedName>
    <definedName name="pt_cs_65">'ТС. Т-ТН'!$575:$584</definedName>
    <definedName name="pt_ist_te_71">'ТС. Т-ТН'!$576:$583</definedName>
    <definedName name="pt_ter_66">'ТС. Т-ТН'!$586:$597</definedName>
    <definedName name="pt_cs_66">'ТС. Т-ТН'!$587:$596</definedName>
    <definedName name="pt_ist_te_72">'ТС. Т-ТН'!$588:$595</definedName>
    <definedName name="pt_ter_67">'ТС. Т-ТН'!$598:$609</definedName>
    <definedName name="pt_cs_67">'ТС. Т-ТН'!$599:$608</definedName>
    <definedName name="pt_ist_te_73">'ТС. Т-ТН'!$600:$607</definedName>
    <definedName name="pt_ter_68">'ТС. Т-ТН'!$610:$621</definedName>
    <definedName name="pt_cs_68">'ТС. Т-ТН'!$611:$620</definedName>
    <definedName name="pt_ist_te_74">'ТС. Т-ТН'!$612:$619</definedName>
    <definedName name="DESCRIPTION_TERRITORY">REESTR_DS!$B$2:$B$21</definedName>
    <definedName name="pt_ist_te_75">'ТС. Т-ТН'!$344:$351</definedName>
    <definedName name="pt_ist_te_76">'ТС. Т-ТН'!$352:$359</definedName>
    <definedName name="pt_ist_te_77">'ТС. Т-ТН'!$468:$475</definedName>
    <definedName name="pt_ist_te_78">'ТС. Т-ТН'!$488:$495</definedName>
    <definedName name="pt_ist_te_79">'ТС. Т-ТН'!$520:$527</definedName>
    <definedName name="pt_ist_te_80">'ТС. Т-ТН'!$564:$571</definedName>
  </definedNames>
  <calcPr calcId="0" iterate="0" iterateCount="100" iterateDelta="0.001"/>
</workbook>
</file>

<file path=xl/comments1.xml><?xml version="1.0" encoding="utf-8"?>
<comments xmlns="http://schemas.openxmlformats.org/spreadsheetml/2006/main">
  <authors>
    <author>Author</author>
  </authors>
  <commentList>
    <comment ref="F31" authorId="0">
      <text>
        <r>
          <rPr>
            <sz val="9"/>
            <color indexed="81"/>
            <rFont val="Tahoma"/>
            <family val="2"/>
          </rPr>
          <t>Выбор организации двойным щелчком левой клавиши мыши</t>
        </r>
      </text>
    </commen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<sst xmlns="http://schemas.openxmlformats.org/spreadsheetml/2006/main" count="14388" uniqueCount="3115">
  <si>
    <t xml:space="preserve"> (требуется обновление)</t>
  </si>
  <si>
    <t>Код отчёта: PP110.OPEN.INFO.PRICE.HEAT.EIAS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</si>
  <si>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</si>
  <si>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</si>
  <si>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</si>
  <si>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</si>
  <si>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</si>
  <si>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</si>
  <si>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</si>
  <si>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</si>
  <si>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</si>
  <si>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</si>
  <si>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</si>
  <si>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</si>
  <si>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Мурманская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</si>
  <si>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</si>
  <si>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</si>
  <si>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</si>
  <si>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</si>
  <si>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</si>
  <si>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</si>
  <si>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</si>
  <si>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</si>
  <si>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</si>
  <si>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</si>
  <si>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</si>
  <si>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</si>
  <si>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</si>
  <si>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</si>
  <si>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</si>
  <si>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</si>
  <si>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</si>
  <si>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</si>
  <si>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</si>
  <si>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</si>
  <si>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</si>
  <si>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</si>
  <si>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56/9</t>
  </si>
  <si>
    <t>Наименование органа регулирования, принявшего решение об утверждении тарифов</t>
  </si>
  <si>
    <t>Комитет по тарифному регулированию Мурманской области</t>
  </si>
  <si>
    <t>Источник официального опубликования решения</t>
  </si>
  <si>
    <t>https://tarif.gov-murman.ru/51_23-ao-mes-2019_2023-gor.voda.pdf</t>
  </si>
  <si>
    <t>Открывается, если Тип отчёта "изменения в раскрытой ранее информации"</t>
  </si>
  <si>
    <t>36/2</t>
  </si>
  <si>
    <t>Наименование органа регулирования, принявшего решение об изменении тарифов</t>
  </si>
  <si>
    <t>https://npa.gov-murman.ru/bitrix/components/b1team/govmurman.element.file/download.php?ID=495002&amp;FID=732763</t>
  </si>
  <si>
    <t>Наименование ЮЛ / ИП</t>
  </si>
  <si>
    <t>АО "Мурманэнергосбыт"</t>
  </si>
  <si>
    <t>Наименование (описание) обособленного подразделения</t>
  </si>
  <si>
    <t>ИНН</t>
  </si>
  <si>
    <t>5190907139</t>
  </si>
  <si>
    <t>КПП</t>
  </si>
  <si>
    <t>519001001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</si>
  <si>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</si>
  <si>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</si>
  <si>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</si>
  <si>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</si>
  <si>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</si>
  <si>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</si>
  <si>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</si>
  <si>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</si>
  <si>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</si>
  <si>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</si>
  <si>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</si>
  <si>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</si>
  <si>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</si>
  <si>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</si>
  <si>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</si>
  <si>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</si>
  <si>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</si>
  <si>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</si>
  <si>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</si>
  <si>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183034, г. Мурманск, ул. Свердлова, д. 39, корп.1</t>
  </si>
  <si>
    <t>Фамилия, имя, отчество руководителя</t>
  </si>
  <si>
    <t>Истомина Алла Павловна</t>
  </si>
  <si>
    <t>Ответственный за заполнение формы</t>
  </si>
  <si>
    <t>Фамилия, имя, отчество</t>
  </si>
  <si>
    <t>Виноградова Полина Александровна</t>
  </si>
  <si>
    <t>Должность</t>
  </si>
  <si>
    <t>экономист</t>
  </si>
  <si>
    <t>Контактный телефон</t>
  </si>
  <si>
    <t>(815-2) 68-62-67</t>
  </si>
  <si>
    <t>E-mail</t>
  </si>
  <si>
    <t>vinogradovapa@mures.ru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</si>
  <si>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</si>
  <si>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</si>
  <si>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</si>
  <si>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</si>
  <si>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</si>
  <si>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</si>
  <si>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</si>
  <si>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</si>
  <si>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</si>
  <si>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</si>
  <si>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</si>
  <si>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</si>
  <si>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</si>
  <si>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</si>
  <si>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</si>
  <si>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</si>
  <si>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47</t>
  </si>
  <si>
    <t>город-герой Мурманск</t>
  </si>
  <si>
    <t>47701000</t>
  </si>
  <si>
    <t>Добавить МО</t>
  </si>
  <si>
    <t>2</t>
  </si>
  <si>
    <t>×</t>
  </si>
  <si>
    <t>ter_55</t>
  </si>
  <si>
    <t>22</t>
  </si>
  <si>
    <t>Кольский муниципальный район</t>
  </si>
  <si>
    <t>Поселок Мурмаши</t>
  </si>
  <si>
    <t>47605163</t>
  </si>
  <si>
    <t>ter_56</t>
  </si>
  <si>
    <t>28</t>
  </si>
  <si>
    <t>городское поселение Молочный</t>
  </si>
  <si>
    <t>47605161</t>
  </si>
  <si>
    <t>ter_57</t>
  </si>
  <si>
    <t>5</t>
  </si>
  <si>
    <t>ter_58</t>
  </si>
  <si>
    <t>20</t>
  </si>
  <si>
    <t>Поселок Верхнетуломский</t>
  </si>
  <si>
    <t>47605154</t>
  </si>
  <si>
    <t>ter_59</t>
  </si>
  <si>
    <t>21</t>
  </si>
  <si>
    <t>Поселок Кильдинстрой</t>
  </si>
  <si>
    <t>47605158</t>
  </si>
  <si>
    <t>ter_60</t>
  </si>
  <si>
    <t>32</t>
  </si>
  <si>
    <t>Ловозерский муниципальный район</t>
  </si>
  <si>
    <t>сельское поселение Ловозеро</t>
  </si>
  <si>
    <t>47610401</t>
  </si>
  <si>
    <t>8</t>
  </si>
  <si>
    <t>ter_61</t>
  </si>
  <si>
    <t>31</t>
  </si>
  <si>
    <t>Поселок Ревда</t>
  </si>
  <si>
    <t>47610154</t>
  </si>
  <si>
    <t>9</t>
  </si>
  <si>
    <t>ter_62</t>
  </si>
  <si>
    <t>Город Оленегорск</t>
  </si>
  <si>
    <t>47717000</t>
  </si>
  <si>
    <t>10</t>
  </si>
  <si>
    <t>ter_63</t>
  </si>
  <si>
    <t>ЗАТО город Александровск</t>
  </si>
  <si>
    <t>47737000</t>
  </si>
  <si>
    <t>11</t>
  </si>
  <si>
    <t>ter_64</t>
  </si>
  <si>
    <t>33</t>
  </si>
  <si>
    <t>Печенгский муниципальный округ</t>
  </si>
  <si>
    <t>47515000</t>
  </si>
  <si>
    <t>12</t>
  </si>
  <si>
    <t>ter_65</t>
  </si>
  <si>
    <t>ЗАТО город Североморск</t>
  </si>
  <si>
    <t>47730000</t>
  </si>
  <si>
    <t>13</t>
  </si>
  <si>
    <t>ter_66</t>
  </si>
  <si>
    <t>Кандалакшский муниципальный район</t>
  </si>
  <si>
    <t>Город Кандалакша</t>
  </si>
  <si>
    <t>47608101</t>
  </si>
  <si>
    <t>14</t>
  </si>
  <si>
    <t>ter_67</t>
  </si>
  <si>
    <t>15</t>
  </si>
  <si>
    <t>Поселок Зеленоборский</t>
  </si>
  <si>
    <t>47608158</t>
  </si>
  <si>
    <t>ter_68</t>
  </si>
  <si>
    <t>25</t>
  </si>
  <si>
    <t>Териберское сельское поселение</t>
  </si>
  <si>
    <t>47605405</t>
  </si>
  <si>
    <t>16</t>
  </si>
  <si>
    <t>ter_69</t>
  </si>
  <si>
    <t>Ковдорский муниципальный округ</t>
  </si>
  <si>
    <t>47517000</t>
  </si>
  <si>
    <t>17</t>
  </si>
  <si>
    <t>ter_70</t>
  </si>
  <si>
    <t>29</t>
  </si>
  <si>
    <t>сельское поселение Ура-Губа</t>
  </si>
  <si>
    <t>47605407</t>
  </si>
  <si>
    <t>18</t>
  </si>
  <si>
    <t>ter_71</t>
  </si>
  <si>
    <t>24</t>
  </si>
  <si>
    <t>Пушновское сельское поселение</t>
  </si>
  <si>
    <t>47605404</t>
  </si>
  <si>
    <t>19</t>
  </si>
  <si>
    <t>ter_72</t>
  </si>
  <si>
    <t>ЗАТО поселок Видяево</t>
  </si>
  <si>
    <t>47735000</t>
  </si>
  <si>
    <t>ter_73</t>
  </si>
  <si>
    <t>ЗАТО город Заозерск</t>
  </si>
  <si>
    <t>47733000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</si>
  <si>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</si>
  <si>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</si>
  <si>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</si>
  <si>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</si>
  <si>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</si>
  <si>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</si>
  <si>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</si>
  <si>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</si>
  <si>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</si>
  <si>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</si>
  <si>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</si>
  <si>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</si>
  <si>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</si>
  <si>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</si>
  <si>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</si>
  <si>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</si>
  <si>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</si>
  <si>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</si>
  <si>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</si>
  <si>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</si>
  <si>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</si>
  <si>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</si>
  <si>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</si>
  <si>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</si>
  <si>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</si>
  <si>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</si>
  <si>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</si>
  <si>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</si>
  <si>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</si>
  <si>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</si>
  <si>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</si>
  <si>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</si>
  <si>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</si>
  <si>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</si>
  <si>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</si>
  <si>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</si>
  <si>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</si>
  <si>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</si>
  <si>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</si>
  <si>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</si>
  <si>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</si>
  <si>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</si>
  <si>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</si>
  <si>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</si>
  <si>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</si>
  <si>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</si>
  <si>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</si>
  <si>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</si>
  <si>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</si>
  <si>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</si>
  <si>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</si>
  <si>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</si>
  <si>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</si>
  <si>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</si>
  <si>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</si>
  <si>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потребителям</t>
  </si>
  <si>
    <t>г.о. город-герой Мурманск (с учетом транспортировки по сетям АО "Звездочка" филиал "35 СРЗ")</t>
  </si>
  <si>
    <t>4190067; 4190069; 4190071</t>
  </si>
  <si>
    <t>pIns_PT_VTAR_C</t>
  </si>
  <si>
    <t>pt_ntar_3</t>
  </si>
  <si>
    <t>pt_ter_3</t>
  </si>
  <si>
    <t>pt_cs_3</t>
  </si>
  <si>
    <t>pt_ist_te_3</t>
  </si>
  <si>
    <t>г.о. город-герой Мурманск (кроме п.Росляково и без транспортировки по сетям АО "Звездочка" филиал "35 СРЗ")</t>
  </si>
  <si>
    <t>pt_ist_te_49</t>
  </si>
  <si>
    <t>г.о.город-герой Мурманск (п.Росляково)</t>
  </si>
  <si>
    <t>pt_ist_te_50</t>
  </si>
  <si>
    <t>Добавить источник для дифференциации</t>
  </si>
  <si>
    <t>Добавить централизованную систему для дифференциации</t>
  </si>
  <si>
    <t>pt_ter_30</t>
  </si>
  <si>
    <t>pt_cs_30</t>
  </si>
  <si>
    <t>pt_ist_te_30</t>
  </si>
  <si>
    <t>pt_ter_31</t>
  </si>
  <si>
    <t>pt_cs_31</t>
  </si>
  <si>
    <t>pt_ist_te_31</t>
  </si>
  <si>
    <t>pt_ter_32</t>
  </si>
  <si>
    <t>pt_cs_32</t>
  </si>
  <si>
    <t>pt_ist_te_32</t>
  </si>
  <si>
    <t>pt_ter_33</t>
  </si>
  <si>
    <t>pt_cs_33</t>
  </si>
  <si>
    <t>pt_ist_te_33</t>
  </si>
  <si>
    <t>г.п. Кильдинстрой, н.п.Шонгуй</t>
  </si>
  <si>
    <t>pt_ter_34</t>
  </si>
  <si>
    <t>pt_cs_34</t>
  </si>
  <si>
    <t>pt_ist_te_34</t>
  </si>
  <si>
    <t>pt_ter_35</t>
  </si>
  <si>
    <t>pt_cs_35</t>
  </si>
  <si>
    <t>pt_ist_te_35</t>
  </si>
  <si>
    <t>pt_ter_36</t>
  </si>
  <si>
    <t>pt_cs_36</t>
  </si>
  <si>
    <t>pt_ist_te_36</t>
  </si>
  <si>
    <t>населенный пункт Высокий</t>
  </si>
  <si>
    <t>pt_ter_37</t>
  </si>
  <si>
    <t>pt_cs_37</t>
  </si>
  <si>
    <t>pt_ist_te_37</t>
  </si>
  <si>
    <t>город Гаджиево, н.п.Оленья Губа, город Полярный</t>
  </si>
  <si>
    <t>pt_ter_38</t>
  </si>
  <si>
    <t>pt_cs_38</t>
  </si>
  <si>
    <t>pt_ist_te_38</t>
  </si>
  <si>
    <t>город Снежногорск</t>
  </si>
  <si>
    <t>pt_ist_te_51</t>
  </si>
  <si>
    <t>город Никель</t>
  </si>
  <si>
    <t>pt_ter_39</t>
  </si>
  <si>
    <t>pt_cs_39</t>
  </si>
  <si>
    <t>pt_ist_te_39</t>
  </si>
  <si>
    <t>город Заполярный</t>
  </si>
  <si>
    <t>pt_ist_te_52</t>
  </si>
  <si>
    <t>pt_ter_40</t>
  </si>
  <si>
    <t>pt_cs_40</t>
  </si>
  <si>
    <t>pt_ist_te_40</t>
  </si>
  <si>
    <t>город Кандалакша</t>
  </si>
  <si>
    <t>pt_ter_41</t>
  </si>
  <si>
    <t>pt_cs_41</t>
  </si>
  <si>
    <t>pt_ist_te_41</t>
  </si>
  <si>
    <t>город Кандалакша (микрорайон Нива-3)</t>
  </si>
  <si>
    <t>pt_ist_te_53</t>
  </si>
  <si>
    <t>pt_ter_42</t>
  </si>
  <si>
    <t>pt_cs_42</t>
  </si>
  <si>
    <t>pt_ist_te_42</t>
  </si>
  <si>
    <t>с.п.Териберка (мазутная котельная)</t>
  </si>
  <si>
    <t>pt_ter_43</t>
  </si>
  <si>
    <t>pt_cs_43</t>
  </si>
  <si>
    <t>pt_ist_te_43</t>
  </si>
  <si>
    <t>н.п.Енский (мазутная котельная)</t>
  </si>
  <si>
    <t>pt_ter_44</t>
  </si>
  <si>
    <t>pt_cs_44</t>
  </si>
  <si>
    <t>pt_ist_te_44</t>
  </si>
  <si>
    <t xml:space="preserve">н.п.Лейпи </t>
  </si>
  <si>
    <t>pt_ist_te_54</t>
  </si>
  <si>
    <t>pt_ter_45</t>
  </si>
  <si>
    <t>pt_cs_45</t>
  </si>
  <si>
    <t>pt_ist_te_45</t>
  </si>
  <si>
    <t>ж.д.ст. Лопарская</t>
  </si>
  <si>
    <t>pt_ter_46</t>
  </si>
  <si>
    <t>pt_cs_46</t>
  </si>
  <si>
    <t>pt_ist_te_46</t>
  </si>
  <si>
    <t>pt_ter_47</t>
  </si>
  <si>
    <t>pt_cs_47</t>
  </si>
  <si>
    <t>pt_ist_te_47</t>
  </si>
  <si>
    <t>pt_ter_48</t>
  </si>
  <si>
    <t>pt_cs_48</t>
  </si>
  <si>
    <t>pt_ist_te_48</t>
  </si>
  <si>
    <t>Добавить территорию для дифференциации</t>
  </si>
  <si>
    <t>Тариф на теплоноситель, поставляемый населению</t>
  </si>
  <si>
    <t>pt_ntar_26</t>
  </si>
  <si>
    <t>pt_ter_49</t>
  </si>
  <si>
    <t>pt_cs_49</t>
  </si>
  <si>
    <t>pt_ist_te_55</t>
  </si>
  <si>
    <t>pt_ist_te_75</t>
  </si>
  <si>
    <t>pt_ist_te_76</t>
  </si>
  <si>
    <t>pt_ter_50</t>
  </si>
  <si>
    <t>pt_cs_50</t>
  </si>
  <si>
    <t>pt_ist_te_56</t>
  </si>
  <si>
    <t>pt_ter_51</t>
  </si>
  <si>
    <t>pt_cs_51</t>
  </si>
  <si>
    <t>pt_ist_te_57</t>
  </si>
  <si>
    <t>pt_ter_52</t>
  </si>
  <si>
    <t>pt_cs_52</t>
  </si>
  <si>
    <t>pt_ist_te_58</t>
  </si>
  <si>
    <t>pt_ter_53</t>
  </si>
  <si>
    <t>pt_cs_53</t>
  </si>
  <si>
    <t>pt_ist_te_59</t>
  </si>
  <si>
    <t>pt_ter_54</t>
  </si>
  <si>
    <t>pt_cs_54</t>
  </si>
  <si>
    <t>pt_ist_te_60</t>
  </si>
  <si>
    <t>pt_ter_55</t>
  </si>
  <si>
    <t>pt_cs_55</t>
  </si>
  <si>
    <t>pt_ist_te_61</t>
  </si>
  <si>
    <t>pt_ter_56</t>
  </si>
  <si>
    <t>pt_cs_56</t>
  </si>
  <si>
    <t>pt_ist_te_62</t>
  </si>
  <si>
    <t>pt_ter_57</t>
  </si>
  <si>
    <t>pt_cs_57</t>
  </si>
  <si>
    <t>pt_ist_te_63</t>
  </si>
  <si>
    <t>pt_ter_58</t>
  </si>
  <si>
    <t>pt_cs_58</t>
  </si>
  <si>
    <t>pt_ist_te_64</t>
  </si>
  <si>
    <t>pt_ist_te_77</t>
  </si>
  <si>
    <t>pt_ter_59</t>
  </si>
  <si>
    <t>pt_cs_59</t>
  </si>
  <si>
    <t>pt_ist_te_65</t>
  </si>
  <si>
    <t>pt_ist_te_78</t>
  </si>
  <si>
    <t>pt_ter_60</t>
  </si>
  <si>
    <t>pt_cs_60</t>
  </si>
  <si>
    <t>pt_ist_te_66</t>
  </si>
  <si>
    <t>pt_ter_61</t>
  </si>
  <si>
    <t>pt_cs_61</t>
  </si>
  <si>
    <t>pt_ist_te_67</t>
  </si>
  <si>
    <t>pt_ist_te_79</t>
  </si>
  <si>
    <t>pt_ter_62</t>
  </si>
  <si>
    <t>pt_cs_62</t>
  </si>
  <si>
    <t>pt_ist_te_68</t>
  </si>
  <si>
    <t>pt_ter_63</t>
  </si>
  <si>
    <t>pt_cs_63</t>
  </si>
  <si>
    <t>pt_ist_te_69</t>
  </si>
  <si>
    <t>pt_ter_64</t>
  </si>
  <si>
    <t>pt_cs_64</t>
  </si>
  <si>
    <t>pt_ist_te_70</t>
  </si>
  <si>
    <t>pt_ist_te_80</t>
  </si>
  <si>
    <t>pt_ter_65</t>
  </si>
  <si>
    <t>pt_cs_65</t>
  </si>
  <si>
    <t>pt_ist_te_71</t>
  </si>
  <si>
    <t>pt_ter_66</t>
  </si>
  <si>
    <t>pt_cs_66</t>
  </si>
  <si>
    <t>pt_ist_te_72</t>
  </si>
  <si>
    <t>pt_ter_67</t>
  </si>
  <si>
    <t>pt_cs_67</t>
  </si>
  <si>
    <t>pt_ist_te_73</t>
  </si>
  <si>
    <t>pt_ter_68</t>
  </si>
  <si>
    <t>pt_cs_68</t>
  </si>
  <si>
    <t>pt_ist_te_74</t>
  </si>
  <si>
    <t>Добавить наименование тарифа</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</si>
  <si>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</si>
  <si>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</si>
  <si>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</si>
  <si>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</si>
  <si>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</si>
  <si>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</si>
  <si>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</si>
  <si>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</si>
  <si>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</si>
  <si>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</si>
  <si>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</si>
  <si>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</si>
  <si>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</si>
  <si>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</si>
  <si>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</si>
  <si>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</si>
  <si>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</si>
  <si>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</si>
  <si>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</si>
  <si>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</si>
  <si>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</si>
  <si>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</si>
  <si>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</si>
  <si>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</si>
  <si>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</si>
  <si>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</si>
  <si>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</si>
  <si>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</si>
  <si>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</si>
  <si>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</si>
  <si>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</si>
  <si>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</si>
  <si>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</si>
  <si>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</si>
  <si>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</si>
  <si>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</si>
  <si>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</si>
  <si>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</si>
  <si>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</si>
  <si>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</si>
  <si>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</si>
  <si>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</si>
  <si>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</si>
  <si>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</si>
  <si>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</si>
  <si>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</si>
  <si>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</si>
  <si>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</si>
  <si>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</si>
  <si>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</si>
  <si>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</si>
  <si>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</si>
  <si>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</si>
  <si>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</si>
  <si>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</si>
  <si>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</si>
  <si>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</si>
  <si>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</si>
  <si>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</si>
  <si>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</si>
  <si>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</si>
  <si>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</si>
  <si>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</si>
  <si>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</si>
  <si>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</si>
  <si>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</si>
  <si>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</si>
  <si>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</si>
  <si>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</si>
  <si>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</si>
  <si>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</si>
  <si>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</si>
  <si>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</si>
  <si>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</si>
  <si>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</si>
  <si>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</si>
  <si>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</si>
  <si>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</si>
  <si>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</si>
  <si>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</si>
  <si>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</si>
  <si>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</si>
  <si>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</si>
  <si>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</si>
  <si>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</si>
  <si>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</si>
  <si>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</si>
  <si>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</si>
  <si>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</si>
  <si>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</si>
  <si>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</si>
  <si>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</si>
  <si>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</si>
  <si>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</si>
  <si>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</si>
  <si>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</si>
  <si>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</si>
  <si>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</si>
  <si>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</si>
  <si>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</si>
  <si>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</si>
  <si>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</si>
  <si>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</si>
  <si>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</si>
  <si>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</si>
  <si>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</si>
  <si>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</si>
  <si>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</si>
  <si>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</si>
  <si>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</si>
  <si>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</si>
  <si>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</si>
  <si>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</si>
  <si>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</si>
  <si>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</si>
  <si>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</si>
  <si>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</si>
  <si>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</si>
  <si>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</si>
  <si>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</si>
  <si>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</si>
  <si>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</si>
  <si>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</si>
  <si>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</si>
  <si>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</si>
  <si>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</si>
  <si>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</si>
  <si>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</si>
  <si>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</si>
  <si>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</si>
  <si>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</si>
  <si>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</si>
  <si>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</si>
  <si>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</si>
  <si>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</si>
  <si>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</si>
  <si>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</si>
  <si>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</si>
  <si>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</si>
  <si>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</si>
  <si>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</si>
  <si>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</si>
  <si>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</si>
  <si>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</si>
  <si>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</si>
  <si>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</si>
  <si>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</si>
  <si>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</si>
  <si>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</si>
  <si>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</si>
  <si>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</si>
  <si>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</si>
  <si>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</si>
  <si>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</si>
  <si>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</si>
  <si>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</si>
  <si>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</si>
  <si>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</si>
  <si>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</si>
  <si>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</si>
  <si>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</si>
  <si>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</si>
  <si>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</si>
  <si>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</si>
  <si>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</si>
  <si>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</si>
  <si>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</si>
  <si>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</si>
  <si>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</si>
  <si>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</si>
  <si>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</si>
  <si>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</si>
  <si>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</si>
  <si>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</si>
  <si>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</si>
  <si>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</si>
  <si>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</si>
  <si>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</si>
  <si>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</si>
  <si>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</si>
  <si>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</si>
  <si>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</si>
  <si>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</si>
  <si>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</si>
  <si>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</si>
  <si>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</si>
  <si>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</si>
  <si>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</si>
  <si>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</si>
  <si>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</si>
  <si>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</si>
  <si>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</si>
  <si>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</si>
  <si>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</si>
  <si>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</si>
  <si>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</si>
  <si>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</si>
  <si>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</si>
  <si>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</si>
  <si>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</si>
  <si>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</si>
  <si>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</si>
  <si>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</si>
  <si>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</si>
  <si>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</si>
  <si>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</si>
  <si>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</si>
  <si>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</si>
  <si>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</si>
  <si>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</si>
  <si>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</si>
  <si>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</si>
  <si>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</si>
  <si>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</si>
  <si>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</si>
  <si>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</si>
  <si>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</si>
  <si>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</si>
  <si>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</si>
  <si>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</si>
  <si>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</si>
  <si>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</si>
  <si>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</si>
  <si>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</si>
  <si>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</si>
  <si>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</si>
  <si>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</si>
  <si>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</si>
  <si>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</si>
  <si>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</si>
  <si>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</si>
  <si>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</si>
  <si>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</si>
  <si>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</si>
  <si>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</si>
  <si>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</si>
  <si>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</si>
  <si>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</si>
  <si>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</si>
  <si>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</si>
  <si>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</si>
  <si>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</si>
  <si>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</si>
  <si>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</si>
  <si>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</si>
  <si>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</si>
  <si>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</si>
  <si>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</si>
  <si>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</si>
  <si>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</si>
  <si>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</si>
  <si>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</si>
  <si>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</si>
  <si>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</si>
  <si>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</si>
  <si>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</si>
  <si>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</si>
  <si>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</si>
  <si>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</si>
  <si>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</si>
  <si>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</si>
  <si>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</si>
  <si>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
руб./куб.м</t>
  </si>
  <si>
    <t>прочие</t>
  </si>
  <si>
    <t>вода</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</si>
  <si>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</si>
  <si>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население</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</si>
  <si>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</si>
  <si>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</si>
  <si>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</si>
  <si>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</si>
  <si>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</si>
  <si>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</si>
  <si>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</si>
  <si>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</si>
  <si>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</si>
  <si>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</si>
  <si>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</si>
  <si>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</si>
  <si>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</si>
  <si>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</si>
  <si>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</si>
  <si>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</si>
  <si>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</si>
  <si>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</si>
  <si>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</si>
  <si>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</si>
  <si>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</si>
  <si>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</si>
  <si>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</si>
  <si>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</si>
  <si>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</si>
  <si>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</si>
  <si>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</si>
  <si>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</si>
  <si>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</si>
  <si>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</si>
  <si>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</si>
  <si>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</si>
  <si>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</si>
  <si>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</si>
  <si>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</si>
  <si>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</si>
  <si>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</si>
  <si>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</si>
  <si>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</si>
  <si>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</si>
  <si>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</si>
  <si>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</si>
  <si>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</si>
  <si>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</si>
  <si>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</si>
  <si>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</si>
  <si>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</si>
  <si>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</si>
  <si>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</si>
  <si>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</si>
  <si>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</si>
  <si>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</si>
  <si>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</si>
  <si>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</si>
  <si>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</si>
  <si>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</si>
  <si>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</si>
  <si>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</si>
  <si>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</si>
  <si>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</si>
  <si>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</si>
  <si>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</si>
  <si>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</si>
  <si>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</si>
  <si>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</si>
  <si>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</si>
  <si>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</si>
  <si>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</si>
  <si>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</si>
  <si>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</si>
  <si>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</si>
  <si>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</si>
  <si>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</si>
  <si>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</si>
  <si>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</si>
  <si>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</si>
  <si>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</si>
  <si>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</si>
  <si>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</si>
  <si>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</si>
  <si>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</si>
  <si>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</si>
  <si>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</si>
  <si>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</si>
  <si>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</si>
  <si>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</si>
  <si>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</si>
  <si>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</si>
  <si>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</si>
  <si>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</si>
  <si>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</si>
  <si>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</si>
  <si>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</si>
  <si>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</si>
  <si>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</si>
  <si>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</si>
  <si>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</si>
  <si>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</si>
  <si>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</si>
  <si>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</si>
  <si>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</si>
  <si>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</si>
  <si>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</si>
  <si>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</si>
  <si>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</si>
  <si>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</si>
  <si>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</si>
  <si>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</si>
  <si>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</si>
  <si>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</si>
  <si>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</si>
  <si>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</si>
  <si>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</si>
  <si>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</si>
  <si>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</si>
  <si>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</si>
  <si>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</si>
  <si>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</si>
  <si>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</si>
  <si>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</si>
  <si>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</si>
  <si>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</si>
  <si>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</si>
  <si>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</si>
  <si>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</si>
  <si>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</si>
  <si>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</si>
  <si>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</si>
  <si>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</si>
  <si>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</si>
  <si>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</si>
  <si>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</si>
  <si>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</si>
  <si>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</si>
  <si>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</si>
  <si>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</si>
  <si>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</si>
  <si>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</si>
  <si>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</si>
  <si>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</si>
  <si>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</si>
  <si>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</si>
  <si>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</si>
  <si>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</si>
  <si>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</si>
  <si>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</si>
  <si>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</si>
  <si>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</si>
  <si>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</si>
  <si>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</si>
  <si>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</si>
  <si>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</si>
  <si>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</si>
  <si>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</si>
  <si>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</si>
  <si>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</si>
  <si>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</si>
  <si>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</si>
  <si>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</si>
  <si>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</si>
  <si>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</si>
  <si>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</si>
  <si>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</si>
  <si>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</si>
  <si>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</si>
  <si>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</si>
  <si>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</si>
  <si>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</si>
  <si>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</si>
  <si>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</si>
  <si>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</si>
  <si>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</si>
  <si>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</si>
  <si>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</si>
  <si>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</si>
  <si>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</si>
  <si>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</si>
  <si>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</si>
  <si>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</si>
  <si>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</si>
  <si>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</si>
  <si>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</si>
  <si>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</si>
  <si>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</si>
  <si>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</si>
  <si>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</si>
  <si>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</si>
  <si>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</si>
  <si>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</si>
  <si>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</si>
  <si>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</si>
  <si>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</si>
  <si>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</si>
  <si>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</si>
  <si>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</si>
  <si>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</si>
  <si>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</si>
  <si>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</si>
  <si>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</si>
  <si>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</si>
  <si>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</si>
  <si>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</si>
  <si>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</si>
  <si>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</si>
  <si>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</si>
  <si>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</si>
  <si>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</si>
  <si>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</si>
  <si>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</si>
  <si>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</si>
  <si>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</si>
  <si>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</si>
  <si>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</si>
  <si>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</si>
  <si>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</si>
  <si>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</si>
  <si>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</si>
  <si>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</si>
  <si>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</si>
  <si>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</si>
  <si>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</si>
  <si>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</si>
  <si>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</si>
  <si>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</si>
  <si>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</si>
  <si>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</si>
  <si>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</si>
  <si>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</si>
  <si>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</si>
  <si>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</si>
  <si>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</si>
  <si>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</si>
  <si>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</si>
  <si>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</si>
  <si>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</si>
  <si>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</si>
  <si>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</si>
  <si>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</si>
  <si>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</si>
  <si>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</si>
  <si>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</si>
  <si>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</si>
  <si>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</si>
  <si>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</si>
  <si>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</si>
  <si>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</si>
  <si>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</si>
  <si>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</si>
  <si>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</si>
  <si>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</si>
  <si>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</si>
  <si>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</si>
  <si>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</si>
  <si>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</si>
  <si>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</si>
  <si>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</si>
  <si>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</si>
  <si>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</si>
  <si>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</si>
  <si>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</si>
  <si>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</si>
  <si>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</si>
  <si>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</si>
  <si>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</si>
  <si>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</si>
  <si>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</si>
  <si>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</si>
  <si>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</si>
  <si>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</si>
  <si>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</si>
  <si>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</si>
  <si>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</si>
  <si>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</si>
  <si>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</si>
  <si>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</si>
  <si>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</si>
  <si>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</si>
  <si>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</si>
  <si>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</si>
  <si>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</si>
  <si>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</si>
  <si>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</si>
  <si>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</si>
  <si>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</si>
  <si>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</si>
  <si>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</si>
  <si>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</si>
  <si>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</si>
  <si>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</si>
  <si>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</si>
  <si>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</si>
  <si>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</si>
  <si>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</si>
  <si>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</si>
  <si>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</si>
  <si>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</si>
  <si>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</si>
  <si>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</si>
  <si>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</si>
  <si>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</si>
  <si>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</si>
  <si>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</si>
  <si>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</si>
  <si>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</si>
  <si>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</si>
  <si>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</si>
  <si>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</si>
  <si>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</si>
  <si>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</si>
  <si>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</si>
  <si>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</si>
  <si>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</si>
  <si>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</si>
  <si>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</si>
  <si>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</si>
  <si>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</si>
  <si>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</si>
  <si>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</si>
  <si>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</si>
  <si>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</si>
  <si>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</si>
  <si>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</si>
  <si>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</si>
  <si>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</si>
  <si>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</si>
  <si>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</si>
  <si>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</si>
  <si>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</si>
  <si>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</si>
  <si>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</si>
  <si>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</si>
  <si>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</si>
  <si>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</si>
  <si>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</si>
  <si>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</si>
  <si>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</si>
  <si>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</si>
  <si>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</si>
  <si>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</si>
  <si>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</si>
  <si>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</si>
  <si>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</si>
  <si>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</si>
  <si>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</si>
  <si>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</si>
  <si>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</si>
  <si>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</si>
  <si>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</si>
  <si>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</si>
  <si>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</si>
  <si>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</si>
  <si>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</si>
  <si>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</si>
  <si>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</si>
  <si>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</si>
  <si>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</si>
  <si>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</si>
  <si>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</si>
  <si>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</si>
  <si>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</si>
  <si>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</si>
  <si>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</si>
  <si>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</si>
  <si>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</si>
  <si>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</si>
  <si>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</si>
  <si>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</si>
  <si>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</si>
  <si>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</si>
  <si>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</si>
  <si>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</si>
  <si>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</si>
  <si>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</si>
  <si>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</si>
  <si>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</si>
  <si>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</si>
  <si>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</si>
  <si>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</si>
  <si>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</si>
  <si>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</si>
  <si>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</si>
  <si>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</si>
  <si>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</si>
  <si>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</si>
  <si>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</si>
  <si>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</si>
  <si>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</si>
  <si>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</si>
  <si>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</si>
  <si>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</si>
  <si>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</si>
  <si>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</si>
  <si>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</si>
  <si>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</si>
  <si>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</si>
  <si>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</si>
  <si>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</si>
  <si>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</si>
  <si>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</si>
  <si>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</si>
  <si>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</si>
  <si>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</si>
  <si>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</si>
  <si>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</si>
  <si>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</si>
  <si>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</si>
  <si>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</si>
  <si>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</si>
  <si>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</si>
  <si>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</si>
  <si>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</si>
  <si>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</si>
  <si>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</si>
  <si>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</si>
  <si>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</si>
  <si>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</si>
  <si>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</si>
  <si>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</si>
  <si>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</si>
  <si>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</si>
  <si>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</si>
  <si>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</si>
  <si>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</si>
  <si>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</si>
  <si>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</si>
  <si>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</si>
  <si>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</si>
  <si>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</si>
  <si>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</si>
  <si>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</si>
  <si>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</si>
  <si>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</si>
  <si>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</si>
  <si>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</si>
  <si>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</si>
  <si>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</si>
  <si>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</si>
  <si>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</si>
  <si>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</si>
  <si>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</si>
  <si>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</si>
  <si>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</si>
  <si>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</si>
  <si>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</si>
  <si>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</si>
  <si>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</si>
  <si>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</si>
  <si>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</si>
  <si>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</si>
  <si>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</si>
  <si>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</si>
  <si>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</si>
  <si>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</si>
  <si>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</si>
  <si>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</si>
  <si>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</si>
  <si>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</si>
  <si>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</si>
  <si>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</si>
  <si>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</si>
  <si>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</si>
  <si>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</si>
  <si>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</si>
  <si>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</si>
  <si>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</si>
  <si>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</si>
  <si>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</si>
  <si>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</si>
  <si>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</si>
  <si>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</si>
  <si>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</si>
  <si>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</si>
  <si>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</si>
  <si>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</si>
  <si>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</si>
  <si>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</si>
  <si>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</si>
  <si>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</si>
  <si>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</si>
  <si>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</si>
  <si>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</si>
  <si>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</si>
  <si>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</si>
  <si>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</si>
  <si>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</si>
  <si>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</si>
  <si>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</si>
  <si>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</si>
  <si>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</si>
  <si>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</si>
  <si>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</si>
  <si>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</si>
  <si>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</si>
  <si>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</si>
  <si>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</si>
  <si>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</si>
  <si>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</si>
  <si>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</si>
  <si>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</si>
  <si>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</si>
  <si>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</si>
  <si>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</si>
  <si>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</si>
  <si>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</si>
  <si>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</si>
  <si>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</si>
  <si>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</si>
  <si>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</si>
  <si>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</si>
  <si>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</si>
  <si>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</si>
  <si>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</si>
  <si>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</si>
  <si>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</si>
  <si>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</si>
  <si>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</si>
  <si>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</si>
  <si>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</si>
  <si>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</si>
  <si>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</si>
  <si>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</si>
  <si>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</si>
  <si>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</si>
  <si>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</si>
  <si>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</si>
  <si>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</si>
  <si>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</si>
  <si>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</si>
  <si>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</si>
  <si>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</si>
  <si>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</si>
  <si>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</si>
  <si>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</si>
  <si>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</si>
  <si>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</si>
  <si>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</si>
  <si>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</si>
  <si>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</si>
  <si>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</si>
  <si>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</si>
  <si>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</si>
  <si>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</si>
  <si>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</si>
  <si>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</si>
  <si>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</si>
  <si>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</si>
  <si>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</si>
  <si>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</si>
  <si>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</si>
  <si>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</si>
  <si>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</si>
  <si>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</si>
  <si>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</si>
  <si>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</si>
  <si>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</si>
  <si>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</si>
  <si>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</si>
  <si>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</si>
  <si>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</si>
  <si>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</si>
  <si>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</si>
  <si>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</si>
  <si>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</si>
  <si>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</si>
  <si>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</si>
  <si>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</si>
  <si>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</si>
  <si>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</si>
  <si>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</si>
  <si>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</si>
  <si>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</si>
  <si>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</si>
  <si>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</si>
  <si>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</si>
  <si>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</si>
  <si>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</si>
  <si>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</si>
  <si>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</si>
  <si>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</si>
  <si>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</si>
  <si>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</si>
  <si>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</si>
  <si>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</si>
  <si>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</si>
  <si>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</si>
  <si>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</si>
  <si>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</si>
  <si>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</si>
  <si>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</si>
  <si>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</si>
  <si>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</si>
  <si>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</si>
  <si>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www.mures.ru</t>
  </si>
  <si>
    <t>https://portal.eias.ru/Portal/DownloadPage.aspx?type=12&amp;guid=15ecc088-9682-4ec9-99ec-eebe1a8e0f50</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</si>
  <si>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</si>
  <si>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https://portal.eias.ru/Portal/DownloadPage.aspx?type=12&amp;guid=302d4ece-e790-4d32-a7d8-ffc65b77ff6b</t>
  </si>
  <si>
    <t>копии правоустанавливающих документов, подтверждающих право собственности или иное законное право заявителя на подключаемый объект или земельный участок, права на которые не зарегистрированы в Едином государственном реестре недвижимости (в случае если такие права зарегистрированы в указанном реестре, представляются соответствующие выписки из Единого государственного реестра недвижимости)</t>
  </si>
  <si>
    <t>https://portal.eias.ru/Portal/DownloadPage.aspx?type=12&amp;guid=4b05fa97-8be3-4d16-bf27-a10e82cda4bf</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</si>
  <si>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</si>
  <si>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ситуационный план расположения подключаемого объекта с привязкой к территории населенного пункта или элементам территориального деления в схеме теплоснабжения</t>
  </si>
  <si>
    <t>топографическая карта земельного участка в масштабе 1:500 (для квартальной застройки 1:2000) с указанием всех наземных и подземных коммуникаций и сооружений (не прилагается в случае, если заявителем является физическое лицо, осуществляющее создание (реконструкцию) объекта индивидуального жилищного строительства)</t>
  </si>
  <si>
    <t>документы, подтверждающие полномочия лица, действующего от имени заявителя (в случае если заявка подается представителем заявителя)</t>
  </si>
  <si>
    <t>для юридических лиц - копии учредительных документов</t>
  </si>
  <si>
    <t xml:space="preserve">Постановление Правительства РФ от 05.07.2018 N 787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</si>
  <si>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</si>
  <si>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30.11.2021 N 2115</t>
  </si>
  <si>
    <t>5.1.1</t>
  </si>
  <si>
    <t>(8152) 69-15-23, 69-15-37</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</si>
  <si>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</si>
  <si>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</si>
  <si>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Канцелярия (прием заявок): 183034, г. Мурманск, ул. Свердлова, д.39 корпус 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</si>
  <si>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</si>
  <si>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5.2.2</t>
  </si>
  <si>
    <t>Производственно-технический отдел (обработка заявок): 183036, г. Мурманск, ул. Седова, д. 22 А</t>
  </si>
  <si>
    <t>с 08:30 до 17:30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</si>
  <si>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</si>
  <si>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</si>
  <si>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</si>
  <si>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</si>
  <si>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</si>
  <si>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</si>
  <si>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</si>
  <si>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</si>
  <si>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</si>
  <si>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</si>
  <si>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</si>
  <si>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</si>
  <si>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</si>
  <si>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</si>
  <si>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</si>
  <si>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</si>
  <si>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</si>
  <si>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</si>
  <si>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</si>
  <si>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</si>
  <si>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</si>
  <si>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</si>
  <si>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</si>
  <si>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</si>
  <si>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</si>
  <si>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</si>
  <si>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</si>
  <si>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</si>
  <si>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</si>
  <si>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</si>
  <si>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Внесение изменений в постановление Комитета по тарифному регулированию Мурманской области от 17.12.2020 № 56/9 в связи с корректировкой тарифов на теплоноситель, ранее установленных АО "МЭС" на 2023 год</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</si>
  <si>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</si>
  <si>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</si>
  <si>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</si>
  <si>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</si>
  <si>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</si>
  <si>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</si>
  <si>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</si>
  <si>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</si>
  <si>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</si>
  <si>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</si>
  <si>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</si>
  <si>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</si>
  <si>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</si>
  <si>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</si>
  <si>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</si>
  <si>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</si>
  <si>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</si>
  <si>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</si>
  <si>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</si>
  <si>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</si>
  <si>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</si>
  <si>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</si>
  <si>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</si>
  <si>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</si>
  <si>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</si>
  <si>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</si>
  <si>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</si>
  <si>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</si>
  <si>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</si>
  <si>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</si>
  <si>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</si>
  <si>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</si>
  <si>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</si>
  <si>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</si>
  <si>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</si>
  <si>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</si>
  <si>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</si>
  <si>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</si>
  <si>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</si>
  <si>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</si>
  <si>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</si>
  <si>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тарифы указаны с учетом Постановления КТР МО от 06.10.2023 № 36/2 "О внесении изменений в отдельные постановления Комитета по тарифному регулированию Мурманской области"</t>
  </si>
  <si>
    <t>льготный тариф для группы потребителей "население" указываются с учетом НДС в целях реализации пункта 6 статьи 168 Налогового кодекса РФ (часть вторая)</t>
  </si>
  <si>
    <t>тариф для группы потребителей "прочие" установлены без учета НДС</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</si>
  <si>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</si>
  <si>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</si>
  <si>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</si>
  <si>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</si>
  <si>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</si>
  <si>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</si>
  <si>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</si>
  <si>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</si>
  <si>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</si>
  <si>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</si>
  <si>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</si>
  <si>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</si>
  <si>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</si>
  <si>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</si>
  <si>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</si>
  <si>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</si>
  <si>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</si>
  <si>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</si>
  <si>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</si>
  <si>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</si>
  <si>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</si>
  <si>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</si>
  <si>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</si>
  <si>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</si>
  <si>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</si>
  <si>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</si>
  <si>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</si>
  <si>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</si>
  <si>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</si>
  <si>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</si>
  <si>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</si>
  <si>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</si>
  <si>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</si>
  <si>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</si>
  <si>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</si>
  <si>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</si>
  <si>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</si>
  <si>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</si>
  <si>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</si>
  <si>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</si>
  <si>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</si>
  <si>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</si>
  <si>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</si>
  <si>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</si>
  <si>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</si>
  <si>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</si>
  <si>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</si>
  <si>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</si>
  <si>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</si>
  <si>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</si>
  <si>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</si>
  <si>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</si>
  <si>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</si>
  <si>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</si>
  <si>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</si>
  <si>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</si>
  <si>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</si>
  <si>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</si>
  <si>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</si>
  <si>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</si>
  <si>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</si>
  <si>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</si>
  <si>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</si>
  <si>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</si>
  <si>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</si>
  <si>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</si>
  <si>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</si>
  <si>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</si>
  <si>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</si>
  <si>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</si>
  <si>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</si>
  <si>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</si>
  <si>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</si>
  <si>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</si>
  <si>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</si>
  <si>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</si>
  <si>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</si>
  <si>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</si>
  <si>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</si>
  <si>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</si>
  <si>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</si>
  <si>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</si>
  <si>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</si>
  <si>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</si>
  <si>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</si>
  <si>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</si>
  <si>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</si>
  <si>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</si>
  <si>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</si>
  <si>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</si>
  <si>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</si>
  <si>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</si>
  <si>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</si>
  <si>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</si>
  <si>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</si>
  <si>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</si>
  <si>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</si>
  <si>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</si>
  <si>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</si>
  <si>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</si>
  <si>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</si>
  <si>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</si>
  <si>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</si>
  <si>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</si>
  <si>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</si>
  <si>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</si>
  <si>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</si>
  <si>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</si>
  <si>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</si>
  <si>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</si>
  <si>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</si>
  <si>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</si>
  <si>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</si>
  <si>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</si>
  <si>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</si>
  <si>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</si>
  <si>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</si>
  <si>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</si>
  <si>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</si>
  <si>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</si>
  <si>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</si>
  <si>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</si>
  <si>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</si>
  <si>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</si>
  <si>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</si>
  <si>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</si>
  <si>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</si>
  <si>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</si>
  <si>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</si>
  <si>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</si>
  <si>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</si>
  <si>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</si>
  <si>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</si>
  <si>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</si>
  <si>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</si>
  <si>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</si>
  <si>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</si>
  <si>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</si>
  <si>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</si>
  <si>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</si>
  <si>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</si>
  <si>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</si>
  <si>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</si>
  <si>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</si>
  <si>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</si>
  <si>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</si>
  <si>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</si>
  <si>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</si>
  <si>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</si>
  <si>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</si>
  <si>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</si>
  <si>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</si>
  <si>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</si>
  <si>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</si>
  <si>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</si>
  <si>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</si>
  <si>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</si>
  <si>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</si>
  <si>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</si>
  <si>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</si>
  <si>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</si>
  <si>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</si>
  <si>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</si>
  <si>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</si>
  <si>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</si>
  <si>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</si>
  <si>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</si>
  <si>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</si>
  <si>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</si>
  <si>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</si>
  <si>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</si>
  <si>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</si>
  <si>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</si>
  <si>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</si>
  <si>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</si>
  <si>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</si>
  <si>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</si>
  <si>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</si>
  <si>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</si>
  <si>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</si>
  <si>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</si>
  <si>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</si>
  <si>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</si>
  <si>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</si>
  <si>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</si>
  <si>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</si>
  <si>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</si>
  <si>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</si>
  <si>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</si>
  <si>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</si>
  <si>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</si>
  <si>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</si>
  <si>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</si>
  <si>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</si>
  <si>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</si>
  <si>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</si>
  <si>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</si>
  <si>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</si>
  <si>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</si>
  <si>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</si>
  <si>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</si>
  <si>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</si>
  <si>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</si>
  <si>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</si>
  <si>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</si>
  <si>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</si>
  <si>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</si>
  <si>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</si>
  <si>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</si>
  <si>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</si>
  <si>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</si>
  <si>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</si>
  <si>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</si>
  <si>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</si>
  <si>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</si>
  <si>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</si>
  <si>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</si>
  <si>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</si>
  <si>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</si>
  <si>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</si>
  <si>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</si>
  <si>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</si>
  <si>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</si>
  <si>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</si>
  <si>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</si>
  <si>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</si>
  <si>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</si>
  <si>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</si>
  <si>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</si>
  <si>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</si>
  <si>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</si>
  <si>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</si>
  <si>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</si>
  <si>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</si>
  <si>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</si>
  <si>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</si>
  <si>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</si>
  <si>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</si>
  <si>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</si>
  <si>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</si>
  <si>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</si>
  <si>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</si>
  <si>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</si>
  <si>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</si>
  <si>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</si>
  <si>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</si>
  <si>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</si>
  <si>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</si>
  <si>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</si>
  <si>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</si>
  <si>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</si>
  <si>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</si>
  <si>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</si>
  <si>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</si>
  <si>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</si>
  <si>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</si>
  <si>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</si>
  <si>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</si>
  <si>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</si>
  <si>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</si>
  <si>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</si>
  <si>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</si>
  <si>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</si>
  <si>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</si>
  <si>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</si>
  <si>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</si>
  <si>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</si>
  <si>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</si>
  <si>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</si>
  <si>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</si>
  <si>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</si>
  <si>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</si>
  <si>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</si>
  <si>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</si>
  <si>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</si>
  <si>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</si>
  <si>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</si>
  <si>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</si>
  <si>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</si>
  <si>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</si>
  <si>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</si>
  <si>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</si>
  <si>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</si>
  <si>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</si>
  <si>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</si>
  <si>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</si>
  <si>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</si>
  <si>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</si>
  <si>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</si>
  <si>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</si>
  <si>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</si>
  <si>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</si>
  <si>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</si>
  <si>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</si>
  <si>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</si>
  <si>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</si>
  <si>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</si>
  <si>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</si>
  <si>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</si>
  <si>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</si>
  <si>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</si>
  <si>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</si>
  <si>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</si>
  <si>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</si>
  <si>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</si>
  <si>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</si>
  <si>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</si>
  <si>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</si>
  <si>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</si>
  <si>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</si>
  <si>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</si>
  <si>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</si>
  <si>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</si>
  <si>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</si>
  <si>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</si>
  <si>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</si>
  <si>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</si>
  <si>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</si>
  <si>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</si>
  <si>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</si>
  <si>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</si>
  <si>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</si>
  <si>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</si>
  <si>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</si>
  <si>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</si>
  <si>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</si>
  <si>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</si>
  <si>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</si>
  <si>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</si>
  <si>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</si>
  <si>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</si>
  <si>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</si>
  <si>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</si>
  <si>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</si>
  <si>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</si>
  <si>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</si>
  <si>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</si>
  <si>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</si>
  <si>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</si>
  <si>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</si>
  <si>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</si>
  <si>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</si>
  <si>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</si>
  <si>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</si>
  <si>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</si>
  <si>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</si>
  <si>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</si>
  <si>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</si>
  <si>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</si>
  <si>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</si>
  <si>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</si>
  <si>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</si>
  <si>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</si>
  <si>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</si>
  <si>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</si>
  <si>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</si>
  <si>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</si>
  <si>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</si>
  <si>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</si>
  <si>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</si>
  <si>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</si>
  <si>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</si>
  <si>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</si>
  <si>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</si>
  <si>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</si>
  <si>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</si>
  <si>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</si>
  <si>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</si>
  <si>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</si>
  <si>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</si>
  <si>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</si>
  <si>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</si>
  <si>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</si>
  <si>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</si>
  <si>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</si>
  <si>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</si>
  <si>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</si>
  <si>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</si>
  <si>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</si>
  <si>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</si>
  <si>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</si>
  <si>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</si>
  <si>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</si>
  <si>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</si>
  <si>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</si>
  <si>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</si>
  <si>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</si>
  <si>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</si>
  <si>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</si>
  <si>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</si>
  <si>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</si>
  <si>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</si>
  <si>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</si>
  <si>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</si>
  <si>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</si>
  <si>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</si>
  <si>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</si>
  <si>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</si>
  <si>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</si>
  <si>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</si>
  <si>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</si>
  <si>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</si>
  <si>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</si>
  <si>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</si>
  <si>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</si>
  <si>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</si>
  <si>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</si>
  <si>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</si>
  <si>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</si>
  <si>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</si>
  <si>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</si>
  <si>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</si>
  <si>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</si>
  <si>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</si>
  <si>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</si>
  <si>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</si>
  <si>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</si>
  <si>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</si>
  <si>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</si>
  <si>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</si>
  <si>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</si>
  <si>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</si>
  <si>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</si>
  <si>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</si>
  <si>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</si>
  <si>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</si>
  <si>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</si>
  <si>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</si>
  <si>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</si>
  <si>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</si>
  <si>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</si>
  <si>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</si>
  <si>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</si>
  <si>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</si>
  <si>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</si>
  <si>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</si>
  <si>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</si>
  <si>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</si>
  <si>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 xml:space="preserve">  Иные бюджетные средства</t>
  </si>
  <si>
    <t>Курганская область</t>
  </si>
  <si>
    <t>Виды деятельности</t>
  </si>
  <si>
    <t>https://appsrv.regportal-tariff.ru/procwsxls/</t>
  </si>
  <si>
    <t>30</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</si>
  <si>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</si>
  <si>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</si>
  <si>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</si>
  <si>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</si>
  <si>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</si>
  <si>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</si>
  <si>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</si>
  <si>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</si>
  <si>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</si>
  <si>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</si>
  <si>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</si>
  <si>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</si>
  <si>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</si>
  <si>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</si>
  <si>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</si>
  <si>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</si>
  <si>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</si>
  <si>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</si>
  <si>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</si>
  <si>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</si>
  <si>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</si>
  <si>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</si>
  <si>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</si>
  <si>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</si>
  <si>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</si>
  <si>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</si>
  <si>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</si>
  <si>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</si>
  <si>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</si>
  <si>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</si>
  <si>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</si>
  <si>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</si>
  <si>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</si>
  <si>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</si>
  <si>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</si>
  <si>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</si>
  <si>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</si>
  <si>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</si>
  <si>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</si>
  <si>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</si>
  <si>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</si>
  <si>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</si>
  <si>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</si>
  <si>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</si>
  <si>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</si>
  <si>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</si>
  <si>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</si>
  <si>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</si>
  <si>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</si>
  <si>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</si>
  <si>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</si>
  <si>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</si>
  <si>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</si>
  <si>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</si>
  <si>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</si>
  <si>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</si>
  <si>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</si>
  <si>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</si>
  <si>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</si>
  <si>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</si>
  <si>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</si>
  <si>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</si>
  <si>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</si>
  <si>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</si>
  <si>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</si>
  <si>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</si>
  <si>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</si>
  <si>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</si>
  <si>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</si>
  <si>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</si>
  <si>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</si>
  <si>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</si>
  <si>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</si>
  <si>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</si>
  <si>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</si>
  <si>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</si>
  <si>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</si>
  <si>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</si>
  <si>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</si>
  <si>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</si>
  <si>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</si>
  <si>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</si>
  <si>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</si>
  <si>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</si>
  <si>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</si>
  <si>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</si>
  <si>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</si>
  <si>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</si>
  <si>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</si>
  <si>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</si>
  <si>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</si>
  <si>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</si>
  <si>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</si>
  <si>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</si>
  <si>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</si>
  <si>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</si>
  <si>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</si>
  <si>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</si>
  <si>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</si>
  <si>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</si>
  <si>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</si>
  <si>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</si>
  <si>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</si>
  <si>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</si>
  <si>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</si>
  <si>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</si>
  <si>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</si>
  <si>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</si>
  <si>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</si>
  <si>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</si>
  <si>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</si>
  <si>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</si>
  <si>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</si>
  <si>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</si>
  <si>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</si>
  <si>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</si>
  <si>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</si>
  <si>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</si>
  <si>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</si>
  <si>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</si>
  <si>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</si>
  <si>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</si>
  <si>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</si>
  <si>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</si>
  <si>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</si>
  <si>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</si>
  <si>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</si>
  <si>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</si>
  <si>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</si>
  <si>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</si>
  <si>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</si>
  <si>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</si>
  <si>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</si>
  <si>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</si>
  <si>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</si>
  <si>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</si>
  <si>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</si>
  <si>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</si>
  <si>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</si>
  <si>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</si>
  <si>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</si>
  <si>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</si>
  <si>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</si>
  <si>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</si>
  <si>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</si>
  <si>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</si>
  <si>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</si>
  <si>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</si>
  <si>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</si>
  <si>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</si>
  <si>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</si>
  <si>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</si>
  <si>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</si>
  <si>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</si>
  <si>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</si>
  <si>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</si>
  <si>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</si>
  <si>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</si>
  <si>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</si>
  <si>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</si>
  <si>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</si>
  <si>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</si>
  <si>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</si>
  <si>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</si>
  <si>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</si>
  <si>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</si>
  <si>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</si>
  <si>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</si>
  <si>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</si>
  <si>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</si>
  <si>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</si>
  <si>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</si>
  <si>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</si>
  <si>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</si>
  <si>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</si>
  <si>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</si>
  <si>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</si>
  <si>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</si>
  <si>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</si>
  <si>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</si>
  <si>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</si>
  <si>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</si>
  <si>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</si>
  <si>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</si>
  <si>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</si>
  <si>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</si>
  <si>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</si>
  <si>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</si>
  <si>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</si>
  <si>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</si>
  <si>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</si>
  <si>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</si>
  <si>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</si>
  <si>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</si>
  <si>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</si>
  <si>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</si>
  <si>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</si>
  <si>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</si>
  <si>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</si>
  <si>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</si>
  <si>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</si>
  <si>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</si>
  <si>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</si>
  <si>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</si>
  <si>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</si>
  <si>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</si>
  <si>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</si>
  <si>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</si>
  <si>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</si>
  <si>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</si>
  <si>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</si>
  <si>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</si>
  <si>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</si>
  <si>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</si>
  <si>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</si>
  <si>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</si>
  <si>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</si>
  <si>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</si>
  <si>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</si>
  <si>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</si>
  <si>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</si>
  <si>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</si>
  <si>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</si>
  <si>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</si>
  <si>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</si>
  <si>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</si>
  <si>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</si>
  <si>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</si>
  <si>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</si>
  <si>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</si>
  <si>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</si>
  <si>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</si>
  <si>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</si>
  <si>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</si>
  <si>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</si>
  <si>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</si>
  <si>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</si>
  <si>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</si>
  <si>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</si>
  <si>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</si>
  <si>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</si>
  <si>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</si>
  <si>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</si>
  <si>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</si>
  <si>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</si>
  <si>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</si>
  <si>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</si>
  <si>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</si>
  <si>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</si>
  <si>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</si>
  <si>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</si>
  <si>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</si>
  <si>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</si>
  <si>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</si>
  <si>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</si>
  <si>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</si>
  <si>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</si>
  <si>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</si>
  <si>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</si>
  <si>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</si>
  <si>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</si>
  <si>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</si>
  <si>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</si>
  <si>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</si>
  <si>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</si>
  <si>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</si>
  <si>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</si>
  <si>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</si>
  <si>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</si>
  <si>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</si>
  <si>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</si>
  <si>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</si>
  <si>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</si>
  <si>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</si>
  <si>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</si>
  <si>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</si>
  <si>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</si>
  <si>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</si>
  <si>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</si>
  <si>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</si>
  <si>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</si>
  <si>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</si>
  <si>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</si>
  <si>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</si>
  <si>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</si>
  <si>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</si>
  <si>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</si>
  <si>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</si>
  <si>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</si>
  <si>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</si>
  <si>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</si>
  <si>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</si>
  <si>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</si>
  <si>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</si>
  <si>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</si>
  <si>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</si>
  <si>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</si>
  <si>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</si>
  <si>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</si>
  <si>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</si>
  <si>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</si>
  <si>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</si>
  <si>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</si>
  <si>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</si>
  <si>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</si>
  <si>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</si>
  <si>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</si>
  <si>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</si>
  <si>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</si>
  <si>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</si>
  <si>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</si>
  <si>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</si>
  <si>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</si>
  <si>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</si>
  <si>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</si>
  <si>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</si>
  <si>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</si>
  <si>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</si>
  <si>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</si>
  <si>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</si>
  <si>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</si>
  <si>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</si>
  <si>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</si>
  <si>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</si>
  <si>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</si>
  <si>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</si>
  <si>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</si>
  <si>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</si>
  <si>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</si>
  <si>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</si>
  <si>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</si>
  <si>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</si>
  <si>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</si>
  <si>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</si>
  <si>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</si>
  <si>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</si>
  <si>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</si>
  <si>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</si>
  <si>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</si>
  <si>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</si>
  <si>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</si>
  <si>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</si>
  <si>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</si>
  <si>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</si>
  <si>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</si>
  <si>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</si>
  <si>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</si>
  <si>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</si>
  <si>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</si>
  <si>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</si>
  <si>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</si>
  <si>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</si>
  <si>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</si>
  <si>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</si>
  <si>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</si>
  <si>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</si>
  <si>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</si>
  <si>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</si>
  <si>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</si>
  <si>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</si>
  <si>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</si>
  <si>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</si>
  <si>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</si>
  <si>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</si>
  <si>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</si>
  <si>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</si>
  <si>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</si>
  <si>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</si>
  <si>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</si>
  <si>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</si>
  <si>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</si>
  <si>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</si>
  <si>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</si>
  <si>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</si>
  <si>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</si>
  <si>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</si>
  <si>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</si>
  <si>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</si>
  <si>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</si>
  <si>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</si>
  <si>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</si>
  <si>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</si>
  <si>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</si>
  <si>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</si>
  <si>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</si>
  <si>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</si>
  <si>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</si>
  <si>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</si>
  <si>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</si>
  <si>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</si>
  <si>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</si>
  <si>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</si>
  <si>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</si>
  <si>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</si>
  <si>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</si>
  <si>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</si>
  <si>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</si>
  <si>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</si>
  <si>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</si>
  <si>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</si>
  <si>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</si>
  <si>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</si>
  <si>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</si>
  <si>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</si>
  <si>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</si>
  <si>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</si>
  <si>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</si>
  <si>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</si>
  <si>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</si>
  <si>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</si>
  <si>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</si>
  <si>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</si>
  <si>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</si>
  <si>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</si>
  <si>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</si>
  <si>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</si>
  <si>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</si>
  <si>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</si>
  <si>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</si>
  <si>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</si>
  <si>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</si>
  <si>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</si>
  <si>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</si>
  <si>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</si>
  <si>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</si>
  <si>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</si>
  <si>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</si>
  <si>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</si>
  <si>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</si>
  <si>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</si>
  <si>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</si>
  <si>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</si>
  <si>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</si>
  <si>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</si>
  <si>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</si>
  <si>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</si>
  <si>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</si>
  <si>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</si>
  <si>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</si>
  <si>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</si>
  <si>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</si>
  <si>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</si>
  <si>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</si>
  <si>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</si>
  <si>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</si>
  <si>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</si>
  <si>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</si>
  <si>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</si>
  <si>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</si>
  <si>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</si>
  <si>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</si>
  <si>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</si>
  <si>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</si>
  <si>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</si>
  <si>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</si>
  <si>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</si>
  <si>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</si>
  <si>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</si>
  <si>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</si>
  <si>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</si>
  <si>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</si>
  <si>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</si>
  <si>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</si>
  <si>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</si>
  <si>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</si>
  <si>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</si>
  <si>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</si>
  <si>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</si>
  <si>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</si>
  <si>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</si>
  <si>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</si>
  <si>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</si>
  <si>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</si>
  <si>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</si>
  <si>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</si>
  <si>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</si>
  <si>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</si>
  <si>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</si>
  <si>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</si>
  <si>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</si>
  <si>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</si>
  <si>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</si>
  <si>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</si>
  <si>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</si>
  <si>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</si>
  <si>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</si>
  <si>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</si>
  <si>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</si>
  <si>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</si>
  <si>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</si>
  <si>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</si>
  <si>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</si>
  <si>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</si>
  <si>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</si>
  <si>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</si>
  <si>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</si>
  <si>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</si>
  <si>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</si>
  <si>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</si>
  <si>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</si>
  <si>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</si>
  <si>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</si>
  <si>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</si>
  <si>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</si>
  <si>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</si>
  <si>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</si>
  <si>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</si>
  <si>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</si>
  <si>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</si>
  <si>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</si>
  <si>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</si>
  <si>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</si>
  <si>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</si>
  <si>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</si>
  <si>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</si>
  <si>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</si>
  <si>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</si>
  <si>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</si>
  <si>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</si>
  <si>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</si>
  <si>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</si>
  <si>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</si>
  <si>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</si>
  <si>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</si>
  <si>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</si>
  <si>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</si>
  <si>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</si>
  <si>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</si>
  <si>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</si>
  <si>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</si>
  <si>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</si>
  <si>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</si>
  <si>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</si>
  <si>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</si>
  <si>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</si>
  <si>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</si>
  <si>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</si>
  <si>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</si>
  <si>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</si>
  <si>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</si>
  <si>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</si>
  <si>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</si>
  <si>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</si>
  <si>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</si>
  <si>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</si>
  <si>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</si>
  <si>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</si>
  <si>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</si>
  <si>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</si>
  <si>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</si>
  <si>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</si>
  <si>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</si>
  <si>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</si>
  <si>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</si>
  <si>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</si>
  <si>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</si>
  <si>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</si>
  <si>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</si>
  <si>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</si>
  <si>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</si>
  <si>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</si>
  <si>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</si>
  <si>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</si>
  <si>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</si>
  <si>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</si>
  <si>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</si>
  <si>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</si>
  <si>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</si>
  <si>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charset val="204"/>
        <family val="2"/>
        <rFont val="Tahoma"/>
        <sz val="10"/>
        <vertAlign val="superscript"/>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</si>
  <si>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</si>
  <si>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</si>
  <si>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</si>
  <si>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</si>
  <si>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</si>
  <si>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</si>
  <si>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</si>
  <si>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</si>
  <si>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</si>
  <si>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</si>
  <si>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</si>
  <si>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</si>
  <si>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</si>
  <si>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</si>
  <si>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</si>
  <si>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</si>
  <si>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</si>
  <si>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</si>
  <si>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</si>
  <si>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</si>
  <si>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</si>
  <si>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</si>
  <si>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</si>
  <si>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2611</t>
  </si>
  <si>
    <t>31043319</t>
  </si>
  <si>
    <t>АО "Апатит"</t>
  </si>
  <si>
    <t>5103070023</t>
  </si>
  <si>
    <t>511843001</t>
  </si>
  <si>
    <t>01-06-2017 00:00:00</t>
  </si>
  <si>
    <t>26319704</t>
  </si>
  <si>
    <t>997350001</t>
  </si>
  <si>
    <t>31-07-2002 00:00:00</t>
  </si>
  <si>
    <t>26319716</t>
  </si>
  <si>
    <t>АО "Аэропорт Мурманск"</t>
  </si>
  <si>
    <t>5105040715</t>
  </si>
  <si>
    <t>510501001</t>
  </si>
  <si>
    <t>26467241</t>
  </si>
  <si>
    <t>АО "Завод ТО ТБО"</t>
  </si>
  <si>
    <t>5190400081</t>
  </si>
  <si>
    <t>14-10-2002 00:00:00</t>
  </si>
  <si>
    <t>26467339</t>
  </si>
  <si>
    <t>АО "Ковдорский ГОК"</t>
  </si>
  <si>
    <t>5104002234</t>
  </si>
  <si>
    <t>997550001</t>
  </si>
  <si>
    <t>26319706</t>
  </si>
  <si>
    <t>АО "Кольская ГМК"</t>
  </si>
  <si>
    <t>5191431170</t>
  </si>
  <si>
    <t>16-11-1998 00:00:00</t>
  </si>
  <si>
    <t>26467347</t>
  </si>
  <si>
    <t>АО "Мончегорская теплосеть"</t>
  </si>
  <si>
    <t>5107909768</t>
  </si>
  <si>
    <t>510701001</t>
  </si>
  <si>
    <t>26318564</t>
  </si>
  <si>
    <t>АО "Мурманская ТЭЦ"</t>
  </si>
  <si>
    <t>5190141373</t>
  </si>
  <si>
    <t>26467248</t>
  </si>
  <si>
    <t>АО "Мурманский морской торговый порт"</t>
  </si>
  <si>
    <t>5190400349</t>
  </si>
  <si>
    <t>30-06-1994 00:00:00</t>
  </si>
  <si>
    <t>27030253</t>
  </si>
  <si>
    <t>26319735</t>
  </si>
  <si>
    <t>АО "ОЛКОН"</t>
  </si>
  <si>
    <t>5108300030</t>
  </si>
  <si>
    <t>519950001</t>
  </si>
  <si>
    <t>31457355</t>
  </si>
  <si>
    <t>АО "ОТС"</t>
  </si>
  <si>
    <t>5108003888</t>
  </si>
  <si>
    <t>510801001</t>
  </si>
  <si>
    <t>01-10-2020 00:00:00</t>
  </si>
  <si>
    <t>26838066</t>
  </si>
  <si>
    <t>АО "РЭУ"</t>
  </si>
  <si>
    <t>7714783092</t>
  </si>
  <si>
    <t>770401001</t>
  </si>
  <si>
    <t>28150020</t>
  </si>
  <si>
    <t>АО "ХТК"</t>
  </si>
  <si>
    <t>5101360369</t>
  </si>
  <si>
    <t>510301001</t>
  </si>
  <si>
    <t>26-04-2007 00:00:00</t>
  </si>
  <si>
    <t>26526562</t>
  </si>
  <si>
    <t>АО "ЦС "Звездочка" (филиал "СРЗ "Нерпа")</t>
  </si>
  <si>
    <t>2902060361</t>
  </si>
  <si>
    <t>511243001</t>
  </si>
  <si>
    <t>26319710</t>
  </si>
  <si>
    <t>Акционерное Общество "Мурманский морской рыбный порт"</t>
  </si>
  <si>
    <t>5190146332</t>
  </si>
  <si>
    <t>14-02-2006 00:00:00</t>
  </si>
  <si>
    <t>26319745</t>
  </si>
  <si>
    <t>Акционерное общество "Апатитыэнерго"</t>
  </si>
  <si>
    <t>5101360376</t>
  </si>
  <si>
    <t>511801001</t>
  </si>
  <si>
    <t>26824425</t>
  </si>
  <si>
    <t>Акционерное общество "Мурманская областная электросетевая компания"</t>
  </si>
  <si>
    <t>5190197680</t>
  </si>
  <si>
    <t>26467341</t>
  </si>
  <si>
    <t>ГОУП "Мурманскводоканал"</t>
  </si>
  <si>
    <t>5193600346</t>
  </si>
  <si>
    <t>15-05-1998 00:00:00</t>
  </si>
  <si>
    <t>31464643</t>
  </si>
  <si>
    <t>МБУ "РЭС"</t>
  </si>
  <si>
    <t>5109003658</t>
  </si>
  <si>
    <t>510901001</t>
  </si>
  <si>
    <t>26373357</t>
  </si>
  <si>
    <t>МБУ "СЕЗ МО с.п. Пушной"</t>
  </si>
  <si>
    <t>5105032256</t>
  </si>
  <si>
    <t>27050449</t>
  </si>
  <si>
    <t>МКП "Жилищное хозяйство" МО с.п. Печенга</t>
  </si>
  <si>
    <t>5109002037</t>
  </si>
  <si>
    <t>02-02-2011 00:00:00</t>
  </si>
  <si>
    <t>27589134</t>
  </si>
  <si>
    <t>МКП с.п. Корзуново "Тепложилсервис"</t>
  </si>
  <si>
    <t>5109004429</t>
  </si>
  <si>
    <t>01-09-2011 00:00:00</t>
  </si>
  <si>
    <t>31225444</t>
  </si>
  <si>
    <t>МУП "ВКХ"</t>
  </si>
  <si>
    <t>5102003828</t>
  </si>
  <si>
    <t>510201001</t>
  </si>
  <si>
    <t>24-07-2018 00:00:00</t>
  </si>
  <si>
    <t>28459690</t>
  </si>
  <si>
    <t>МУП "Водоканал-Ревда" муниципального образования городское поселение Ревда Ловозерского района</t>
  </si>
  <si>
    <t>5106000176</t>
  </si>
  <si>
    <t>510601001</t>
  </si>
  <si>
    <t>31327720</t>
  </si>
  <si>
    <t>МУП "ГУК"</t>
  </si>
  <si>
    <t>5108003493</t>
  </si>
  <si>
    <t>30946827</t>
  </si>
  <si>
    <t>МУП "ДТХ" ЗАТО г. Заозерск</t>
  </si>
  <si>
    <t>5115300200</t>
  </si>
  <si>
    <t>511501001</t>
  </si>
  <si>
    <t>29649074</t>
  </si>
  <si>
    <t>МУП "Ена"</t>
  </si>
  <si>
    <t>5104001449</t>
  </si>
  <si>
    <t>510401001</t>
  </si>
  <si>
    <t>28459754</t>
  </si>
  <si>
    <t>МУП "Кильдинстрой"</t>
  </si>
  <si>
    <t>5105032707</t>
  </si>
  <si>
    <t>26319744</t>
  </si>
  <si>
    <t>МУП "Кировская городская электрическая сеть"</t>
  </si>
  <si>
    <t>5103021241</t>
  </si>
  <si>
    <t>28875370</t>
  </si>
  <si>
    <t>МУП "Лавна"</t>
  </si>
  <si>
    <t>5105032753</t>
  </si>
  <si>
    <t>27579061</t>
  </si>
  <si>
    <t>МУП "МУК"</t>
  </si>
  <si>
    <t>5190932618</t>
  </si>
  <si>
    <t>26467328</t>
  </si>
  <si>
    <t>МУП "Недвижимость Кандалакши"</t>
  </si>
  <si>
    <t>5102002253</t>
  </si>
  <si>
    <t>30866806</t>
  </si>
  <si>
    <t>МУП "Ресурс"</t>
  </si>
  <si>
    <t>5102003507</t>
  </si>
  <si>
    <t>08-12-2016 00:00:00</t>
  </si>
  <si>
    <t>26526674</t>
  </si>
  <si>
    <t>МУП "Сервис"</t>
  </si>
  <si>
    <t>5111002718</t>
  </si>
  <si>
    <t>511101001</t>
  </si>
  <si>
    <t>27061909</t>
  </si>
  <si>
    <t>МУП "Тепловые сети МО г. Заполярный"</t>
  </si>
  <si>
    <t>5109004718</t>
  </si>
  <si>
    <t>26646677</t>
  </si>
  <si>
    <t>МУП "УМС-СЕЗ  г.п. Молочный"</t>
  </si>
  <si>
    <t>5105030940</t>
  </si>
  <si>
    <t>30918265</t>
  </si>
  <si>
    <t>МУП "Хибины"</t>
  </si>
  <si>
    <t>5103301030</t>
  </si>
  <si>
    <t>29649087</t>
  </si>
  <si>
    <t>МУП "Энергия"</t>
  </si>
  <si>
    <t>5117000065</t>
  </si>
  <si>
    <t>511701001</t>
  </si>
  <si>
    <t>31432376</t>
  </si>
  <si>
    <t>МУП «РККР»</t>
  </si>
  <si>
    <t>5105013486</t>
  </si>
  <si>
    <t>29-05-2020 00:00:00</t>
  </si>
  <si>
    <t>30866847</t>
  </si>
  <si>
    <t>МУП ЖКХ "Вымпел"</t>
  </si>
  <si>
    <t>5102000619</t>
  </si>
  <si>
    <t>11-11-2015 00:00:00</t>
  </si>
  <si>
    <t>31041154</t>
  </si>
  <si>
    <t>МУП Кольского района "УЖКХ"</t>
  </si>
  <si>
    <t>5105032739</t>
  </si>
  <si>
    <t>26382470</t>
  </si>
  <si>
    <t>МУПП "ЖКХ" ЗАТО Видяево</t>
  </si>
  <si>
    <t>5105031630</t>
  </si>
  <si>
    <t>511001001</t>
  </si>
  <si>
    <t>31-10-2002 00:00:00</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</si>
  <si>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</si>
  <si>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</si>
  <si>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</si>
  <si>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</si>
  <si>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</si>
  <si>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28014300</t>
  </si>
  <si>
    <t>ООО "АтомТеплоЭлектроСеть"</t>
  </si>
  <si>
    <t>7705923730</t>
  </si>
  <si>
    <t>511743001</t>
  </si>
  <si>
    <t>30845082</t>
  </si>
  <si>
    <t>ООО "Верхнетуломская тепловая компания"</t>
  </si>
  <si>
    <t>5105010439</t>
  </si>
  <si>
    <t>30832102</t>
  </si>
  <si>
    <t>ООО "Мурмашинская тепловая компания"</t>
  </si>
  <si>
    <t>5105010446</t>
  </si>
  <si>
    <t>28499647</t>
  </si>
  <si>
    <t>ООО "ПромВоенСтрой"</t>
  </si>
  <si>
    <t>7842410730</t>
  </si>
  <si>
    <t>784101001</t>
  </si>
  <si>
    <t>19-06-2009 00:00:00</t>
  </si>
  <si>
    <t>28981214</t>
  </si>
  <si>
    <t>ООО "СМАРТ ЭНЕРГО"</t>
  </si>
  <si>
    <t>5190048543</t>
  </si>
  <si>
    <t>26-06-2023 00:00:00</t>
  </si>
  <si>
    <t>30408038</t>
  </si>
  <si>
    <t>ООО "СТК"</t>
  </si>
  <si>
    <t>5102000545</t>
  </si>
  <si>
    <t>27570497</t>
  </si>
  <si>
    <t>ООО "СевТехноСервис"</t>
  </si>
  <si>
    <t>5106801049</t>
  </si>
  <si>
    <t>26373352</t>
  </si>
  <si>
    <t>ООО "Тепловодоканал"</t>
  </si>
  <si>
    <t>5104908766</t>
  </si>
  <si>
    <t>21-03-2003 00:00:00</t>
  </si>
  <si>
    <t>28878308</t>
  </si>
  <si>
    <t>ООО "Теплонорд"</t>
  </si>
  <si>
    <t>7841501872</t>
  </si>
  <si>
    <t>31639144</t>
  </si>
  <si>
    <t>ООО "Теплосетевая компания СЕВЕР"</t>
  </si>
  <si>
    <t>1001349036</t>
  </si>
  <si>
    <t>100101001</t>
  </si>
  <si>
    <t>28-08-2020 00:00:00</t>
  </si>
  <si>
    <t>26467459</t>
  </si>
  <si>
    <t>ООО "Теплострой плюс"</t>
  </si>
  <si>
    <t>7842322869</t>
  </si>
  <si>
    <t>784201001</t>
  </si>
  <si>
    <t>31538928</t>
  </si>
  <si>
    <t>ООО «ТЭС»</t>
  </si>
  <si>
    <t>5108004000</t>
  </si>
  <si>
    <t>30946839</t>
  </si>
  <si>
    <t>ООО «Тепло Людям. Умба»</t>
  </si>
  <si>
    <t>5190070965</t>
  </si>
  <si>
    <t>30397624</t>
  </si>
  <si>
    <t>ОП "Мурманское" АО "ГУ ЖКХ"</t>
  </si>
  <si>
    <t>5116000922</t>
  </si>
  <si>
    <t>519045001</t>
  </si>
  <si>
    <t>12-10-2015 00:00:00</t>
  </si>
  <si>
    <t>27670488</t>
  </si>
  <si>
    <t>Октябрьская железная дорога - филиал ОАО "РЖД"</t>
  </si>
  <si>
    <t>997650011</t>
  </si>
  <si>
    <t>26467270</t>
  </si>
  <si>
    <t>ПАО "ТГК-1" (филиал "Кольский")</t>
  </si>
  <si>
    <t>7841312071</t>
  </si>
  <si>
    <t>30397151</t>
  </si>
  <si>
    <t>ТП "Водоканал" АО "ГУ ЖКХ"</t>
  </si>
  <si>
    <t>511645001</t>
  </si>
  <si>
    <t>25-09-2015 00:00:00</t>
  </si>
  <si>
    <t>26373354</t>
  </si>
  <si>
    <t>УМ ЖКП п. Туманный</t>
  </si>
  <si>
    <t>5105031559</t>
  </si>
  <si>
    <t>03-07-2002 00:00:00</t>
  </si>
  <si>
    <t>09-06-2023 00:00:00</t>
  </si>
  <si>
    <t>28941546</t>
  </si>
  <si>
    <t>УМПП ЖКХ ЗАТО Александровск</t>
  </si>
  <si>
    <t>5112100059</t>
  </si>
  <si>
    <t>511601001</t>
  </si>
  <si>
    <t>31165640</t>
  </si>
  <si>
    <t>ФГБУ "Главрыбвод" Мурманский филиал</t>
  </si>
  <si>
    <t>7708044880</t>
  </si>
  <si>
    <t>519043001</t>
  </si>
  <si>
    <t>23-01-2017 00:00:00</t>
  </si>
  <si>
    <t>30929355</t>
  </si>
  <si>
    <t>ФГБУ "ЦЖКУ" МО РФ (по ОСК Северного флота)</t>
  </si>
  <si>
    <t>7729314745</t>
  </si>
  <si>
    <t>26467455</t>
  </si>
  <si>
    <t>ФКУ ИК-18 УФСИН России по Мурманской области</t>
  </si>
  <si>
    <t>5105020878</t>
  </si>
  <si>
    <t>26506535</t>
  </si>
  <si>
    <t>Филиал АО Концерн Росэнергоатом Кольская атомная станция</t>
  </si>
  <si>
    <t>7721632827</t>
  </si>
  <si>
    <t>26467656</t>
  </si>
  <si>
    <t>АО "Апатитыводоканал"</t>
  </si>
  <si>
    <t>5101360351</t>
  </si>
  <si>
    <t>12-04-2007 00:00:00</t>
  </si>
  <si>
    <t>31414935</t>
  </si>
  <si>
    <t>АО "Городские сети</t>
  </si>
  <si>
    <t>5105013366</t>
  </si>
  <si>
    <t>25-02-2020 00:00:00</t>
  </si>
  <si>
    <t>26373361</t>
  </si>
  <si>
    <t>АО "Мончегорскводоканал"</t>
  </si>
  <si>
    <t>5107909951</t>
  </si>
  <si>
    <t>01-12-2005 00:00:00</t>
  </si>
  <si>
    <t>26319732</t>
  </si>
  <si>
    <t>АО "ЦС "Звездочка" (филиал "35 СРЗ")</t>
  </si>
  <si>
    <t>12-11-2008 00:00:00</t>
  </si>
  <si>
    <t>26373345</t>
  </si>
  <si>
    <t>ГОУП "Кандалакшаводоканал"</t>
  </si>
  <si>
    <t>5102006040</t>
  </si>
  <si>
    <t>17-05-2002 00:00:00</t>
  </si>
  <si>
    <t>26646662</t>
  </si>
  <si>
    <t>МБУ "СЕЗ МО п. Кильдинстрой"</t>
  </si>
  <si>
    <t>5105032224</t>
  </si>
  <si>
    <t>26319743</t>
  </si>
  <si>
    <t>МУП "Горэлектросеть" ЗАТО г. Островной</t>
  </si>
  <si>
    <t>5114120981</t>
  </si>
  <si>
    <t>511401001</t>
  </si>
  <si>
    <t>31618229</t>
  </si>
  <si>
    <t>МУП "Ковдорводоканал"</t>
  </si>
  <si>
    <t>5104005443</t>
  </si>
  <si>
    <t>01-07-2022 00:00:00</t>
  </si>
  <si>
    <t>26373365</t>
  </si>
  <si>
    <t>МУП "Североморскводоканал"</t>
  </si>
  <si>
    <t>5110120910</t>
  </si>
  <si>
    <t>22-09-1998 00:00:00</t>
  </si>
  <si>
    <t>30946922</t>
  </si>
  <si>
    <t>МУП "Сети Никеля"</t>
  </si>
  <si>
    <t>5109004556</t>
  </si>
  <si>
    <t>26528627</t>
  </si>
  <si>
    <t>МУП тепловых сетей ЗАТО г. Островной</t>
  </si>
  <si>
    <t>5114020137</t>
  </si>
  <si>
    <t>21-02-2023 00:00:00</t>
  </si>
  <si>
    <t>26319709</t>
  </si>
  <si>
    <t>ОАО "Мурманский комбинат хлебопродуктов"</t>
  </si>
  <si>
    <t>5190400162</t>
  </si>
  <si>
    <t>21-06-1993 00:00:00</t>
  </si>
  <si>
    <t>31596508</t>
  </si>
  <si>
    <t>ООО "Арно-Трейд"</t>
  </si>
  <si>
    <t>5112091319</t>
  </si>
  <si>
    <t>511201001</t>
  </si>
  <si>
    <t>04-12-2007 00:00:00</t>
  </si>
  <si>
    <t>28877705</t>
  </si>
  <si>
    <t>ООО "КВК-2"</t>
  </si>
  <si>
    <t>5102046807</t>
  </si>
  <si>
    <t>060801001</t>
  </si>
  <si>
    <t>28877719</t>
  </si>
  <si>
    <t>ООО "КВК-3"</t>
  </si>
  <si>
    <t>5102046814</t>
  </si>
  <si>
    <t>26380532</t>
  </si>
  <si>
    <t>ООО "Калган"</t>
  </si>
  <si>
    <t>5112700218</t>
  </si>
  <si>
    <t>29-01-2002 00:00:00</t>
  </si>
  <si>
    <t>31041188</t>
  </si>
  <si>
    <t>ООО "Север-Сити"</t>
  </si>
  <si>
    <t>5110005025</t>
  </si>
  <si>
    <t>31243294</t>
  </si>
  <si>
    <t>ООО "СпецНордПром"</t>
  </si>
  <si>
    <t>7842108495</t>
  </si>
  <si>
    <t>19-05-2016 00:00:00</t>
  </si>
  <si>
    <t>30873097</t>
  </si>
  <si>
    <t>ООО «ПТФ «Мурманская»</t>
  </si>
  <si>
    <t>5105092390</t>
  </si>
  <si>
    <t>31394853</t>
  </si>
  <si>
    <t>АО "10 СРЗ"</t>
  </si>
  <si>
    <t>5116001041</t>
  </si>
  <si>
    <t>03-06-2010 00:00:00</t>
  </si>
  <si>
    <t>30946916</t>
  </si>
  <si>
    <t>ООО "КС Север-Эйдж"</t>
  </si>
  <si>
    <t>5190068765</t>
  </si>
  <si>
    <t>10-05-2023 00:00:00</t>
  </si>
  <si>
    <t>31492123</t>
  </si>
  <si>
    <t>ООО «ЦИТАДЕЛЬ-13»</t>
  </si>
  <si>
    <t>9715361731</t>
  </si>
  <si>
    <t>771501001</t>
  </si>
  <si>
    <t>05-04-2021 00:00:00</t>
  </si>
  <si>
    <t>26526501</t>
  </si>
  <si>
    <t>Филиал АО "РУСАЛ Урал" в Кандалакше "Объединенная компания РУСАЛ Кандалакшский алюминиевый завод"</t>
  </si>
  <si>
    <t>6612005052</t>
  </si>
  <si>
    <t>510203001</t>
  </si>
  <si>
    <t>28268757</t>
  </si>
  <si>
    <t>ММУП "Городское благоустройство"</t>
  </si>
  <si>
    <t>5107910717</t>
  </si>
  <si>
    <t>31227058</t>
  </si>
  <si>
    <t>Мурманский филиал АО "Ситиматик"</t>
  </si>
  <si>
    <t>7725727149</t>
  </si>
  <si>
    <t>28878730</t>
  </si>
  <si>
    <t>ООО "КПК"</t>
  </si>
  <si>
    <t>5102046437</t>
  </si>
  <si>
    <t>26631343</t>
  </si>
  <si>
    <t>ООО "Ковдорское общество содействия ветеранам войны"</t>
  </si>
  <si>
    <t>5104909907</t>
  </si>
  <si>
    <t>28878630</t>
  </si>
  <si>
    <t>ООО "Кольская АЭС -Авто"</t>
  </si>
  <si>
    <t>5117065288</t>
  </si>
  <si>
    <t>26467563</t>
  </si>
  <si>
    <t>ООО "Орко-инвест"</t>
  </si>
  <si>
    <t>5190132322</t>
  </si>
  <si>
    <t>26467566</t>
  </si>
  <si>
    <t>ООО "Спецтехтранс"</t>
  </si>
  <si>
    <t>5108996918</t>
  </si>
  <si>
    <t>31233365</t>
  </si>
  <si>
    <t>ООО "Чистый город"</t>
  </si>
  <si>
    <t>5103063072</t>
  </si>
  <si>
    <t>28269397</t>
  </si>
  <si>
    <t>ООО "Экоплан"</t>
  </si>
  <si>
    <t>5109004436</t>
  </si>
  <si>
    <t>28142611</t>
  </si>
  <si>
    <t>ООО «Ловозеро-Жилсервис»</t>
  </si>
  <si>
    <t>5106801017</t>
  </si>
  <si>
    <t>10-03-2009 00:00:00</t>
  </si>
  <si>
    <t>NSRF</t>
  </si>
  <si>
    <t>MR_NAME</t>
  </si>
  <si>
    <t>OKTMO_MR_NAME</t>
  </si>
  <si>
    <t>MO_NAME</t>
  </si>
  <si>
    <t>OKTMO_NAME</t>
  </si>
  <si>
    <t>TYPE</t>
  </si>
  <si>
    <t>MR_ID</t>
  </si>
  <si>
    <t>Город Апатиты</t>
  </si>
  <si>
    <t>47705000</t>
  </si>
  <si>
    <t>городской округ</t>
  </si>
  <si>
    <t>Город Кировск</t>
  </si>
  <si>
    <t>47712000</t>
  </si>
  <si>
    <t>Город Мончегорск</t>
  </si>
  <si>
    <t>47715000</t>
  </si>
  <si>
    <t>Город Полярные Зори</t>
  </si>
  <si>
    <t>47719000</t>
  </si>
  <si>
    <t>ЗАТО город Островной</t>
  </si>
  <si>
    <t>47731000</t>
  </si>
  <si>
    <t>47608000</t>
  </si>
  <si>
    <t>Алакурттинское сельское поселение</t>
  </si>
  <si>
    <t>47608403</t>
  </si>
  <si>
    <t>сельское поселение</t>
  </si>
  <si>
    <t>городское поселение, в состав которого входит город</t>
  </si>
  <si>
    <t>Зареченское сельское поселение</t>
  </si>
  <si>
    <t>47608407</t>
  </si>
  <si>
    <t>муниципальный район</t>
  </si>
  <si>
    <t>городское поселение, в состав которого входит поселок</t>
  </si>
  <si>
    <t>муниципальный округ</t>
  </si>
  <si>
    <t>Ковдорский район</t>
  </si>
  <si>
    <t>47703000</t>
  </si>
  <si>
    <t>47605000</t>
  </si>
  <si>
    <t>Междуреченское сельское поселение</t>
  </si>
  <si>
    <t>47605402</t>
  </si>
  <si>
    <t>Поселок Туманный</t>
  </si>
  <si>
    <t>47605173</t>
  </si>
  <si>
    <t>Туломское сельское поселение</t>
  </si>
  <si>
    <t>47605406</t>
  </si>
  <si>
    <t>городское поселение Кола</t>
  </si>
  <si>
    <t>47605101</t>
  </si>
  <si>
    <t>47610000</t>
  </si>
  <si>
    <t>Печенгский муниципальный район</t>
  </si>
  <si>
    <t>47615000</t>
  </si>
  <si>
    <t>Город Заполярный</t>
  </si>
  <si>
    <t>47615103</t>
  </si>
  <si>
    <t>Поселок Никель</t>
  </si>
  <si>
    <t>47615151</t>
  </si>
  <si>
    <t>Поселок Печенга</t>
  </si>
  <si>
    <t>47615162</t>
  </si>
  <si>
    <t>сельское поселение Корзуново</t>
  </si>
  <si>
    <t>47615406</t>
  </si>
  <si>
    <t>Терский муниципальный район</t>
  </si>
  <si>
    <t>47620000</t>
  </si>
  <si>
    <t>Варзугское</t>
  </si>
  <si>
    <t>47620401</t>
  </si>
  <si>
    <t>Поселок Умба</t>
  </si>
  <si>
    <t>47620151</t>
  </si>
  <si>
    <t>город Апатиты</t>
  </si>
  <si>
    <t>47519000</t>
  </si>
  <si>
    <t>город Кировск</t>
  </si>
  <si>
    <t>47522000</t>
  </si>
  <si>
    <t>город Мончегорск</t>
  </si>
  <si>
    <t>47524000</t>
  </si>
  <si>
    <t>город Оленегорск</t>
  </si>
  <si>
    <t>47526000</t>
  </si>
  <si>
    <t>город Полярные Зори</t>
  </si>
  <si>
    <t>47528000</t>
  </si>
  <si>
    <t>NUMBER_POINT</t>
  </si>
  <si>
    <t>L_NAME</t>
  </si>
  <si>
    <t>L_START_DATE</t>
  </si>
  <si>
    <t>L_END_DATE</t>
  </si>
  <si>
    <t>Инвестиционная программа № 134 от 11.07.2022 АО "Мурманэнергосбыт" в сфере теплоснабжения по техническому перевооружению котельной, на территории городского округа ЗАТО Североморск на 2023 год</t>
  </si>
  <si>
    <t>01.01.2023</t>
  </si>
  <si>
    <t>31.12.2023</t>
  </si>
  <si>
    <t>Инвестиционная программа № 135 от 11.07.2022 АО "Мурманэнергосбыт" в сфере теплоснабжения по строительству, реконструкции и модернизации тепловых сетей, на территории городского округа город-герой Мурманск на 2023-2026 годы</t>
  </si>
  <si>
    <t>31.12.2026</t>
  </si>
  <si>
    <t>Инвестиционная программа № 137 от 11.07.2022 АО "Мурманэнергосбыт" в сфере теплоснабжения по модернизации, реконструкции и техническому перевооружению систем теплоснабжения, на территории городского округа город-герой Мурманск на 2023-2024 годы</t>
  </si>
  <si>
    <t>31.12.2024</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</si>
  <si>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t>
  </si>
  <si>
    <t>31.12.2027</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</si>
  <si>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t>
  </si>
  <si>
    <t>Инвестиционная программа № 144 от 25.08.2021 АО "Мурманэнергосбыт" в сфере теплоснабжения в отношении мазутной котельной на 2022-2023 годы</t>
  </si>
  <si>
    <t>01.01.2022</t>
  </si>
  <si>
    <t>Инвестиционная программа № 144 от 25.08.2021 АО "Мурманэнергосбыт" в сфере теплоснабжения в отношении мазутной котельной, на территории городского округа город-герой Мурманск на 2022-2023 годы</t>
  </si>
  <si>
    <t>Инвестиционная программа № 167 от 18.08.2022 АО "Мурманэнергосбыт" в сфере теплоснабжения по реконструкции и модернизации существующих объектов тепловых сетей, на территории сельского поселения Ловозеро, Ловозерский муниципальный район на 2023-2026 годы</t>
  </si>
  <si>
    <t>Инвестиционная программа № 172 от 09.09.2021 АО "Мурманэнергосбыт" в сфере теплоснабжения по техническому перевооружению мазутной котельной на 2022 год</t>
  </si>
  <si>
    <t>31.12.2022</t>
  </si>
  <si>
    <t>Инвестиционная программа № 174 от 04.09.2019 АО "Мурманэнергосбыт" в сфере теплоснабжения по реконструкции и модернизации существующих объектов котельных, на территории городского округа Мурманск на 2020 год</t>
  </si>
  <si>
    <t>01.01.2020</t>
  </si>
  <si>
    <t>31.12.2020</t>
  </si>
  <si>
    <t>Инвестиционная программа № 189 от 28.10.2020 АО "Завод ТО ТБО" в сфере теплоснабжения по модернизации системы коммунальной инфраструктуры на 2021-2028 годы</t>
  </si>
  <si>
    <t>01.01.2021</t>
  </si>
  <si>
    <t>01.01.2028</t>
  </si>
  <si>
    <t>Инвестиционная программа № 194 от 28.10.2020 ПАО "ТГК-1" (филиал "Кольский") в сфере теплоснабжения по модернизации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</si>
  <si>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Апатиты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</si>
  <si>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</si>
  <si>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Апатиты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</si>
  <si>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Кировск на 2021-2022 годы</t>
  </si>
  <si>
    <t>Инвестиционная программа № 200 от 25.10.2019 АО "Мурманэнергосбыт" в сфере теплоснабжения по строительству котельной, на территории городского округа ЗАТО Североморск на 2019-2020 годы</t>
  </si>
  <si>
    <t>25.10.2019</t>
  </si>
  <si>
    <t>Инвестиционная программа № 204 от 30.10.2019 АО "Мурманэнергосбыт" в сфере горячего водоснабжения по реконструкции и модернизации существующих объектов систем теплоснабжения от котельных и тепловых сетей, на территории городского поселения Поселок Никель, Печенгский муниципальный район на 2020 год</t>
  </si>
  <si>
    <t>Инвестиционная программа № 204 от 30.10.2019 АО "Мурманэнергосбыт" в сфере теплоснабжения по реконструкции и модернизации существующих объектов систем теплоснабжения от котельных и тепловых сетей, на территории городского поселения Поселок Никель, Печенгский муниципальный район на 2020 год</t>
  </si>
  <si>
    <t>Инвестиционная программа № 214 от 20.11.2020 АО "Мурманэнергосбыт" в сфере теплоснабжения по строительству, реконструкции и модернизации единого комплекса объектов, на территории городского округа ЗАТО Александровск на 2021 год</t>
  </si>
  <si>
    <t>31.12.2021</t>
  </si>
  <si>
    <t>Инвестиционная программа № 231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Кола, Кольский муниципальный район на 2023-2026 годы</t>
  </si>
  <si>
    <t>Инвестиционная программа № 232 от 01.11.2022 АО "Мурманэнергосбыт" в сфере теплоснабжения по реконструкции и модернизации существующих объектов тепловой сети, на территории муниципального округа город Оленегорск на 2023-2026 годы</t>
  </si>
  <si>
    <t>Инвестиционная программа № 233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Верхнетуломский, Кольский муниципальный район на 2023-2026 годы</t>
  </si>
  <si>
    <t>Инвестиционная программа № 234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Молочный, Кольский муниципальный район на 2023-2026 годы</t>
  </si>
  <si>
    <t>Инвестиционная программа № 235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Мурмаши, Кольский муниципальный район на 2023-2024 годы</t>
  </si>
  <si>
    <t>Инвестиционная программа № 236 от 01.11.2022 АО "Мурманэнергосбыт" в сфере теплоснабжения по модернизации, развитию и техническому перевооружению котельных и тепловых сетей, на территории городского поселения Поселок Кильдинстрой, Кольский муниципальный район на 2023-2026 годы</t>
  </si>
  <si>
    <t>Инвестиционная программа № 237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Александровск на 2023-2026 годы</t>
  </si>
  <si>
    <t>Инвестиционная программа № 238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Заозерск на 2023-2025 годы</t>
  </si>
  <si>
    <t>31.12.2025</t>
  </si>
  <si>
    <t>Инвестиционная программа № 238 от 30.10.2018 ПАО "Мурманская ТЭЦ" в сфере теплоснабжения по реконструкции и модернизации существующих объектов систем теплоснабжения на 2019-2023 годы</t>
  </si>
  <si>
    <t>01.01.2019</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</si>
  <si>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2023-2025 годы</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</si>
  <si>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2023-2026 годы</t>
  </si>
  <si>
    <t>Инвестиционная программа № 239 от 30.10.2018 МУП "ОТС" в сфере теплоснабжения по модернизации и реконструкции котельных и тепловых сетей, на территории городского округа Оленегорск на 2019-2023 годы</t>
  </si>
  <si>
    <t>31.01.2023</t>
  </si>
  <si>
    <t>Инвестиционная программа № 246 от 28.11.2017 Акционерное общество "Апатитыэнерго" в сфере теплоснабжения по модернизации тепловых сетей на 2018-2022 годы</t>
  </si>
  <si>
    <t>01.01.2018</t>
  </si>
  <si>
    <t>Инвестиционная программа № 263 от 06.12.2022 АО "Мурманэнергосбыт" в сфере теплоснабжения по реконструкции и техническому перевооружению котельных и тепловых сетей, на территории с Алакуртти, Алакурттинское сельское поселение, Кандалакшский муниципальный район на 2022-2052 годы</t>
  </si>
  <si>
    <t>06.12.2022</t>
  </si>
  <si>
    <t>31.12.2052</t>
  </si>
  <si>
    <t>Инвестиционная программа от 07.12.2021 АО "Ковдорский ГОК" в сфере теплоснабжения в отношении тепловой сети на 2022-2030 годы</t>
  </si>
  <si>
    <t>31.12.2030</t>
  </si>
  <si>
    <t>Инвестиционная программа от 07.12.2021 АО "Ковдорский ГОК" в сфере теплоснабжения по модернизации и реконструкции тепловых сетей, на территории муниципального округа Ковдорский на 2021-2030 годы</t>
  </si>
  <si>
    <t>07.12.2021</t>
  </si>
  <si>
    <t>Инвестиционная программа от 10.08.2021 АО "ХТК" в сфере теплоснабжения по строительству, реконструкции и модернизации тепловых сетей, на территории муниципального округа город Кировск на 2022-2026 годы</t>
  </si>
  <si>
    <t>10.01.2022</t>
  </si>
  <si>
    <t>Инвестиционная программа от 20.11.2020 АО "Мурманэнергосбыт" в сфере теплоснабжения по строительству, реконструкции и модернизации объектов на 2021 год</t>
  </si>
  <si>
    <t>Инвестиционная программа от 26.12.2019 ООО «Тепло Людям. Умба» в сфере теплоснабжения по повышению надежности и энергетической эффективности котельных и тепловых сетей, на территории городского поселения Поселок Умба, Терский муниципальный район на 2020-2033 годы</t>
  </si>
  <si>
    <t>31.12.2033</t>
  </si>
  <si>
    <t>Инвестиционная программа от 29.06.2022 Акционерное общество "Апатитыэнерго" в сфере теплоснабжения по модернизации систем теплоснабжения, на территории муниципального округа город Апатиты на 2023-2027 годы</t>
  </si>
  <si>
    <t>Инвестиционная программа от 30.10.2018 ООО «Тепло людям. Умба» в сфере теплоснабжения по строительству и модернизации тепловых сетей и системы централизованного теплоснабжения на 2019-2033 годы</t>
  </si>
  <si>
    <t>Инвестиционная программа от 30.10.2018 ООО «Тепло людям. Умба» в сфере теплоснабжения по строительству и модернизации тепловых сетей и системы централизованного теплоснабжения, на территории городского поселения Поселок Умба, Терский муниципальный район на 2019-2033 годы</t>
  </si>
  <si>
    <t>Инвестиционная программа от 30.10.2020 АО "ОТС" в сфере теплоснабжения по модернизации и реконструкции системы инженерной инфраструктуры, на территории муниципального округа город Оленегорск на 2022 год</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</si>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</sst>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000000"/>
    <numFmt numFmtId="172" formatCode="#,##0.000"/>
    <numFmt numFmtId="173" formatCode="#,##0.0000"/>
    <numFmt numFmtId="174" formatCode="dd\.mm\.yyyy"/>
  </numFmts>
  <fonts count="115">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auto="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0"/>
      <color auto="1"/>
      <name val="Arial Cyr"/>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color auto="1"/>
      <name val="Tahoma"/>
    </font>
    <font>
      <sz val="1"/>
      <color auto="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s>
  <fills count="56">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77">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style="thin">
        <color theme="0" tint="-0.25"/>
      </right>
      <top style="thin">
        <color rgb="FFC0C0C0"/>
      </top>
      <bottom style="medium">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rgb="FFC0C0C0"/>
      </left>
      <right style="thin">
        <color rgb="FFC0C0C0"/>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right style="thin">
        <color rgb="FFBCBCBC"/>
      </right>
      <top style="thin">
        <color rgb="FFBCBCBC"/>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C0C0C0"/>
      </left>
      <right style="thin">
        <color rgb="FFC0C0C0"/>
      </right>
      <top style="thin">
        <color rgb="FFBCBCBC"/>
      </top>
      <bottom style="thin">
        <color rgb="FFBCBCBC"/>
      </bottom>
    </border>
    <border>
      <left style="thin">
        <color rgb="FFBCBCBC"/>
      </left>
      <right/>
      <top style="thin">
        <color rgb="FFBCBCBC"/>
      </top>
      <bottom style="thin">
        <color rgb="FFC0C0C0"/>
      </bottom>
    </border>
    <border>
      <left/>
      <right style="thin">
        <color rgb="FFC0C0C0"/>
      </right>
      <top style="thin">
        <color rgb="FFC0C0C0"/>
      </top>
      <bottom style="medium">
        <color rgb="FFC0C0C0"/>
      </bottom>
    </border>
  </borders>
  <cellStyleXfs count="47">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42"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6" fillId="32" borderId="7" applyFont="0" applyFill="1" applyBorder="1">
      <alignment vertical="top"/>
    </xf>
    <xf numFmtId="0" fontId="15" fillId="27" borderId="8" applyFont="1" applyFill="1" applyBorder="1">
      <alignment vertical="top"/>
    </xf>
    <xf numFmtId="9" fontId="6" fillId="0" borderId="0" applyFont="0" applyFill="0" applyBorder="0" applyNumberFormat="1">
      <alignment vertical="top"/>
    </xf>
    <xf numFmtId="0" fontId="16" fillId="0" borderId="0" applyFont="1" applyFill="0" applyBorder="0">
      <alignment vertical="top"/>
    </xf>
    <xf numFmtId="0" fontId="17" fillId="0" borderId="9" applyFont="1" applyFill="0" applyBorder="1">
      <alignment vertical="top"/>
    </xf>
    <xf numFmtId="0" fontId="18" fillId="0" borderId="0" applyFont="1" applyFill="0" applyBorder="0">
      <alignment vertical="top"/>
    </xf>
  </cellStyleXfs>
  <cellXfs count="13665">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NumberFormat="1">
      <alignment vertical="top"/>
    </xf>
    <xf numFmtId="41" fontId="6" fillId="0" borderId="0" xfId="29" applyNumberFormat="1">
      <alignment vertical="top"/>
    </xf>
    <xf numFmtId="44" fontId="6" fillId="0" borderId="0" xfId="30" applyNumberFormat="1">
      <alignment vertical="top"/>
    </xf>
    <xf numFmtId="42"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6" fillId="32" borderId="7" xfId="41" applyFill="1" applyBorder="1">
      <alignment vertical="top"/>
    </xf>
    <xf numFmtId="0" fontId="15" fillId="27" borderId="8" xfId="42" applyFont="1" applyFill="1" applyBorder="1">
      <alignment vertical="top"/>
    </xf>
    <xf numFmtId="9" fontId="6" fillId="0" borderId="0" xfId="43" applyNumberFormat="1">
      <alignment vertical="top"/>
    </xf>
    <xf numFmtId="0" fontId="16" fillId="0" borderId="0" xfId="44" applyFont="1">
      <alignment vertical="top"/>
    </xf>
    <xf numFmtId="0" fontId="17" fillId="0" borderId="9" xfId="45" applyFont="1" applyBorder="1">
      <alignment vertical="top"/>
    </xf>
    <xf numFmtId="0" fontId="18" fillId="0" borderId="0" xfId="46" applyFont="1">
      <alignment vertical="top"/>
    </xf>
    <xf numFmtId="49" fontId="0" fillId="0" borderId="0" xfId="0" applyFont="1" applyNumberFormat="1">
      <alignment vertical="top"/>
    </xf>
    <xf numFmtId="0" fontId="19" fillId="0" borderId="0" xfId="0" applyFont="1" applyNumberFormat="1">
      <alignment vertical="top" wrapText="1"/>
    </xf>
    <xf numFmtId="49" fontId="19" fillId="0" borderId="0" xfId="0" applyFont="1" applyNumberFormat="1">
      <alignment vertical="top"/>
    </xf>
    <xf numFmtId="49" fontId="0" fillId="0" borderId="0" xfId="0" applyFont="1" applyNumberFormat="1">
      <alignment vertical="top"/>
    </xf>
    <xf numFmtId="49" fontId="19" fillId="33" borderId="10" xfId="0" applyFont="1" applyFill="1" applyBorder="1" applyNumberFormat="1">
      <alignment horizontal="center" vertical="top"/>
    </xf>
    <xf numFmtId="49" fontId="0" fillId="0" borderId="0" xfId="0" applyFont="1" applyNumberFormat="1">
      <alignment vertical="top"/>
    </xf>
    <xf numFmtId="0" fontId="19" fillId="0" borderId="0" xfId="0" applyFont="1" applyNumberFormat="1"/>
    <xf numFmtId="0" fontId="19" fillId="34" borderId="0" xfId="0" applyFont="1" applyFill="1" applyNumberFormat="1"/>
    <xf numFmtId="0" fontId="20" fillId="0" borderId="0" xfId="0" applyFont="1" applyNumberFormat="1">
      <alignment vertical="center" wrapText="1"/>
    </xf>
    <xf numFmtId="0" fontId="21" fillId="0" borderId="0" xfId="0" applyFont="1" applyNumberFormat="1">
      <alignment vertical="center" wrapText="1"/>
    </xf>
    <xf numFmtId="0" fontId="19" fillId="34" borderId="0" xfId="0" applyFont="1" applyFill="1" applyNumberFormat="1">
      <alignment vertical="center" wrapText="1"/>
    </xf>
    <xf numFmtId="0" fontId="19" fillId="0" borderId="0" xfId="0" applyFont="1" applyNumberFormat="1">
      <alignment vertical="center" wrapText="1"/>
    </xf>
    <xf numFmtId="0" fontId="22" fillId="34" borderId="0" xfId="0" applyFont="1" applyFill="1" applyNumberFormat="1">
      <alignment vertical="center" wrapText="1"/>
    </xf>
    <xf numFmtId="0" fontId="19" fillId="34" borderId="0" xfId="0" applyFont="1" applyFill="1" applyNumberFormat="1">
      <alignment horizontal="right" vertical="center" wrapText="1" indent="1"/>
    </xf>
    <xf numFmtId="0" fontId="19" fillId="34" borderId="0" xfId="0" applyFont="1" applyFill="1" applyNumberFormat="1">
      <alignment horizontal="center" vertical="center" wrapText="1"/>
    </xf>
    <xf numFmtId="0" fontId="21" fillId="0" borderId="0" xfId="0" applyFont="1" applyNumberFormat="1">
      <alignment horizontal="center" vertical="center" wrapText="1"/>
    </xf>
    <xf numFmtId="0" fontId="23" fillId="34" borderId="0" xfId="0" applyFont="1" applyFill="1" applyNumberFormat="1">
      <alignment horizontal="center" vertical="center" wrapText="1"/>
    </xf>
    <xf numFmtId="0" fontId="19" fillId="0" borderId="0" xfId="0" applyFont="1" applyNumberFormat="1">
      <alignment vertical="center"/>
    </xf>
    <xf numFmtId="49" fontId="19" fillId="34" borderId="0" xfId="0" applyFont="1" applyFill="1" applyNumberFormat="1">
      <alignment horizontal="right" vertical="center" wrapText="1" indent="1"/>
    </xf>
    <xf numFmtId="49" fontId="22" fillId="34" borderId="0" xfId="0" applyFont="1" applyFill="1" applyNumberFormat="1">
      <alignment horizontal="center" vertical="center" wrapText="1"/>
    </xf>
    <xf numFmtId="0" fontId="19" fillId="0" borderId="0" xfId="0" applyFont="1" applyNumberFormat="1">
      <alignment vertical="center" wrapText="1"/>
    </xf>
    <xf numFmtId="0" fontId="19" fillId="34" borderId="0" xfId="0" applyFont="1" applyFill="1" applyNumberFormat="1">
      <alignment vertical="center" wrapText="1"/>
    </xf>
    <xf numFmtId="0" fontId="19" fillId="34" borderId="0" xfId="0" applyFont="1" applyFill="1" applyNumberFormat="1">
      <alignment horizontal="right" vertical="center" wrapText="1"/>
    </xf>
    <xf numFmtId="49" fontId="0" fillId="34" borderId="0" xfId="0" applyFont="1" applyFill="1" applyNumberFormat="1">
      <alignment horizontal="right" vertical="center" wrapText="1" indent="1"/>
    </xf>
    <xf numFmtId="49" fontId="24" fillId="34"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25" fillId="34" borderId="0" xfId="0" applyFont="1" applyFill="1" applyNumberFormat="1">
      <alignment horizontal="center" vertical="center" wrapText="1"/>
    </xf>
    <xf numFmtId="0" fontId="25" fillId="0" borderId="0" xfId="0" applyFont="1" applyNumberFormat="1">
      <alignment horizontal="center" vertical="center"/>
    </xf>
    <xf numFmtId="0" fontId="25" fillId="34" borderId="0" xfId="0" applyFont="1" applyFill="1" applyNumberFormat="1">
      <alignment horizontal="center" vertical="center"/>
    </xf>
    <xf numFmtId="49" fontId="26" fillId="0" borderId="11" xfId="0" applyFont="1" applyBorder="1" applyNumberFormat="1">
      <alignment vertical="top" wrapText="1"/>
    </xf>
    <xf numFmtId="0" fontId="0" fillId="0" borderId="11" xfId="0" applyFont="1" applyBorder="1" applyNumberFormat="1">
      <alignment vertical="top" wrapText="1"/>
    </xf>
    <xf numFmtId="0" fontId="27" fillId="0" borderId="0" xfId="0" applyFont="1" applyNumberFormat="1"/>
    <xf numFmtId="0" fontId="19" fillId="34" borderId="0" xfId="0" applyFont="1" applyFill="1" applyNumberFormat="1">
      <alignment horizontal="center" vertical="center" wrapText="1"/>
    </xf>
    <xf numFmtId="0" fontId="28" fillId="34" borderId="0" xfId="0" applyFont="1" applyFill="1" applyNumberFormat="1">
      <alignment vertical="center" wrapText="1"/>
    </xf>
    <xf numFmtId="0" fontId="28" fillId="0" borderId="0" xfId="0" applyFont="1" applyNumberFormat="1">
      <alignment vertical="center" wrapText="1"/>
    </xf>
    <xf numFmtId="0" fontId="20" fillId="0" borderId="0" xfId="0" applyFont="1" applyNumberFormat="1">
      <alignment horizontal="left" vertical="center" wrapText="1"/>
    </xf>
    <xf numFmtId="49" fontId="20" fillId="0" borderId="0" xfId="0" applyFont="1" applyNumberFormat="1">
      <alignment horizontal="left" vertical="center" wrapText="1"/>
    </xf>
    <xf numFmtId="0" fontId="0" fillId="0" borderId="0" xfId="0" applyFont="1" applyNumberFormat="1">
      <alignment vertical="top"/>
    </xf>
    <xf numFmtId="49" fontId="19" fillId="0" borderId="0" xfId="0" applyFont="1" applyNumberFormat="1">
      <alignment vertical="center" wrapText="1"/>
    </xf>
    <xf numFmtId="49" fontId="19" fillId="0" borderId="0" xfId="0" applyFont="1" applyNumberFormat="1">
      <alignment vertical="top"/>
    </xf>
    <xf numFmtId="0" fontId="19" fillId="0" borderId="0" xfId="0" applyFont="1" applyNumberFormat="1">
      <alignment vertical="center" wrapText="1"/>
    </xf>
    <xf numFmtId="0" fontId="0" fillId="0" borderId="0" xfId="0" applyFont="1" applyNumberFormat="1">
      <alignment vertical="center"/>
    </xf>
    <xf numFmtId="0" fontId="19" fillId="34" borderId="12" xfId="0" applyFont="1" applyFill="1" applyBorder="1" applyNumberFormat="1">
      <alignment horizontal="center" vertical="center" wrapText="1"/>
    </xf>
    <xf numFmtId="49" fontId="19" fillId="35" borderId="12" xfId="0" applyFont="1" applyFill="1" applyBorder="1" applyNumberFormat="1">
      <alignment horizontal="left" vertical="center" wrapText="1"/>
      <protection locked="0"/>
    </xf>
    <xf numFmtId="49" fontId="29" fillId="36" borderId="13" xfId="0" applyFont="1" applyFill="1" applyBorder="1" applyNumberFormat="1">
      <alignment horizontal="left" vertical="center"/>
    </xf>
    <xf numFmtId="0" fontId="0" fillId="0" borderId="12" xfId="0" applyFont="1" applyBorder="1" applyNumberFormat="1">
      <alignment horizontal="center" vertical="center" wrapText="1"/>
    </xf>
    <xf numFmtId="0" fontId="19" fillId="36" borderId="14" xfId="0" applyFont="1" applyFill="1" applyBorder="1" applyNumberFormat="1">
      <alignment vertical="center" wrapText="1"/>
    </xf>
    <xf numFmtId="0" fontId="19" fillId="0" borderId="12" xfId="0" applyFont="1" applyBorder="1" applyNumberFormat="1">
      <alignment horizontal="center" vertical="center" wrapText="1"/>
    </xf>
    <xf numFmtId="0" fontId="30" fillId="0" borderId="0" xfId="0" applyFont="1" applyNumberFormat="1">
      <alignment vertical="center"/>
    </xf>
    <xf numFmtId="49" fontId="19" fillId="0" borderId="12" xfId="0" applyFont="1" applyBorder="1" applyNumberFormat="1">
      <alignment horizontal="center" vertical="center" wrapText="1"/>
    </xf>
    <xf numFmtId="0" fontId="19" fillId="34" borderId="12" xfId="0" applyFont="1" applyFill="1" applyBorder="1" applyNumberFormat="1">
      <alignment horizontal="center" vertical="center"/>
    </xf>
    <xf numFmtId="49" fontId="19" fillId="35" borderId="12" xfId="0" applyFont="1" applyFill="1" applyBorder="1" applyNumberFormat="1">
      <alignment horizontal="left" vertical="center" wrapText="1"/>
      <protection locked="0"/>
    </xf>
    <xf numFmtId="0" fontId="20" fillId="0" borderId="0" xfId="0" applyFont="1" applyNumberFormat="1">
      <alignment vertical="center" wrapText="1"/>
    </xf>
    <xf numFmtId="0" fontId="31" fillId="0" borderId="0" xfId="0" applyFont="1" applyNumberFormat="1">
      <alignment vertical="center" wrapText="1"/>
    </xf>
    <xf numFmtId="49" fontId="19" fillId="0" borderId="0" xfId="0" applyFont="1" applyNumberFormat="1">
      <alignment vertical="top"/>
    </xf>
    <xf numFmtId="49" fontId="20" fillId="0" borderId="0" xfId="0" applyFont="1" applyNumberFormat="1">
      <alignment vertical="top"/>
    </xf>
    <xf numFmtId="49" fontId="19" fillId="0" borderId="0" xfId="0" applyFont="1" applyNumberFormat="1">
      <alignment vertical="top"/>
    </xf>
    <xf numFmtId="49" fontId="25" fillId="0" borderId="0" xfId="0" applyFont="1" applyNumberFormat="1">
      <alignment horizontal="center" vertical="center"/>
    </xf>
    <xf numFmtId="49" fontId="19" fillId="0" borderId="0" xfId="0" applyFont="1" applyNumberFormat="1">
      <alignment vertical="top"/>
    </xf>
    <xf numFmtId="0" fontId="19" fillId="34" borderId="0" xfId="0" applyFont="1" applyFill="1" applyNumberFormat="1"/>
    <xf numFmtId="0" fontId="32" fillId="34" borderId="0" xfId="0" applyFont="1" applyFill="1" applyNumberFormat="1">
      <alignment horizontal="center" vertical="center" wrapText="1"/>
    </xf>
    <xf numFmtId="0" fontId="20" fillId="34" borderId="0" xfId="0" applyFont="1" applyFill="1" applyNumberFormat="1"/>
    <xf numFmtId="49" fontId="19" fillId="0" borderId="0" xfId="0" applyFont="1" applyNumberFormat="1">
      <alignment vertical="top"/>
    </xf>
    <xf numFmtId="49" fontId="25" fillId="0" borderId="0" xfId="0" applyFont="1" applyNumberFormat="1">
      <alignment horizontal="center" vertical="center" wrapText="1"/>
    </xf>
    <xf numFmtId="0" fontId="19" fillId="34" borderId="12" xfId="0" applyFont="1" applyFill="1" applyBorder="1" applyNumberFormat="1">
      <alignment horizontal="center" vertical="center" wrapText="1"/>
    </xf>
    <xf numFmtId="49" fontId="19" fillId="0" borderId="12" xfId="0" applyFont="1" applyBorder="1" applyNumberFormat="1">
      <alignment horizontal="center" vertical="center" wrapText="1"/>
    </xf>
    <xf numFmtId="49" fontId="33" fillId="36" borderId="15" xfId="0" applyFont="1" applyFill="1" applyBorder="1" applyNumberFormat="1">
      <alignment horizontal="center" vertical="top"/>
    </xf>
    <xf numFmtId="49" fontId="29" fillId="36" borderId="15" xfId="0" applyFont="1" applyFill="1" applyBorder="1" applyNumberFormat="1">
      <alignment horizontal="left" vertical="center"/>
    </xf>
    <xf numFmtId="49" fontId="19" fillId="0" borderId="0" xfId="0" applyFont="1" applyNumberFormat="1">
      <alignment horizontal="center" vertical="top"/>
    </xf>
    <xf numFmtId="0" fontId="30" fillId="0" borderId="0" xfId="0" applyFont="1" applyNumberFormat="1">
      <alignment vertical="center"/>
    </xf>
    <xf numFmtId="0" fontId="0" fillId="0" borderId="0" xfId="0" applyFont="1" applyNumberFormat="1">
      <alignment horizontal="center" vertical="center" wrapText="1"/>
    </xf>
    <xf numFmtId="49" fontId="19" fillId="0" borderId="0" xfId="0" applyFont="1" applyNumberFormat="1">
      <alignment horizontal="center" vertical="center" wrapText="1"/>
    </xf>
    <xf numFmtId="49" fontId="19" fillId="0" borderId="0" xfId="0" applyFont="1" applyNumberFormat="1">
      <alignment vertical="center" wrapText="1"/>
    </xf>
    <xf numFmtId="0" fontId="25" fillId="34" borderId="0" xfId="0" applyFont="1" applyFill="1" applyNumberFormat="1">
      <alignment horizontal="center" vertical="center" wrapText="1"/>
    </xf>
    <xf numFmtId="49" fontId="34" fillId="0" borderId="0" xfId="0" applyFont="1" applyNumberFormat="1">
      <alignment horizontal="right" vertical="top"/>
    </xf>
    <xf numFmtId="49" fontId="34" fillId="0" borderId="0" xfId="0" applyFont="1" applyNumberFormat="1">
      <alignment vertical="top"/>
    </xf>
    <xf numFmtId="0" fontId="19" fillId="0" borderId="0" xfId="0" applyFont="1" applyNumberFormat="1">
      <alignment horizontal="center" vertical="center" wrapText="1"/>
    </xf>
    <xf numFmtId="49" fontId="19" fillId="0" borderId="0" xfId="0" applyFont="1" applyNumberFormat="1">
      <alignment vertical="top"/>
    </xf>
    <xf numFmtId="0" fontId="0" fillId="0" borderId="0" xfId="0" applyFont="1" applyNumberFormat="1">
      <alignment vertical="center"/>
    </xf>
    <xf numFmtId="0" fontId="35" fillId="0" borderId="0" xfId="0" applyFont="1" applyNumberFormat="1">
      <alignment vertical="center" wrapText="1"/>
    </xf>
    <xf numFmtId="49" fontId="19" fillId="0" borderId="16" xfId="0" applyFont="1" applyBorder="1" applyNumberFormat="1">
      <alignment vertical="top"/>
    </xf>
    <xf numFmtId="0" fontId="27" fillId="0" borderId="0" xfId="0" applyFont="1" applyNumberFormat="1"/>
    <xf numFmtId="49" fontId="36" fillId="0" borderId="0" xfId="0" applyFont="1" applyNumberFormat="1">
      <alignment vertical="top"/>
    </xf>
    <xf numFmtId="0" fontId="36" fillId="0" borderId="0" xfId="0" applyFont="1" applyNumberFormat="1">
      <alignment vertical="center" wrapText="1"/>
    </xf>
    <xf numFmtId="49" fontId="0" fillId="34" borderId="12" xfId="0" applyFont="1" applyFill="1" applyBorder="1" applyNumberFormat="1">
      <alignment horizontal="center" vertical="center" wrapText="1"/>
    </xf>
    <xf numFmtId="0" fontId="20" fillId="0" borderId="0" xfId="0" applyFont="1" applyNumberFormat="1">
      <alignment horizontal="left" vertical="center" wrapText="1"/>
    </xf>
    <xf numFmtId="49" fontId="19" fillId="0" borderId="12" xfId="0" applyFont="1" applyBorder="1" applyNumberFormat="1">
      <alignment horizontal="left" vertical="center" wrapText="1"/>
    </xf>
    <xf numFmtId="0" fontId="19" fillId="34" borderId="17" xfId="0" applyFont="1" applyFill="1" applyBorder="1" applyNumberFormat="1">
      <alignment horizontal="center" vertical="center"/>
    </xf>
    <xf numFmtId="0" fontId="19" fillId="0" borderId="12" xfId="0" applyFont="1" applyBorder="1" applyNumberFormat="1">
      <alignment vertical="center" wrapText="1"/>
    </xf>
    <xf numFmtId="0" fontId="37" fillId="0" borderId="0" xfId="0" applyFont="1" applyNumberFormat="1">
      <alignment vertical="center" wrapText="1"/>
    </xf>
    <xf numFmtId="0" fontId="37" fillId="0" borderId="0" xfId="0" applyFont="1" applyNumberFormat="1">
      <alignment vertical="center"/>
    </xf>
    <xf numFmtId="0" fontId="38" fillId="0" borderId="0" xfId="0" applyFont="1" applyNumberFormat="1">
      <alignment vertical="center"/>
    </xf>
    <xf numFmtId="0" fontId="37" fillId="0" borderId="0" xfId="0" applyFont="1" applyNumberFormat="1">
      <alignment vertical="center"/>
    </xf>
    <xf numFmtId="0" fontId="37" fillId="0" borderId="0" xfId="0" applyFont="1" applyNumberFormat="1">
      <alignment vertical="center"/>
    </xf>
    <xf numFmtId="0" fontId="0" fillId="0" borderId="0" xfId="0" applyFont="1" applyNumberFormat="1">
      <alignment vertical="top" wrapText="1"/>
    </xf>
    <xf numFmtId="49" fontId="19" fillId="0" borderId="12" xfId="0" applyFont="1" applyBorder="1" applyNumberFormat="1">
      <alignment horizontal="center" vertical="center" wrapText="1"/>
    </xf>
    <xf numFmtId="0" fontId="35"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25" fillId="0" borderId="0" xfId="0" applyFont="1" applyNumberFormat="1">
      <alignment horizontal="center" vertical="center" wrapText="1"/>
    </xf>
    <xf numFmtId="0" fontId="25" fillId="0" borderId="0" xfId="0" applyFont="1" applyNumberFormat="1">
      <alignment horizontal="center" vertical="center" wrapText="1"/>
    </xf>
    <xf numFmtId="0" fontId="19" fillId="0" borderId="0" xfId="0" applyFont="1" applyNumberFormat="1">
      <alignment horizontal="right" vertical="center" wrapText="1"/>
    </xf>
    <xf numFmtId="4" fontId="19" fillId="0" borderId="0" xfId="0" applyFont="1" applyNumberFormat="1">
      <alignment horizontal="right" vertical="center" wrapText="1"/>
    </xf>
    <xf numFmtId="0" fontId="19" fillId="0" borderId="0" xfId="0" applyFont="1" applyNumberFormat="1">
      <alignment horizontal="left" vertical="center" wrapText="1" indent="1"/>
    </xf>
    <xf numFmtId="49" fontId="19" fillId="0" borderId="0" xfId="0" applyFont="1" applyNumberFormat="1">
      <alignment vertical="top"/>
    </xf>
    <xf numFmtId="4" fontId="19" fillId="0" borderId="0" xfId="0" applyFont="1" applyNumberFormat="1">
      <alignment horizontal="center" vertical="center" wrapText="1"/>
    </xf>
    <xf numFmtId="0" fontId="36" fillId="0" borderId="0" xfId="0" applyFont="1" applyNumberFormat="1">
      <alignment vertical="center"/>
    </xf>
    <xf numFmtId="171" fontId="19" fillId="0" borderId="12" xfId="0" applyFont="1" applyBorder="1" applyNumberFormat="1">
      <alignment horizontal="center" vertical="center" wrapText="1"/>
    </xf>
    <xf numFmtId="49" fontId="36" fillId="36" borderId="19" xfId="0" applyFont="1" applyFill="1" applyBorder="1" applyNumberFormat="1">
      <alignment horizontal="left" vertical="center" wrapText="1"/>
    </xf>
    <xf numFmtId="49" fontId="0" fillId="36" borderId="15" xfId="0" applyFont="1" applyFill="1" applyBorder="1" applyNumberFormat="1">
      <alignment horizontal="left" vertical="center"/>
    </xf>
    <xf numFmtId="49" fontId="36" fillId="36" borderId="20" xfId="0" applyFont="1" applyFill="1" applyBorder="1" applyNumberFormat="1">
      <alignment horizontal="left" vertical="center" wrapText="1"/>
    </xf>
    <xf numFmtId="0" fontId="24" fillId="0" borderId="0" xfId="0" applyFont="1" applyNumberFormat="1">
      <alignment horizontal="center" vertical="center" wrapText="1"/>
    </xf>
    <xf numFmtId="49" fontId="39" fillId="36" borderId="15" xfId="0" applyFont="1" applyFill="1" applyBorder="1" applyNumberFormat="1">
      <alignment horizontal="right" vertical="center" wrapText="1"/>
    </xf>
    <xf numFmtId="49" fontId="19" fillId="36" borderId="15" xfId="0" applyFont="1" applyFill="1" applyBorder="1" applyNumberFormat="1">
      <alignment horizontal="right" vertical="center" wrapText="1"/>
    </xf>
    <xf numFmtId="49" fontId="19" fillId="36" borderId="13" xfId="0" applyFont="1" applyFill="1" applyBorder="1" applyNumberFormat="1">
      <alignment horizontal="right" vertical="center" wrapText="1"/>
    </xf>
    <xf numFmtId="0" fontId="19" fillId="0" borderId="21" xfId="0" applyFont="1" applyBorder="1" applyNumberFormat="1">
      <alignment vertical="center" wrapText="1"/>
    </xf>
    <xf numFmtId="0" fontId="34" fillId="0" borderId="0" xfId="0" applyFont="1" applyNumberFormat="1">
      <alignment vertical="center" wrapText="1"/>
    </xf>
    <xf numFmtId="0" fontId="40" fillId="0" borderId="0" xfId="0" applyFont="1" applyNumberFormat="1">
      <alignment horizontal="center" vertical="center" wrapText="1"/>
    </xf>
    <xf numFmtId="49" fontId="0" fillId="34" borderId="0" xfId="0" applyFont="1" applyFill="1" applyNumberFormat="1">
      <alignment vertical="top"/>
    </xf>
    <xf numFmtId="49" fontId="41" fillId="37" borderId="0" xfId="0" applyFont="1" applyFill="1" applyNumberFormat="1">
      <alignment vertical="top"/>
    </xf>
    <xf numFmtId="49" fontId="41" fillId="0" borderId="0" xfId="0" applyFont="1" applyNumberFormat="1">
      <alignment vertical="top"/>
    </xf>
    <xf numFmtId="0" fontId="36" fillId="0" borderId="0" xfId="0" applyFont="1" applyNumberFormat="1">
      <alignment vertical="center"/>
    </xf>
    <xf numFmtId="49" fontId="0" fillId="36" borderId="15" xfId="0" applyFont="1" applyFill="1" applyBorder="1" applyNumberFormat="1">
      <alignment horizontal="right" vertical="center" wrapText="1"/>
    </xf>
    <xf numFmtId="49" fontId="0" fillId="0" borderId="0" xfId="0" applyFont="1" applyNumberFormat="1">
      <alignment vertical="top"/>
    </xf>
    <xf numFmtId="0" fontId="39" fillId="0" borderId="11" xfId="0" applyFont="1" applyBorder="1" applyNumberFormat="1">
      <alignment vertical="center" wrapText="1"/>
    </xf>
    <xf numFmtId="0" fontId="35" fillId="0" borderId="0" xfId="0" applyFont="1" applyNumberFormat="1">
      <alignment vertical="top" wrapText="1"/>
    </xf>
    <xf numFmtId="0" fontId="19" fillId="0" borderId="11" xfId="0" applyFont="1" applyBorder="1" applyNumberFormat="1">
      <alignment vertical="center" wrapText="1"/>
    </xf>
    <xf numFmtId="49" fontId="19" fillId="0" borderId="0" xfId="0" applyFont="1" applyNumberFormat="1">
      <alignment vertical="top"/>
    </xf>
    <xf numFmtId="0" fontId="19" fillId="34"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8" borderId="12" xfId="0" applyFont="1" applyFill="1" applyBorder="1" applyNumberFormat="1">
      <alignment horizontal="left" vertical="center" wrapText="1" indent="2"/>
      <protection locked="0"/>
    </xf>
    <xf numFmtId="49" fontId="37"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8" borderId="12" xfId="0" applyFont="1" applyFill="1" applyBorder="1" applyNumberFormat="1">
      <alignment horizontal="left" vertical="center" wrapText="1" indent="1"/>
      <protection locked="0"/>
    </xf>
    <xf numFmtId="49" fontId="29" fillId="36" borderId="15" xfId="0" applyFont="1" applyFill="1" applyBorder="1" applyNumberFormat="1">
      <alignment horizontal="left" vertical="center" indent="3"/>
    </xf>
    <xf numFmtId="49" fontId="33" fillId="36" borderId="13" xfId="0" applyFont="1" applyFill="1" applyBorder="1" applyNumberFormat="1">
      <alignment horizontal="center" vertical="top"/>
    </xf>
    <xf numFmtId="0" fontId="35" fillId="0" borderId="0" xfId="0" applyFont="1" applyNumberFormat="1">
      <alignment horizontal="right" vertical="top" wrapText="1"/>
    </xf>
    <xf numFmtId="49" fontId="29" fillId="36" borderId="15" xfId="0" applyFont="1" applyFill="1" applyBorder="1" applyNumberFormat="1">
      <alignment horizontal="left" vertical="center" indent="1"/>
    </xf>
    <xf numFmtId="49" fontId="29" fillId="36"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19" fillId="39" borderId="12" xfId="0" applyFont="1" applyFill="1" applyBorder="1" applyNumberFormat="1">
      <alignment horizontal="left" vertical="center" wrapText="1"/>
    </xf>
    <xf numFmtId="0" fontId="19" fillId="0" borderId="12" xfId="0" applyFont="1" applyBorder="1" applyNumberFormat="1">
      <alignment vertical="top" wrapText="1"/>
    </xf>
    <xf numFmtId="0" fontId="25" fillId="0" borderId="0" xfId="0" applyFont="1" applyNumberFormat="1">
      <alignment horizontal="center" vertical="center" wrapText="1"/>
    </xf>
    <xf numFmtId="49" fontId="0" fillId="0" borderId="17" xfId="0" applyFont="1" applyBorder="1" applyNumberFormat="1">
      <alignment vertical="top"/>
    </xf>
    <xf numFmtId="0" fontId="37" fillId="0" borderId="0" xfId="0" applyFont="1" applyNumberFormat="1">
      <alignment vertical="center"/>
    </xf>
    <xf numFmtId="0" fontId="42" fillId="0" borderId="0" xfId="0" applyFont="1" applyNumberFormat="1">
      <alignment vertical="center"/>
    </xf>
    <xf numFmtId="49" fontId="43" fillId="38" borderId="12" xfId="0" applyFont="1" applyFill="1" applyBorder="1" applyNumberFormat="1">
      <alignment horizontal="left" vertical="center" wrapText="1"/>
      <protection locked="0"/>
    </xf>
    <xf numFmtId="49" fontId="33" fillId="36" borderId="13" xfId="0" applyFont="1" applyFill="1" applyBorder="1" applyNumberFormat="1">
      <alignment horizontal="center" vertical="top"/>
    </xf>
    <xf numFmtId="0" fontId="0" fillId="33" borderId="12" xfId="0" applyFont="1" applyFill="1" applyBorder="1" applyNumberFormat="1">
      <alignment horizontal="left" vertical="center" wrapText="1" indent="1"/>
    </xf>
    <xf numFmtId="49" fontId="19" fillId="38" borderId="12" xfId="0" applyFont="1" applyFill="1" applyBorder="1" applyNumberFormat="1">
      <alignment horizontal="left" vertical="center" wrapText="1" indent="1"/>
      <protection locked="0"/>
    </xf>
    <xf numFmtId="49" fontId="19" fillId="33" borderId="12" xfId="0" applyFont="1" applyFill="1" applyBorder="1" applyNumberFormat="1">
      <alignment horizontal="left" vertical="center" wrapText="1" indent="1"/>
    </xf>
    <xf numFmtId="49" fontId="19" fillId="0" borderId="12" xfId="0" applyFont="1" applyBorder="1" applyNumberFormat="1">
      <alignment horizontal="left" vertical="center" wrapText="1" indent="1"/>
    </xf>
    <xf numFmtId="0" fontId="19" fillId="0" borderId="12" xfId="0" applyFont="1" applyBorder="1" applyNumberFormat="1">
      <alignment horizontal="center" vertical="center" wrapText="1"/>
    </xf>
    <xf numFmtId="0" fontId="35" fillId="0" borderId="0" xfId="0" applyFont="1" applyNumberFormat="1">
      <alignment vertical="center" wrapText="1"/>
    </xf>
    <xf numFmtId="0" fontId="37" fillId="0" borderId="0" xfId="0" applyFont="1" applyNumberFormat="1">
      <alignment horizontal="center" vertical="center" wrapText="1"/>
    </xf>
    <xf numFmtId="0" fontId="0" fillId="0" borderId="12" xfId="0" applyFont="1" applyBorder="1" applyNumberFormat="1">
      <alignment horizontal="left" vertical="center" wrapText="1"/>
    </xf>
    <xf numFmtId="49" fontId="24" fillId="0" borderId="15" xfId="0" applyFont="1" applyBorder="1" applyNumberFormat="1">
      <alignment horizontal="center" vertical="center" wrapText="1"/>
    </xf>
    <xf numFmtId="0" fontId="44" fillId="0" borderId="0" xfId="0" applyFont="1" applyNumberFormat="1">
      <alignment vertical="center"/>
    </xf>
    <xf numFmtId="0" fontId="45" fillId="0" borderId="0" xfId="0" applyFont="1" applyNumberFormat="1">
      <alignment vertical="center"/>
    </xf>
    <xf numFmtId="0" fontId="37" fillId="0" borderId="0" xfId="0" applyFont="1" applyNumberFormat="1">
      <alignment vertical="center"/>
    </xf>
    <xf numFmtId="0" fontId="37" fillId="0" borderId="0" xfId="0" applyFont="1" applyNumberFormat="1">
      <alignment horizontal="left" vertical="center" wrapText="1" indent="1"/>
    </xf>
    <xf numFmtId="0" fontId="36" fillId="0" borderId="0" xfId="0" applyFont="1" applyNumberFormat="1">
      <alignment horizontal="left" vertical="center" wrapText="1" indent="1"/>
    </xf>
    <xf numFmtId="0" fontId="46" fillId="0" borderId="0" xfId="0" applyFont="1" applyNumberFormat="1">
      <alignment horizontal="left" vertical="center" wrapText="1" indent="1"/>
    </xf>
    <xf numFmtId="0" fontId="47" fillId="0" borderId="0" xfId="0" applyFont="1" applyNumberFormat="1">
      <alignment horizontal="left" vertical="center" indent="1"/>
    </xf>
    <xf numFmtId="0" fontId="46" fillId="0" borderId="0" xfId="0" applyFont="1" applyNumberFormat="1">
      <alignment vertical="center" wrapText="1"/>
    </xf>
    <xf numFmtId="0" fontId="48" fillId="0" borderId="0" xfId="0" applyFont="1" applyNumberFormat="1">
      <alignment horizontal="left" vertical="center" wrapText="1"/>
    </xf>
    <xf numFmtId="0" fontId="49" fillId="0" borderId="0" xfId="0" applyFont="1" applyNumberFormat="1">
      <alignment vertical="center" wrapText="1"/>
    </xf>
    <xf numFmtId="0" fontId="50" fillId="34" borderId="0" xfId="0" applyFont="1" applyFill="1" applyNumberFormat="1">
      <alignment vertical="center" wrapText="1"/>
    </xf>
    <xf numFmtId="0" fontId="51" fillId="34" borderId="0" xfId="0" applyFont="1" applyFill="1" applyNumberFormat="1">
      <alignment horizontal="right" vertical="center" wrapText="1" indent="1"/>
    </xf>
    <xf numFmtId="0" fontId="50" fillId="0" borderId="0" xfId="0" applyFont="1" applyNumberFormat="1">
      <alignment vertical="center" wrapText="1"/>
    </xf>
    <xf numFmtId="0" fontId="50" fillId="34" borderId="0" xfId="0" applyFont="1" applyFill="1" applyNumberFormat="1">
      <alignment horizontal="right" vertical="center" wrapText="1" indent="1"/>
    </xf>
    <xf numFmtId="0" fontId="52" fillId="34" borderId="0" xfId="0" applyFont="1" applyFill="1" applyNumberFormat="1">
      <alignment horizontal="center" vertical="center" wrapText="1"/>
    </xf>
    <xf numFmtId="0" fontId="48" fillId="34" borderId="0" xfId="0" applyFont="1" applyFill="1" applyNumberFormat="1">
      <alignment horizontal="center" vertical="center" wrapText="1"/>
    </xf>
    <xf numFmtId="0" fontId="50" fillId="34" borderId="0" xfId="0" applyFont="1" applyFill="1" applyNumberFormat="1">
      <alignment horizontal="left" vertical="center" wrapText="1" indent="1"/>
    </xf>
    <xf numFmtId="0" fontId="53" fillId="0" borderId="0" xfId="0" applyFont="1" applyNumberFormat="1">
      <alignment horizontal="left" vertical="center" wrapText="1"/>
    </xf>
    <xf numFmtId="0" fontId="53" fillId="0" borderId="0" xfId="0" applyFont="1" applyNumberFormat="1">
      <alignment vertical="center" wrapText="1"/>
    </xf>
    <xf numFmtId="0" fontId="50" fillId="0" borderId="0" xfId="0" applyFont="1" applyNumberFormat="1">
      <alignment vertical="center" wrapText="1"/>
    </xf>
    <xf numFmtId="0" fontId="50" fillId="0" borderId="0" xfId="0" applyFont="1" applyNumberFormat="1">
      <alignment horizontal="right" vertical="center"/>
    </xf>
    <xf numFmtId="49" fontId="19" fillId="0" borderId="0" xfId="0" applyFont="1" applyNumberFormat="1">
      <alignment vertical="center" wrapText="1"/>
    </xf>
    <xf numFmtId="0" fontId="0" fillId="0" borderId="0" xfId="0" applyFont="1" applyNumberFormat="1">
      <alignment horizontal="left" vertical="center" indent="1"/>
    </xf>
    <xf numFmtId="0" fontId="37" fillId="0" borderId="0" xfId="0" applyFont="1" applyNumberFormat="1">
      <alignment horizontal="left" vertical="center" indent="1"/>
    </xf>
    <xf numFmtId="0" fontId="37" fillId="0" borderId="0" xfId="0" applyFont="1" applyNumberFormat="1">
      <alignment horizontal="left" vertical="center" indent="1"/>
    </xf>
    <xf numFmtId="0" fontId="37" fillId="0" borderId="22" xfId="0" applyFont="1" applyBorder="1" applyNumberFormat="1">
      <alignment vertical="center"/>
    </xf>
    <xf numFmtId="0" fontId="19"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19" fillId="0" borderId="0" xfId="0" applyFont="1" applyNumberFormat="1">
      <alignment vertical="top"/>
    </xf>
    <xf numFmtId="0" fontId="19" fillId="0" borderId="0" xfId="0" applyFont="1" applyNumberFormat="1">
      <alignment horizontal="left" vertical="center" wrapText="1" indent="2"/>
    </xf>
    <xf numFmtId="0" fontId="19" fillId="0" borderId="12" xfId="0" applyFont="1" applyBorder="1" applyNumberFormat="1">
      <alignment vertical="top" wrapText="1"/>
    </xf>
    <xf numFmtId="0" fontId="0" fillId="38" borderId="12" xfId="0" applyFont="1" applyFill="1" applyBorder="1" applyNumberFormat="1">
      <alignment horizontal="left" vertical="center" wrapText="1"/>
      <protection locked="0"/>
    </xf>
    <xf numFmtId="0" fontId="19" fillId="0" borderId="12" xfId="0" applyFont="1" applyBorder="1" applyNumberFormat="1">
      <alignment horizontal="left" vertical="top" wrapText="1"/>
    </xf>
    <xf numFmtId="0" fontId="19" fillId="0" borderId="12" xfId="0" applyFont="1" applyBorder="1" applyNumberFormat="1">
      <alignment horizontal="left" vertical="center" wrapText="1"/>
    </xf>
    <xf numFmtId="0" fontId="19" fillId="0" borderId="12" xfId="0" applyFont="1" applyBorder="1" applyNumberFormat="1">
      <alignment horizontal="center" vertical="center" wrapText="1"/>
    </xf>
    <xf numFmtId="49" fontId="19" fillId="0" borderId="17" xfId="0" applyFont="1" applyBorder="1" applyNumberFormat="1">
      <alignment horizontal="left" vertical="center" wrapText="1"/>
    </xf>
    <xf numFmtId="49" fontId="39" fillId="36" borderId="14" xfId="0" applyFont="1" applyFill="1" applyBorder="1" applyNumberFormat="1">
      <alignment horizontal="center" vertical="center"/>
    </xf>
    <xf numFmtId="49" fontId="29" fillId="36" borderId="13" xfId="0" applyFont="1" applyFill="1" applyBorder="1" applyNumberFormat="1">
      <alignment horizontal="left" vertical="center"/>
    </xf>
    <xf numFmtId="0" fontId="19" fillId="0" borderId="0" xfId="0" applyFont="1" applyNumberFormat="1"/>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xf numFmtId="49" fontId="55" fillId="0" borderId="0" xfId="0" applyFont="1" applyNumberFormat="1">
      <alignment vertical="top"/>
    </xf>
    <xf numFmtId="49" fontId="56" fillId="0" borderId="0" xfId="0" applyFont="1" applyNumberFormat="1">
      <alignment vertical="top"/>
    </xf>
    <xf numFmtId="0" fontId="19" fillId="0" borderId="0" xfId="0" applyFont="1" applyNumberFormat="1">
      <alignment horizontal="center" vertical="center" wrapText="1"/>
    </xf>
    <xf numFmtId="49" fontId="19" fillId="38" borderId="12" xfId="0" applyFont="1" applyFill="1" applyBorder="1" applyNumberFormat="1">
      <alignment horizontal="left" vertical="center" wrapText="1" indent="1"/>
      <protection locked="0"/>
    </xf>
    <xf numFmtId="0" fontId="37" fillId="0" borderId="0" xfId="0" applyFont="1" applyNumberFormat="1">
      <alignment vertical="top"/>
    </xf>
    <xf numFmtId="49" fontId="37" fillId="0" borderId="0" xfId="0" applyFont="1" applyNumberFormat="1">
      <alignment vertical="top"/>
    </xf>
    <xf numFmtId="0" fontId="0" fillId="0" borderId="0" xfId="0" applyFont="1" applyNumberFormat="1">
      <alignment vertical="top"/>
    </xf>
    <xf numFmtId="49" fontId="19" fillId="0" borderId="12" xfId="0" applyFont="1" applyBorder="1" applyNumberFormat="1">
      <alignment horizontal="right" vertical="center"/>
    </xf>
    <xf numFmtId="0" fontId="57" fillId="0" borderId="0" xfId="0" applyFont="1" applyNumberFormat="1">
      <alignment vertical="center"/>
    </xf>
    <xf numFmtId="0" fontId="37" fillId="0" borderId="0" xfId="0" applyFont="1" applyNumberFormat="1">
      <alignment vertical="center"/>
    </xf>
    <xf numFmtId="0" fontId="35" fillId="0" borderId="0" xfId="0" applyFont="1" applyNumberFormat="1">
      <alignment horizontal="center" vertical="center" wrapText="1"/>
    </xf>
    <xf numFmtId="0" fontId="0" fillId="0" borderId="0" xfId="0" applyFont="1" applyNumberFormat="1">
      <alignment horizontal="center" vertical="center"/>
    </xf>
    <xf numFmtId="0" fontId="37" fillId="0" borderId="0" xfId="0" applyFont="1" applyNumberFormat="1">
      <alignment vertical="center" wrapText="1"/>
    </xf>
    <xf numFmtId="0" fontId="19" fillId="0" borderId="12" xfId="0" applyFont="1" applyBorder="1" applyNumberFormat="1">
      <alignment horizontal="left" vertical="center" wrapText="1"/>
    </xf>
    <xf numFmtId="0" fontId="58" fillId="0" borderId="0" xfId="0" applyFont="1" applyNumberFormat="1">
      <alignment vertical="center"/>
    </xf>
    <xf numFmtId="49" fontId="24" fillId="34" borderId="0" xfId="0" applyFont="1" applyFill="1" applyNumberFormat="1">
      <alignment horizontal="center" vertical="center" wrapText="1"/>
    </xf>
    <xf numFmtId="0" fontId="0" fillId="0" borderId="0" xfId="0" applyFont="1" applyNumberFormat="1">
      <alignment vertical="center"/>
    </xf>
    <xf numFmtId="0" fontId="19" fillId="0" borderId="12" xfId="0" applyFont="1" applyBorder="1" applyNumberFormat="1">
      <alignment horizontal="center" vertical="center" wrapText="1"/>
    </xf>
    <xf numFmtId="49" fontId="19" fillId="0" borderId="12" xfId="0" applyFont="1" applyBorder="1" applyNumberFormat="1">
      <alignment horizontal="center" vertical="center" wrapText="1"/>
    </xf>
    <xf numFmtId="0" fontId="19" fillId="34" borderId="12" xfId="0" applyFont="1" applyFill="1" applyBorder="1" applyNumberFormat="1">
      <alignment horizontal="left" vertical="center" wrapText="1" indent="4"/>
    </xf>
    <xf numFmtId="0" fontId="19" fillId="34" borderId="12" xfId="0" applyFont="1" applyFill="1" applyBorder="1" applyNumberFormat="1">
      <alignment horizontal="left" vertical="center" wrapText="1" indent="5"/>
    </xf>
    <xf numFmtId="49" fontId="29" fillId="36" borderId="15" xfId="0" applyFont="1" applyFill="1" applyBorder="1" applyNumberFormat="1">
      <alignment horizontal="left" vertical="center" indent="5"/>
    </xf>
    <xf numFmtId="49" fontId="29" fillId="36" borderId="15" xfId="0" applyFont="1" applyFill="1" applyBorder="1" applyNumberFormat="1">
      <alignment horizontal="left" vertical="center" indent="6"/>
    </xf>
    <xf numFmtId="0" fontId="19" fillId="0" borderId="12" xfId="0" applyFont="1" applyBorder="1" applyNumberFormat="1">
      <alignment vertical="center" wrapText="1"/>
    </xf>
    <xf numFmtId="0" fontId="35" fillId="0" borderId="0" xfId="0" applyFont="1" applyNumberFormat="1">
      <alignment vertical="center" wrapText="1"/>
    </xf>
    <xf numFmtId="0" fontId="59" fillId="34" borderId="0" xfId="0" applyFont="1" applyFill="1" applyNumberFormat="1">
      <alignment vertical="center" wrapText="1"/>
    </xf>
    <xf numFmtId="49" fontId="19" fillId="0" borderId="12" xfId="0" applyFont="1" applyBorder="1" applyNumberFormat="1">
      <alignment horizontal="center" vertical="center" wrapText="1"/>
    </xf>
    <xf numFmtId="49" fontId="0" fillId="0" borderId="0" xfId="0" applyFont="1" applyNumberFormat="1">
      <alignment vertical="top"/>
    </xf>
    <xf numFmtId="49" fontId="29" fillId="36" borderId="14" xfId="0" applyFont="1" applyFill="1" applyBorder="1" applyNumberFormat="1">
      <alignment horizontal="left" vertical="center" indent="1"/>
    </xf>
    <xf numFmtId="0" fontId="0" fillId="34"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19" fillId="0" borderId="12" xfId="0" applyFont="1" applyBorder="1" applyNumberFormat="1">
      <alignment vertical="top" wrapText="1"/>
    </xf>
    <xf numFmtId="0" fontId="19" fillId="0" borderId="12" xfId="0" applyFont="1" applyBorder="1" applyNumberFormat="1">
      <alignment vertical="center" wrapText="1"/>
    </xf>
    <xf numFmtId="0" fontId="57" fillId="0" borderId="0" xfId="0" applyFont="1" applyNumberFormat="1">
      <alignment vertical="center"/>
    </xf>
    <xf numFmtId="0" fontId="19" fillId="0" borderId="12" xfId="0" applyFont="1" applyBorder="1" applyNumberFormat="1">
      <alignment horizontal="left" vertical="center" wrapText="1" indent="6"/>
    </xf>
    <xf numFmtId="0" fontId="19" fillId="0" borderId="17" xfId="0" applyFont="1" applyBorder="1" applyNumberFormat="1">
      <alignment vertical="center" wrapText="1"/>
    </xf>
    <xf numFmtId="0" fontId="19" fillId="0" borderId="23" xfId="0" applyFont="1" applyBorder="1" applyNumberFormat="1">
      <alignment vertical="center" wrapText="1"/>
    </xf>
    <xf numFmtId="49" fontId="0" fillId="36" borderId="13" xfId="0" applyFont="1" applyFill="1" applyBorder="1" applyNumberFormat="1">
      <alignment horizontal="center" vertical="center" wrapText="1"/>
    </xf>
    <xf numFmtId="0" fontId="0" fillId="0" borderId="14" xfId="0" applyFont="1" applyBorder="1" applyNumberFormat="1">
      <alignment vertical="center"/>
    </xf>
    <xf numFmtId="172" fontId="0" fillId="38" borderId="12" xfId="0" applyFont="1" applyFill="1" applyBorder="1" applyNumberFormat="1">
      <alignment horizontal="right" vertical="center"/>
      <protection locked="0"/>
    </xf>
    <xf numFmtId="0" fontId="0" fillId="34" borderId="14" xfId="0" applyFont="1" applyFill="1" applyBorder="1" applyNumberFormat="1">
      <alignment horizontal="right" vertical="center" wrapText="1" indent="1"/>
    </xf>
    <xf numFmtId="49" fontId="20" fillId="0" borderId="0" xfId="0" applyFont="1" applyNumberFormat="1">
      <alignment vertical="top"/>
    </xf>
    <xf numFmtId="0" fontId="28" fillId="34" borderId="0" xfId="0" applyFont="1" applyFill="1" applyNumberFormat="1">
      <alignment vertical="center" wrapText="1"/>
    </xf>
    <xf numFmtId="49" fontId="60" fillId="36" borderId="14" xfId="0" applyFont="1" applyFill="1" applyBorder="1" applyNumberFormat="1">
      <alignment horizontal="center" vertical="center"/>
    </xf>
    <xf numFmtId="0" fontId="19" fillId="34" borderId="12" xfId="0" applyFont="1" applyFill="1" applyBorder="1" applyNumberFormat="1">
      <alignment horizontal="left" vertical="center" wrapText="1" indent="1"/>
    </xf>
    <xf numFmtId="0" fontId="19" fillId="34" borderId="12" xfId="0" applyFont="1" applyFill="1" applyBorder="1" applyNumberFormat="1">
      <alignment horizontal="left" vertical="center" wrapText="1" indent="2"/>
    </xf>
    <xf numFmtId="0" fontId="19" fillId="34" borderId="12" xfId="0" applyFont="1" applyFill="1" applyBorder="1" applyNumberFormat="1">
      <alignment horizontal="left" vertical="center" wrapText="1" indent="3"/>
    </xf>
    <xf numFmtId="0" fontId="19" fillId="0" borderId="12" xfId="0" applyFont="1" applyBorder="1" applyNumberFormat="1">
      <alignment horizontal="left" vertical="center" wrapText="1" indent="4"/>
    </xf>
    <xf numFmtId="49" fontId="29" fillId="36" borderId="14" xfId="0" applyFont="1" applyFill="1" applyBorder="1" applyNumberFormat="1">
      <alignment vertical="center" wrapText="1"/>
    </xf>
    <xf numFmtId="49" fontId="29" fillId="36" borderId="15" xfId="0" applyFont="1" applyFill="1" applyBorder="1" applyNumberFormat="1">
      <alignment vertical="center"/>
    </xf>
    <xf numFmtId="49" fontId="29" fillId="36" borderId="15" xfId="0" applyFont="1" applyFill="1" applyBorder="1" applyNumberFormat="1">
      <alignment vertical="center" wrapText="1"/>
    </xf>
    <xf numFmtId="0" fontId="19" fillId="0" borderId="12" xfId="0" applyFont="1" applyBorder="1" applyNumberFormat="1">
      <alignment vertical="center" wrapText="1"/>
    </xf>
    <xf numFmtId="49" fontId="19" fillId="0" borderId="12" xfId="0" applyFont="1" applyBorder="1" applyNumberFormat="1">
      <alignment vertical="center" wrapText="1"/>
    </xf>
    <xf numFmtId="0" fontId="19" fillId="0" borderId="0" xfId="0" applyFont="1" applyNumberFormat="1">
      <alignment vertical="top" wrapText="1"/>
    </xf>
    <xf numFmtId="49" fontId="29" fillId="36" borderId="14" xfId="0" applyFont="1" applyFill="1" applyBorder="1" applyNumberFormat="1">
      <alignment horizontal="left" vertical="center"/>
    </xf>
    <xf numFmtId="49" fontId="0" fillId="0" borderId="12" xfId="0" applyFont="1" applyBorder="1" applyNumberFormat="1">
      <alignment vertical="center" wrapText="1"/>
    </xf>
    <xf numFmtId="0" fontId="29" fillId="36" borderId="14"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0" xfId="0" applyFont="1" applyNumberFormat="1">
      <alignment horizontal="right" vertical="center" wrapText="1" indent="1"/>
    </xf>
    <xf numFmtId="0" fontId="39" fillId="34" borderId="0" xfId="0" applyFont="1" applyFill="1" applyNumberFormat="1">
      <alignment horizontal="center" vertical="center" wrapText="1"/>
    </xf>
    <xf numFmtId="49" fontId="60" fillId="36" borderId="15" xfId="0" applyFont="1" applyFill="1" applyBorder="1" applyNumberFormat="1">
      <alignment horizontal="left" vertical="center"/>
    </xf>
    <xf numFmtId="0" fontId="19" fillId="0" borderId="0" xfId="0" applyFont="1" applyNumberFormat="1">
      <alignment vertical="center" wrapText="1"/>
    </xf>
    <xf numFmtId="49" fontId="19" fillId="36" borderId="13" xfId="0" applyFont="1" applyFill="1" applyBorder="1" applyNumberFormat="1">
      <alignment horizontal="center" vertical="center" wrapText="1"/>
    </xf>
    <xf numFmtId="4" fontId="19" fillId="0" borderId="12" xfId="0" applyFont="1" applyBorder="1" applyNumberFormat="1">
      <alignment horizontal="right" vertical="center" wrapText="1"/>
    </xf>
    <xf numFmtId="49" fontId="0" fillId="36" borderId="15" xfId="0" applyFont="1" applyFill="1" applyBorder="1" applyNumberFormat="1">
      <alignment horizontal="center" vertical="center" wrapText="1"/>
    </xf>
    <xf numFmtId="0" fontId="19" fillId="0" borderId="0" xfId="0" applyFont="1" applyNumberFormat="1">
      <alignment vertical="center" wrapText="1"/>
    </xf>
    <xf numFmtId="0" fontId="19" fillId="0" borderId="0" xfId="0" applyFont="1" applyNumberFormat="1">
      <alignment vertical="center" wrapText="1"/>
    </xf>
    <xf numFmtId="4" fontId="37"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61" fillId="0" borderId="14" xfId="0" applyFont="1" applyBorder="1" applyNumberFormat="1">
      <alignment horizontal="left" vertical="center" wrapText="1"/>
    </xf>
    <xf numFmtId="0" fontId="57" fillId="0" borderId="12" xfId="0" applyFont="1" applyBorder="1" applyNumberFormat="1">
      <alignment horizontal="left" vertical="center" wrapText="1" indent="2"/>
    </xf>
    <xf numFmtId="49" fontId="57" fillId="0" borderId="12" xfId="0" applyFont="1" applyBorder="1" applyNumberFormat="1">
      <alignment horizontal="center" vertical="center" wrapText="1"/>
    </xf>
    <xf numFmtId="0" fontId="62" fillId="0" borderId="0" xfId="0" applyFont="1" applyNumberFormat="1">
      <alignment vertical="center" wrapText="1"/>
    </xf>
    <xf numFmtId="0" fontId="19" fillId="0" borderId="0" xfId="0" applyFont="1" applyNumberFormat="1">
      <alignment vertical="top"/>
    </xf>
    <xf numFmtId="0" fontId="19" fillId="0" borderId="0" xfId="0" applyFont="1" applyNumberFormat="1">
      <alignment horizontal="right" vertical="top" wrapText="1"/>
    </xf>
    <xf numFmtId="0" fontId="19" fillId="0" borderId="17" xfId="0" applyFont="1" applyBorder="1" applyNumberFormat="1">
      <alignment vertical="center" wrapText="1"/>
    </xf>
    <xf numFmtId="49" fontId="33" fillId="36" borderId="15" xfId="0" applyFont="1" applyFill="1" applyBorder="1" applyNumberFormat="1">
      <alignment horizontal="center" vertical="top"/>
    </xf>
    <xf numFmtId="0" fontId="19" fillId="0" borderId="23" xfId="0" applyFont="1" applyBorder="1" applyNumberFormat="1">
      <alignment vertical="top" wrapText="1"/>
    </xf>
    <xf numFmtId="0" fontId="0" fillId="0" borderId="0" xfId="0" applyFont="1" applyNumberFormat="1">
      <alignment horizontal="left" vertical="top" wrapText="1"/>
    </xf>
    <xf numFmtId="0" fontId="19" fillId="0" borderId="17" xfId="0" applyFont="1" applyBorder="1" applyNumberFormat="1">
      <alignment vertical="top" wrapText="1"/>
    </xf>
    <xf numFmtId="0" fontId="19" fillId="0" borderId="0" xfId="0" applyFont="1" applyNumberFormat="1">
      <alignment vertical="center" wrapText="1"/>
    </xf>
    <xf numFmtId="49" fontId="19" fillId="0" borderId="0" xfId="0" applyFont="1" applyNumberFormat="1">
      <alignment vertical="top"/>
    </xf>
    <xf numFmtId="0" fontId="28" fillId="0" borderId="0" xfId="0" applyFont="1" applyNumberFormat="1">
      <alignment vertical="center" wrapText="1"/>
    </xf>
    <xf numFmtId="0" fontId="19" fillId="0" borderId="12" xfId="0" applyFont="1" applyBorder="1" applyNumberFormat="1">
      <alignment vertical="center" wrapText="1"/>
    </xf>
    <xf numFmtId="49" fontId="19" fillId="0" borderId="0" xfId="0" applyFont="1" applyNumberFormat="1">
      <alignment horizontal="center" vertical="center" wrapText="1"/>
    </xf>
    <xf numFmtId="0" fontId="19" fillId="36" borderId="14" xfId="0" applyFont="1" applyFill="1" applyBorder="1" applyNumberFormat="1">
      <alignment vertical="center" wrapText="1"/>
    </xf>
    <xf numFmtId="0" fontId="19" fillId="38" borderId="12" xfId="0" applyFont="1" applyFill="1" applyBorder="1" applyNumberFormat="1">
      <alignment horizontal="left" vertical="center" wrapText="1" indent="1"/>
      <protection locked="0"/>
    </xf>
    <xf numFmtId="49" fontId="29" fillId="36" borderId="15" xfId="0" applyFont="1" applyFill="1" applyBorder="1" applyNumberFormat="1">
      <alignment horizontal="left" vertical="center" indent="2"/>
    </xf>
    <xf numFmtId="0" fontId="37" fillId="0" borderId="0" xfId="0" applyFont="1" applyNumberFormat="1">
      <alignment vertical="center"/>
    </xf>
    <xf numFmtId="0" fontId="63" fillId="0" borderId="0" xfId="0" applyFont="1" applyNumberFormat="1">
      <alignment vertical="center" wrapText="1"/>
    </xf>
    <xf numFmtId="0" fontId="31" fillId="34" borderId="0" xfId="0" applyFont="1" applyFill="1" applyNumberFormat="1">
      <alignment horizontal="center" vertical="center" wrapText="1"/>
    </xf>
    <xf numFmtId="0" fontId="19" fillId="0" borderId="24" xfId="0" applyFont="1" applyBorder="1" applyNumberFormat="1">
      <alignment vertical="center" wrapText="1"/>
    </xf>
    <xf numFmtId="0" fontId="25" fillId="0" borderId="0" xfId="0" applyFont="1" applyNumberFormat="1">
      <alignment vertical="center" wrapText="1"/>
    </xf>
    <xf numFmtId="49" fontId="19" fillId="0" borderId="24" xfId="0" applyFont="1" applyBorder="1" applyNumberFormat="1">
      <alignment vertical="top"/>
    </xf>
    <xf numFmtId="0" fontId="37" fillId="0" borderId="24" xfId="0" applyFont="1" applyBorder="1" applyNumberFormat="1">
      <alignment horizontal="center" vertical="center" wrapText="1"/>
    </xf>
    <xf numFmtId="0" fontId="37" fillId="0" borderId="24" xfId="0" applyFont="1" applyBorder="1" applyNumberFormat="1">
      <alignment vertical="center" wrapText="1"/>
    </xf>
    <xf numFmtId="49" fontId="20" fillId="0" borderId="0" xfId="0" applyFont="1" applyNumberFormat="1">
      <alignment vertical="top"/>
    </xf>
    <xf numFmtId="49" fontId="0" fillId="0" borderId="24" xfId="0" applyFont="1" applyBorder="1" applyNumberFormat="1">
      <alignment vertical="top"/>
    </xf>
    <xf numFmtId="49" fontId="19" fillId="0" borderId="0" xfId="0" applyFont="1" applyNumberFormat="1">
      <alignment vertical="top"/>
    </xf>
    <xf numFmtId="49" fontId="19" fillId="0" borderId="0" xfId="0" applyFont="1" applyNumberFormat="1">
      <alignment vertical="center" wrapText="1"/>
    </xf>
    <xf numFmtId="0" fontId="25" fillId="34" borderId="0" xfId="0" applyFont="1" applyFill="1" applyNumberFormat="1">
      <alignment vertical="center" wrapText="1"/>
    </xf>
    <xf numFmtId="0" fontId="20" fillId="0" borderId="0" xfId="0" applyFont="1" applyNumberFormat="1">
      <alignment horizontal="center" vertical="center" wrapText="1"/>
    </xf>
    <xf numFmtId="0" fontId="20" fillId="0" borderId="0" xfId="0" applyFont="1" applyNumberFormat="1">
      <alignment vertical="center" wrapText="1"/>
    </xf>
    <xf numFmtId="0" fontId="19" fillId="34" borderId="0" xfId="0" applyFont="1" applyFill="1" applyNumberFormat="1">
      <alignment vertical="center" wrapText="1"/>
    </xf>
    <xf numFmtId="49" fontId="19" fillId="0" borderId="0" xfId="0" applyFont="1" applyNumberFormat="1">
      <alignment vertical="center" wrapText="1"/>
    </xf>
    <xf numFmtId="49" fontId="29" fillId="36" borderId="15" xfId="0" applyFont="1" applyFill="1" applyBorder="1" applyNumberFormat="1">
      <alignment horizontal="left" vertical="center" indent="2"/>
    </xf>
    <xf numFmtId="49" fontId="29" fillId="36" borderId="15" xfId="0" applyFont="1" applyFill="1" applyBorder="1" applyNumberFormat="1">
      <alignment horizontal="left" vertical="center" indent="4"/>
    </xf>
    <xf numFmtId="49" fontId="19" fillId="0" borderId="0" xfId="0" applyFont="1" applyNumberFormat="1">
      <alignment vertical="center"/>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0" fontId="37" fillId="0" borderId="0" xfId="0" applyFont="1" applyNumberFormat="1">
      <alignment vertical="center"/>
    </xf>
    <xf numFmtId="0" fontId="19" fillId="0" borderId="0" xfId="0" applyFont="1" applyNumberFormat="1">
      <alignment vertical="top" wrapText="1"/>
    </xf>
    <xf numFmtId="49" fontId="19" fillId="0" borderId="12" xfId="0" applyFont="1" applyBorder="1" applyNumberFormat="1">
      <alignment horizontal="right" vertical="top"/>
    </xf>
    <xf numFmtId="49" fontId="19" fillId="0" borderId="17" xfId="0" applyFont="1" applyBorder="1" applyNumberFormat="1">
      <alignment horizontal="right" vertical="top"/>
    </xf>
    <xf numFmtId="49" fontId="29" fillId="36" borderId="15" xfId="0" applyFont="1" applyFill="1" applyBorder="1" applyNumberFormat="1">
      <alignment horizontal="left" vertical="center" indent="3"/>
    </xf>
    <xf numFmtId="49" fontId="0" fillId="0" borderId="0" xfId="0" applyFont="1" applyNumberFormat="1">
      <alignment vertical="top"/>
    </xf>
    <xf numFmtId="0" fontId="19" fillId="0" borderId="0" xfId="0" applyFont="1" applyNumberFormat="1">
      <alignment vertical="center" wrapText="1"/>
    </xf>
    <xf numFmtId="49" fontId="20" fillId="0" borderId="0" xfId="0" applyFont="1" applyNumberFormat="1">
      <alignment vertical="top"/>
    </xf>
    <xf numFmtId="49" fontId="28" fillId="0" borderId="0" xfId="0" applyFont="1" applyNumberFormat="1">
      <alignment vertical="top"/>
    </xf>
    <xf numFmtId="0" fontId="28" fillId="34" borderId="0" xfId="0" applyFont="1" applyFill="1" applyNumberFormat="1">
      <alignment vertical="center" wrapText="1"/>
    </xf>
    <xf numFmtId="49" fontId="19" fillId="0" borderId="0" xfId="0" applyFont="1" applyNumberFormat="1">
      <alignment vertical="top"/>
    </xf>
    <xf numFmtId="49" fontId="19" fillId="38" borderId="12" xfId="0" applyFont="1" applyFill="1" applyBorder="1" applyNumberFormat="1">
      <alignment horizontal="left" vertical="center" wrapText="1" indent="4"/>
      <protection locked="0"/>
    </xf>
    <xf numFmtId="49" fontId="19" fillId="38" borderId="12" xfId="0" applyFont="1" applyFill="1" applyBorder="1" applyNumberFormat="1">
      <alignment horizontal="left" vertical="center" wrapText="1"/>
      <protection locked="0"/>
    </xf>
    <xf numFmtId="49" fontId="19" fillId="35" borderId="12" xfId="0" applyFont="1" applyFill="1" applyBorder="1" applyNumberFormat="1">
      <alignment horizontal="left" vertical="center" wrapText="1"/>
      <protection locked="0"/>
    </xf>
    <xf numFmtId="4" fontId="0" fillId="38" borderId="12" xfId="0" applyFont="1" applyFill="1" applyBorder="1" applyNumberFormat="1">
      <alignment horizontal="right" vertical="center" wrapText="1"/>
      <protection locked="0"/>
    </xf>
    <xf numFmtId="49" fontId="37" fillId="0" borderId="0" xfId="0" applyFont="1" applyNumberFormat="1">
      <alignment vertical="top"/>
    </xf>
    <xf numFmtId="49" fontId="37" fillId="0" borderId="0" xfId="0" applyFont="1" applyNumberFormat="1">
      <alignment vertical="center" wrapText="1"/>
    </xf>
    <xf numFmtId="49" fontId="37" fillId="0" borderId="0" xfId="0" applyFont="1" applyNumberFormat="1">
      <alignment vertical="top"/>
    </xf>
    <xf numFmtId="49" fontId="37" fillId="0" borderId="0" xfId="0" applyFont="1" applyNumberFormat="1">
      <alignment vertical="center"/>
    </xf>
    <xf numFmtId="49" fontId="19" fillId="38" borderId="12" xfId="0" applyFont="1" applyFill="1" applyBorder="1" applyNumberFormat="1">
      <alignment horizontal="left" vertical="center" wrapText="1"/>
      <protection locked="0"/>
    </xf>
    <xf numFmtId="49" fontId="43" fillId="38"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72" fontId="19" fillId="0" borderId="12" xfId="0" applyFont="1" applyBorder="1" applyNumberFormat="1">
      <alignment horizontal="right" vertical="center" wrapText="1"/>
    </xf>
    <xf numFmtId="49" fontId="43" fillId="38" borderId="14" xfId="0" applyFont="1" applyFill="1" applyBorder="1" applyNumberFormat="1">
      <alignment horizontal="left" vertical="center" wrapText="1"/>
      <protection locked="0"/>
    </xf>
    <xf numFmtId="0" fontId="19" fillId="34" borderId="12" xfId="0" applyFont="1" applyFill="1" applyBorder="1" applyNumberFormat="1">
      <alignment horizontal="center" vertical="center" wrapText="1"/>
    </xf>
    <xf numFmtId="0" fontId="25" fillId="34" borderId="0" xfId="0" applyFont="1" applyFill="1" applyNumberFormat="1">
      <alignment horizontal="center" vertical="center" wrapText="1"/>
    </xf>
    <xf numFmtId="0" fontId="0" fillId="0" borderId="12" xfId="0" applyFont="1" applyBorder="1" applyNumberFormat="1">
      <alignment horizontal="left" vertical="center" wrapText="1"/>
    </xf>
    <xf numFmtId="0" fontId="19" fillId="34" borderId="0" xfId="0" applyFont="1" applyFill="1" applyNumberFormat="1">
      <alignment horizontal="center" vertical="center" wrapText="1"/>
    </xf>
    <xf numFmtId="0" fontId="39" fillId="0" borderId="0" xfId="0" applyFont="1" applyNumberFormat="1">
      <alignment vertical="top" wrapText="1"/>
    </xf>
    <xf numFmtId="0" fontId="19" fillId="34" borderId="26" xfId="0" applyFont="1" applyFill="1" applyBorder="1" applyNumberFormat="1">
      <alignment horizontal="right" vertical="center" wrapText="1" indent="1"/>
    </xf>
    <xf numFmtId="0" fontId="0" fillId="34" borderId="26" xfId="0" applyFont="1" applyFill="1" applyBorder="1" applyNumberFormat="1">
      <alignment horizontal="right" vertical="center" wrapText="1" indent="1"/>
    </xf>
    <xf numFmtId="0" fontId="19" fillId="0" borderId="0" xfId="0" applyFont="1" applyNumberFormat="1">
      <alignment horizontal="left" vertical="center" wrapText="1" indent="4"/>
    </xf>
    <xf numFmtId="0" fontId="19" fillId="34" borderId="0" xfId="0" applyFont="1" applyFill="1" applyNumberFormat="1">
      <alignment horizontal="center" vertical="center" wrapText="1"/>
    </xf>
    <xf numFmtId="49" fontId="29" fillId="36" borderId="15" xfId="0" applyFont="1" applyFill="1" applyBorder="1" applyNumberFormat="1">
      <alignment horizontal="left" vertical="center"/>
    </xf>
    <xf numFmtId="0" fontId="19" fillId="0" borderId="19" xfId="0" applyFont="1" applyBorder="1" applyNumberFormat="1">
      <alignment vertical="center" wrapText="1"/>
    </xf>
    <xf numFmtId="0" fontId="19" fillId="0" borderId="0" xfId="0" applyFont="1" applyNumberFormat="1">
      <alignment horizontal="left" vertical="center" wrapText="1" indent="1"/>
    </xf>
    <xf numFmtId="0" fontId="62" fillId="0" borderId="0" xfId="0" applyFont="1" applyNumberFormat="1">
      <alignment vertical="center" wrapText="1"/>
    </xf>
    <xf numFmtId="49" fontId="0" fillId="34" borderId="14" xfId="0" applyFont="1" applyFill="1" applyBorder="1" applyNumberFormat="1">
      <alignment horizontal="center" vertical="center" wrapText="1"/>
    </xf>
    <xf numFmtId="49" fontId="29" fillId="36" borderId="27" xfId="0" applyFont="1" applyFill="1" applyBorder="1" applyNumberFormat="1">
      <alignment horizontal="left" vertical="center" indent="2"/>
    </xf>
    <xf numFmtId="49" fontId="43" fillId="35" borderId="12" xfId="0" applyFont="1" applyFill="1" applyBorder="1" applyNumberFormat="1">
      <alignment horizontal="left" vertical="center" wrapText="1"/>
      <protection locked="0"/>
    </xf>
    <xf numFmtId="49" fontId="19" fillId="0" borderId="19" xfId="0" applyFont="1" applyBorder="1" applyNumberFormat="1">
      <alignment vertical="top"/>
    </xf>
    <xf numFmtId="49" fontId="60" fillId="36" borderId="13" xfId="0" applyFont="1" applyFill="1" applyBorder="1" applyNumberFormat="1">
      <alignment horizontal="left" vertical="center" indent="1"/>
    </xf>
    <xf numFmtId="49" fontId="60" fillId="36" borderId="15" xfId="0" applyFont="1" applyFill="1" applyBorder="1" applyNumberFormat="1">
      <alignment horizontal="left" vertical="center" indent="1"/>
    </xf>
    <xf numFmtId="49" fontId="39" fillId="36" borderId="14" xfId="0" applyFont="1" applyFill="1" applyBorder="1" applyNumberFormat="1">
      <alignment horizontal="center" vertical="center"/>
    </xf>
    <xf numFmtId="49" fontId="60" fillId="36" borderId="15" xfId="0" applyFont="1" applyFill="1" applyBorder="1" applyNumberFormat="1">
      <alignment vertical="center"/>
    </xf>
    <xf numFmtId="0" fontId="0" fillId="40" borderId="12" xfId="0" applyFont="1" applyFill="1" applyBorder="1" applyNumberFormat="1">
      <alignment horizontal="right" vertical="center"/>
    </xf>
    <xf numFmtId="0" fontId="21" fillId="0" borderId="0" xfId="0" applyFont="1" applyNumberFormat="1">
      <alignment vertical="center" wrapText="1"/>
    </xf>
    <xf numFmtId="0" fontId="19" fillId="0" borderId="0" xfId="0" applyFont="1" applyNumberFormat="1">
      <alignment vertical="center" wrapText="1"/>
    </xf>
    <xf numFmtId="0" fontId="22" fillId="34" borderId="0" xfId="0" applyFont="1" applyFill="1" applyNumberFormat="1">
      <alignment vertical="center" wrapText="1"/>
    </xf>
    <xf numFmtId="0" fontId="20" fillId="0" borderId="0" xfId="0" applyFont="1" applyNumberFormat="1">
      <alignment horizontal="center" vertical="center" wrapText="1"/>
    </xf>
    <xf numFmtId="0" fontId="0" fillId="0" borderId="0" xfId="0" applyFont="1" applyNumberFormat="1">
      <alignment vertical="center" wrapText="1"/>
    </xf>
    <xf numFmtId="0" fontId="20" fillId="0" borderId="0" xfId="0" applyFont="1" applyNumberFormat="1">
      <alignment horizontal="left" vertical="center" wrapText="1"/>
    </xf>
    <xf numFmtId="0" fontId="0" fillId="0" borderId="12" xfId="0" applyFont="1" applyBorder="1" applyNumberFormat="1">
      <alignment horizontal="center" vertical="center" wrapText="1"/>
    </xf>
    <xf numFmtId="49" fontId="29" fillId="36" borderId="15" xfId="0" applyFont="1" applyFill="1" applyBorder="1" applyNumberFormat="1">
      <alignment horizontal="left" vertical="center" indent="1"/>
    </xf>
    <xf numFmtId="49" fontId="29" fillId="36" borderId="15" xfId="0" applyFont="1" applyFill="1" applyBorder="1" applyNumberFormat="1">
      <alignment horizontal="left" vertical="center"/>
    </xf>
    <xf numFmtId="0" fontId="36" fillId="0" borderId="0" xfId="0" applyFont="1" applyNumberFormat="1">
      <alignment vertical="center" wrapText="1"/>
    </xf>
    <xf numFmtId="0" fontId="0" fillId="0" borderId="0" xfId="0" applyFont="1" applyNumberFormat="1">
      <alignment vertical="center"/>
    </xf>
    <xf numFmtId="49" fontId="37" fillId="0" borderId="0" xfId="0" applyFont="1" applyNumberFormat="1">
      <alignment vertical="top"/>
    </xf>
    <xf numFmtId="0" fontId="64" fillId="0" borderId="0" xfId="0" applyFont="1" applyNumberFormat="1">
      <alignment vertical="center" wrapText="1"/>
    </xf>
    <xf numFmtId="49" fontId="39" fillId="36" borderId="14" xfId="0" applyFont="1" applyFill="1" applyBorder="1" applyNumberFormat="1">
      <alignment horizontal="right" vertical="center" wrapText="1"/>
    </xf>
    <xf numFmtId="49" fontId="36" fillId="0" borderId="0" xfId="0" applyFont="1" applyNumberFormat="1">
      <alignment vertical="top"/>
    </xf>
    <xf numFmtId="49" fontId="0" fillId="0" borderId="0" xfId="0" applyFont="1" applyNumberFormat="1">
      <alignment vertical="top"/>
    </xf>
    <xf numFmtId="49" fontId="0" fillId="36"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wrapText="1"/>
    </xf>
    <xf numFmtId="0" fontId="49" fillId="0" borderId="0" xfId="0" applyFont="1" applyNumberFormat="1">
      <alignment vertical="center" wrapText="1"/>
    </xf>
    <xf numFmtId="0" fontId="50" fillId="34" borderId="0" xfId="0" applyFont="1" applyFill="1" applyNumberFormat="1">
      <alignment vertical="center" wrapText="1"/>
    </xf>
    <xf numFmtId="0" fontId="51" fillId="34" borderId="0" xfId="0" applyFont="1" applyFill="1" applyNumberFormat="1">
      <alignment horizontal="right" vertical="center" wrapText="1" indent="1"/>
    </xf>
    <xf numFmtId="0" fontId="50" fillId="0" borderId="0" xfId="0" applyFont="1" applyNumberFormat="1">
      <alignment vertical="center" wrapText="1"/>
    </xf>
    <xf numFmtId="0" fontId="0" fillId="0" borderId="14" xfId="0" applyFont="1" applyBorder="1" applyNumberFormat="1">
      <alignment horizontal="center" vertical="center" wrapText="1"/>
    </xf>
    <xf numFmtId="0" fontId="0" fillId="35" borderId="12" xfId="0" applyFont="1" applyFill="1" applyBorder="1" applyNumberFormat="1">
      <alignment horizontal="right" vertical="center" wrapText="1"/>
      <protection locked="0"/>
    </xf>
    <xf numFmtId="3" fontId="0" fillId="38"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4" borderId="14" xfId="0" applyFont="1" applyFill="1" applyBorder="1" applyNumberFormat="1">
      <alignment horizontal="left" vertical="center" wrapText="1" indent="1"/>
    </xf>
    <xf numFmtId="0" fontId="0" fillId="34" borderId="17" xfId="0" applyFont="1" applyFill="1" applyBorder="1" applyNumberFormat="1">
      <alignment horizontal="left" vertical="center" wrapText="1"/>
    </xf>
    <xf numFmtId="0" fontId="0" fillId="34" borderId="12" xfId="0" applyFont="1" applyFill="1" applyBorder="1" applyNumberFormat="1">
      <alignment horizontal="left" vertical="center" wrapText="1"/>
    </xf>
    <xf numFmtId="0" fontId="0" fillId="34" borderId="12" xfId="0" applyFont="1" applyFill="1" applyBorder="1" applyNumberFormat="1">
      <alignment horizontal="left" vertical="center" wrapText="1" indent="2"/>
    </xf>
    <xf numFmtId="0" fontId="0" fillId="34" borderId="12" xfId="0" applyFont="1" applyFill="1" applyBorder="1" applyNumberFormat="1">
      <alignment horizontal="center" vertical="center"/>
    </xf>
    <xf numFmtId="49" fontId="0" fillId="38" borderId="12" xfId="0" applyFont="1" applyFill="1" applyBorder="1" applyNumberFormat="1">
      <alignment horizontal="left" vertical="center" wrapText="1"/>
      <protection locked="0"/>
    </xf>
    <xf numFmtId="0" fontId="0" fillId="34"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4" borderId="12" xfId="0" applyFont="1" applyFill="1" applyBorder="1" applyNumberFormat="1">
      <alignment vertical="center" wrapText="1"/>
    </xf>
    <xf numFmtId="49" fontId="0" fillId="34" borderId="12" xfId="0" applyFont="1" applyFill="1" applyBorder="1" applyNumberFormat="1">
      <alignment horizontal="center" vertical="center"/>
    </xf>
    <xf numFmtId="0" fontId="0" fillId="34" borderId="12" xfId="0" applyFont="1" applyFill="1" applyBorder="1" applyNumberFormat="1">
      <alignment horizontal="center" vertical="center" wrapText="1"/>
    </xf>
    <xf numFmtId="0" fontId="19" fillId="0" borderId="0" xfId="0" applyFont="1" applyNumberFormat="1">
      <alignment vertical="center" wrapText="1"/>
    </xf>
    <xf numFmtId="49" fontId="24" fillId="34" borderId="0" xfId="0" applyFont="1" applyFill="1" applyNumberFormat="1">
      <alignment horizontal="center" vertical="center" wrapText="1"/>
    </xf>
    <xf numFmtId="0" fontId="20" fillId="0" borderId="0" xfId="0" applyFont="1" applyNumberFormat="1">
      <alignment vertical="center" wrapText="1"/>
    </xf>
    <xf numFmtId="0" fontId="25" fillId="34" borderId="0" xfId="0" applyFont="1" applyFill="1" applyNumberFormat="1">
      <alignment horizontal="center" vertical="center" wrapText="1"/>
    </xf>
    <xf numFmtId="0" fontId="25" fillId="0" borderId="0" xfId="0" applyFont="1" applyNumberFormat="1">
      <alignment horizontal="center" vertical="center" wrapText="1"/>
    </xf>
    <xf numFmtId="0" fontId="31" fillId="0" borderId="0" xfId="0" applyFont="1" applyNumberFormat="1">
      <alignment vertical="center" wrapText="1"/>
    </xf>
    <xf numFmtId="0" fontId="35" fillId="0" borderId="0" xfId="0" applyFont="1" applyNumberFormat="1">
      <alignment horizontal="center" vertical="center" wrapText="1"/>
    </xf>
    <xf numFmtId="0" fontId="34" fillId="0" borderId="0" xfId="0" applyFont="1" applyNumberFormat="1">
      <alignment vertical="center" wrapText="1"/>
    </xf>
    <xf numFmtId="0" fontId="0" fillId="34" borderId="0" xfId="0" applyFont="1" applyFill="1" applyNumberFormat="1"/>
    <xf numFmtId="0" fontId="0" fillId="34" borderId="0" xfId="0" applyFont="1" applyFill="1" applyNumberFormat="1">
      <alignment horizontal="center"/>
    </xf>
    <xf numFmtId="0" fontId="19" fillId="34" borderId="0" xfId="0" applyFont="1" applyFill="1" applyNumberFormat="1">
      <alignment vertical="center" wrapText="1"/>
    </xf>
    <xf numFmtId="0" fontId="65" fillId="34" borderId="0" xfId="0" applyFont="1" applyFill="1" applyNumberFormat="1">
      <alignment horizontal="center"/>
    </xf>
    <xf numFmtId="0" fontId="65" fillId="34" borderId="0" xfId="0" applyFont="1" applyFill="1" applyNumberFormat="1"/>
    <xf numFmtId="0" fontId="66" fillId="34" borderId="0" xfId="0" applyFont="1" applyFill="1" applyNumberFormat="1"/>
    <xf numFmtId="0" fontId="67" fillId="34" borderId="0" xfId="0" applyFont="1" applyFill="1" applyNumberFormat="1">
      <alignment horizontal="right" vertical="center"/>
    </xf>
    <xf numFmtId="0" fontId="67" fillId="34" borderId="0" xfId="0" applyFont="1" applyFill="1" applyNumberFormat="1">
      <alignment horizontal="right" vertical="top"/>
    </xf>
    <xf numFmtId="0" fontId="19" fillId="34" borderId="0" xfId="0" applyFont="1" applyFill="1" applyNumberFormat="1">
      <alignment horizontal="center" vertical="center" wrapText="1"/>
    </xf>
    <xf numFmtId="0" fontId="24" fillId="34" borderId="0" xfId="0" applyFont="1" applyFill="1" applyNumberFormat="1">
      <alignment horizontal="center" vertical="center"/>
    </xf>
    <xf numFmtId="0" fontId="19" fillId="0" borderId="12" xfId="0" applyFont="1" applyBorder="1" applyNumberFormat="1">
      <alignment horizontal="center" vertical="center" wrapText="1"/>
    </xf>
    <xf numFmtId="0" fontId="34" fillId="0" borderId="0" xfId="0" applyFont="1" applyNumberFormat="1">
      <alignment vertical="top" wrapText="1"/>
    </xf>
    <xf numFmtId="0" fontId="19" fillId="36" borderId="14" xfId="0" applyFont="1" applyFill="1" applyBorder="1" applyNumberFormat="1">
      <alignment horizontal="center"/>
    </xf>
    <xf numFmtId="0" fontId="60" fillId="36" borderId="15" xfId="0" applyFont="1" applyFill="1" applyBorder="1" applyNumberFormat="1">
      <alignment horizontal="left" vertical="center"/>
    </xf>
    <xf numFmtId="0" fontId="60" fillId="36" borderId="13" xfId="0" applyFont="1" applyFill="1" applyBorder="1" applyNumberFormat="1">
      <alignment horizontal="left" vertical="center"/>
    </xf>
    <xf numFmtId="0" fontId="68" fillId="34" borderId="0" xfId="0" applyFont="1" applyFill="1" applyNumberFormat="1">
      <alignment vertical="center"/>
    </xf>
    <xf numFmtId="0" fontId="68" fillId="34" borderId="0" xfId="0" applyFont="1" applyFill="1" applyNumberFormat="1">
      <alignment vertical="center" wrapText="1"/>
    </xf>
    <xf numFmtId="49" fontId="19" fillId="34" borderId="12" xfId="0" applyFont="1" applyFill="1" applyBorder="1" applyNumberFormat="1">
      <alignment horizontal="center" vertical="center" wrapText="1"/>
    </xf>
    <xf numFmtId="0" fontId="19" fillId="34" borderId="12" xfId="0" applyFont="1" applyFill="1" applyBorder="1" applyNumberFormat="1">
      <alignment horizontal="center" vertical="center" wrapText="1"/>
    </xf>
    <xf numFmtId="0" fontId="19" fillId="34" borderId="12" xfId="0" applyFont="1" applyFill="1" applyBorder="1" applyNumberFormat="1">
      <alignment vertical="center" wrapText="1"/>
    </xf>
    <xf numFmtId="0" fontId="55" fillId="34" borderId="0" xfId="0" applyFont="1" applyFill="1" applyNumberFormat="1"/>
    <xf numFmtId="0" fontId="41" fillId="34" borderId="0" xfId="0" applyFont="1" applyFill="1" applyNumberFormat="1"/>
    <xf numFmtId="0" fontId="51" fillId="34" borderId="0" xfId="0" applyFont="1" applyFill="1" applyNumberFormat="1"/>
    <xf numFmtId="0" fontId="51" fillId="34" borderId="0" xfId="0" applyFont="1" applyFill="1" applyNumberFormat="1">
      <alignment horizontal="center"/>
    </xf>
    <xf numFmtId="0" fontId="48" fillId="0" borderId="0" xfId="0" applyFont="1" applyNumberFormat="1">
      <alignment vertical="center" wrapText="1"/>
    </xf>
    <xf numFmtId="0" fontId="50" fillId="0" borderId="0" xfId="0" applyFont="1" applyNumberFormat="1">
      <alignment vertical="center" wrapText="1"/>
    </xf>
    <xf numFmtId="0" fontId="50" fillId="34" borderId="0" xfId="0" applyFont="1" applyFill="1" applyNumberFormat="1">
      <alignment vertical="center" wrapText="1"/>
    </xf>
    <xf numFmtId="0" fontId="50" fillId="34" borderId="0" xfId="0" applyFont="1" applyFill="1" applyNumberFormat="1">
      <alignment horizontal="right" vertical="center"/>
    </xf>
    <xf numFmtId="0" fontId="50" fillId="34" borderId="0" xfId="0" applyFont="1" applyFill="1" applyNumberFormat="1">
      <alignment horizontal="right" vertical="center" wrapText="1"/>
    </xf>
    <xf numFmtId="4" fontId="50" fillId="0" borderId="0" xfId="0" applyFont="1" applyNumberFormat="1">
      <alignment horizontal="right" vertical="center" wrapText="1"/>
    </xf>
    <xf numFmtId="0" fontId="50" fillId="0" borderId="0" xfId="0" applyFont="1" applyNumberFormat="1">
      <alignment horizontal="left" vertical="center" wrapText="1" indent="1"/>
    </xf>
    <xf numFmtId="0" fontId="69" fillId="34" borderId="0" xfId="0" applyFont="1" applyFill="1" applyNumberFormat="1">
      <alignment horizontal="center" vertical="center" wrapText="1"/>
    </xf>
    <xf numFmtId="0" fontId="24" fillId="34" borderId="0" xfId="0" applyFont="1" applyFill="1" applyNumberFormat="1">
      <alignment horizontal="center" vertical="center" wrapText="1"/>
    </xf>
    <xf numFmtId="0" fontId="54" fillId="0" borderId="0" xfId="0" applyFont="1" applyNumberFormat="1">
      <alignment vertical="center" wrapText="1"/>
    </xf>
    <xf numFmtId="0" fontId="37" fillId="0" borderId="0" xfId="0" applyFont="1" applyNumberFormat="1">
      <alignment vertical="center" wrapText="1"/>
    </xf>
    <xf numFmtId="49" fontId="19" fillId="39" borderId="12" xfId="0" applyFont="1" applyFill="1" applyBorder="1" applyNumberFormat="1">
      <alignment horizontal="left" vertical="center" wrapText="1"/>
    </xf>
    <xf numFmtId="0" fontId="54" fillId="0" borderId="0" xfId="0" applyFont="1" applyNumberFormat="1">
      <alignment horizontal="center" vertical="center" wrapText="1"/>
    </xf>
    <xf numFmtId="0" fontId="19" fillId="34" borderId="24" xfId="0" applyFont="1" applyFill="1" applyBorder="1" applyNumberFormat="1">
      <alignment vertical="center" wrapText="1"/>
    </xf>
    <xf numFmtId="49" fontId="24" fillId="34" borderId="15" xfId="0" applyFont="1" applyFill="1" applyBorder="1" applyNumberFormat="1">
      <alignment horizontal="center" vertical="center" wrapText="1"/>
    </xf>
    <xf numFmtId="0" fontId="37" fillId="0" borderId="0" xfId="0" applyFont="1" applyNumberFormat="1">
      <alignment horizontal="center" vertical="center" wrapText="1"/>
    </xf>
    <xf numFmtId="0" fontId="69" fillId="0" borderId="0" xfId="0" applyFont="1" applyNumberFormat="1">
      <alignment horizontal="center" vertical="center" wrapText="1"/>
    </xf>
    <xf numFmtId="0" fontId="63" fillId="0" borderId="0" xfId="0" applyFont="1" applyNumberFormat="1">
      <alignment vertical="center" wrapText="1"/>
    </xf>
    <xf numFmtId="49" fontId="63" fillId="0" borderId="12" xfId="0" applyFont="1" applyBorder="1" applyNumberFormat="1">
      <alignment horizontal="left" vertical="center" wrapText="1"/>
    </xf>
    <xf numFmtId="0" fontId="70" fillId="34" borderId="0" xfId="0" applyFont="1" applyFill="1" applyNumberFormat="1">
      <alignment horizontal="center" vertical="center" wrapText="1"/>
    </xf>
    <xf numFmtId="49" fontId="63" fillId="0" borderId="17" xfId="0" applyFont="1" applyBorder="1" applyNumberFormat="1">
      <alignment horizontal="left" vertical="center" wrapText="1"/>
    </xf>
    <xf numFmtId="0" fontId="37" fillId="0" borderId="0" xfId="0" applyFont="1" applyNumberFormat="1">
      <alignment vertical="center"/>
    </xf>
    <xf numFmtId="0" fontId="37" fillId="34" borderId="0" xfId="0" applyFont="1" applyFill="1" applyNumberFormat="1"/>
    <xf numFmtId="0" fontId="37" fillId="34" borderId="0" xfId="0" applyFont="1" applyFill="1" applyNumberFormat="1">
      <alignment vertical="center" wrapText="1"/>
    </xf>
    <xf numFmtId="0" fontId="37" fillId="0" borderId="0" xfId="0" applyFont="1" applyNumberFormat="1">
      <alignment vertical="center" wrapText="1"/>
    </xf>
    <xf numFmtId="49" fontId="19" fillId="0" borderId="0" xfId="0" applyFont="1" applyNumberFormat="1">
      <alignment vertical="top"/>
    </xf>
    <xf numFmtId="0" fontId="19" fillId="0" borderId="0" xfId="0" applyFont="1" applyNumberFormat="1">
      <alignment vertical="center" wrapText="1"/>
    </xf>
    <xf numFmtId="0" fontId="25" fillId="34" borderId="0" xfId="0" applyFont="1" applyFill="1" applyNumberFormat="1">
      <alignment horizontal="center" vertical="center" wrapText="1"/>
    </xf>
    <xf numFmtId="0" fontId="31" fillId="0" borderId="0" xfId="0" applyFont="1" applyNumberFormat="1">
      <alignment vertical="center" wrapText="1"/>
    </xf>
    <xf numFmtId="49" fontId="19" fillId="0" borderId="12" xfId="0" applyFont="1" applyBorder="1" applyNumberFormat="1">
      <alignment horizontal="left" vertical="center" wrapText="1"/>
    </xf>
    <xf numFmtId="0" fontId="19" fillId="0" borderId="0" xfId="0" applyFont="1" applyNumberFormat="1">
      <alignment vertical="center" wrapText="1"/>
    </xf>
    <xf numFmtId="49" fontId="37" fillId="0" borderId="0" xfId="0" applyFont="1" applyNumberFormat="1">
      <alignment vertical="center" wrapText="1"/>
    </xf>
    <xf numFmtId="0" fontId="37" fillId="0" borderId="0" xfId="0" applyFont="1" applyNumberFormat="1">
      <alignment vertical="center" wrapText="1"/>
    </xf>
    <xf numFmtId="0" fontId="19" fillId="0" borderId="12" xfId="0" applyFont="1" applyBorder="1" applyNumberFormat="1">
      <alignment horizontal="center" vertical="center" wrapText="1"/>
    </xf>
    <xf numFmtId="14"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14" fontId="71" fillId="36" borderId="15" xfId="0" applyFont="1" applyFill="1" applyBorder="1" applyNumberFormat="1">
      <alignment horizontal="center" vertical="center" wrapText="1"/>
    </xf>
    <xf numFmtId="0" fontId="37" fillId="0" borderId="0" xfId="0" applyFont="1" applyNumberFormat="1">
      <alignment horizontal="left" vertical="center" wrapText="1"/>
    </xf>
    <xf numFmtId="49" fontId="37" fillId="0" borderId="0" xfId="0" applyFont="1" applyNumberFormat="1">
      <alignment horizontal="left" vertical="center" wrapText="1"/>
    </xf>
    <xf numFmtId="0" fontId="37" fillId="0" borderId="0" xfId="0" applyFont="1" applyNumberFormat="1">
      <alignment vertical="center" wrapText="1"/>
    </xf>
    <xf numFmtId="49" fontId="43" fillId="0" borderId="12" xfId="0" applyFont="1" applyBorder="1" applyNumberFormat="1">
      <alignment horizontal="left" vertical="center" wrapText="1"/>
    </xf>
    <xf numFmtId="14" fontId="19" fillId="39" borderId="12" xfId="0" applyFont="1" applyFill="1" applyBorder="1" applyNumberFormat="1">
      <alignment horizontal="center" vertical="center" wrapText="1"/>
    </xf>
    <xf numFmtId="0" fontId="19" fillId="0" borderId="12" xfId="0" applyFont="1" applyBorder="1" applyNumberFormat="1">
      <alignment horizontal="center" vertical="center" wrapText="1"/>
    </xf>
    <xf numFmtId="0" fontId="19" fillId="0" borderId="0" xfId="0" applyFont="1" applyNumberFormat="1">
      <alignment horizontal="center" vertical="center" wrapText="1"/>
    </xf>
    <xf numFmtId="0" fontId="19" fillId="0" borderId="12" xfId="0" applyFont="1" applyBorder="1" applyNumberFormat="1">
      <alignment horizontal="center" vertical="center" wrapText="1"/>
    </xf>
    <xf numFmtId="49" fontId="19" fillId="39" borderId="12" xfId="0" applyFont="1" applyFill="1" applyBorder="1" applyNumberFormat="1">
      <alignment horizontal="center" vertical="center" wrapText="1"/>
    </xf>
    <xf numFmtId="0" fontId="72" fillId="0" borderId="0" xfId="0" applyFont="1" applyNumberFormat="1">
      <alignment horizontal="center" vertical="center" wrapText="1"/>
    </xf>
    <xf numFmtId="0" fontId="25" fillId="0" borderId="0" xfId="0" applyFont="1" applyNumberFormat="1">
      <alignment horizontal="center" vertical="center" wrapText="1"/>
    </xf>
    <xf numFmtId="49" fontId="19" fillId="0" borderId="12" xfId="0" applyFont="1" applyBorder="1" applyNumberFormat="1">
      <alignment horizontal="center" vertical="center" wrapText="1"/>
    </xf>
    <xf numFmtId="0" fontId="0" fillId="34" borderId="14" xfId="0" applyFont="1" applyFill="1" applyBorder="1" applyNumberFormat="1">
      <alignment horizontal="left" vertical="center" wrapText="1"/>
    </xf>
    <xf numFmtId="49" fontId="39" fillId="36" borderId="15" xfId="0" applyFont="1" applyFill="1" applyBorder="1" applyNumberFormat="1">
      <alignment horizontal="center" vertical="center"/>
    </xf>
    <xf numFmtId="0" fontId="21" fillId="0" borderId="0" xfId="0" applyFont="1" applyNumberFormat="1">
      <alignment vertical="center" wrapText="1"/>
    </xf>
    <xf numFmtId="0" fontId="20" fillId="0" borderId="0" xfId="0" applyFont="1" applyNumberFormat="1">
      <alignment horizontal="center" vertical="center" wrapText="1"/>
    </xf>
    <xf numFmtId="0" fontId="19" fillId="0" borderId="0" xfId="0" applyFont="1" applyNumberFormat="1">
      <alignment horizontal="center" vertical="center" wrapText="1"/>
    </xf>
    <xf numFmtId="0" fontId="19" fillId="0" borderId="0" xfId="0" applyFont="1" applyNumberFormat="1">
      <alignment vertical="center" wrapText="1"/>
    </xf>
    <xf numFmtId="0" fontId="36" fillId="0" borderId="0" xfId="0" applyFont="1" applyNumberFormat="1">
      <alignment horizontal="center" vertical="center" wrapText="1"/>
    </xf>
    <xf numFmtId="0" fontId="73" fillId="0" borderId="0" xfId="0" applyFont="1" applyNumberFormat="1">
      <alignment vertical="center" wrapText="1"/>
    </xf>
    <xf numFmtId="49" fontId="36" fillId="0" borderId="0" xfId="0" applyFont="1" applyNumberFormat="1">
      <alignment horizontal="center" vertical="center" wrapText="1"/>
    </xf>
    <xf numFmtId="0" fontId="36" fillId="0" borderId="0" xfId="0" applyFont="1" applyNumberFormat="1">
      <alignment vertical="center" wrapText="1"/>
    </xf>
    <xf numFmtId="49" fontId="19" fillId="0" borderId="0" xfId="0" applyFont="1" applyNumberFormat="1">
      <alignment horizontal="center" vertical="top" wrapText="1"/>
    </xf>
    <xf numFmtId="49" fontId="19" fillId="0" borderId="12" xfId="0" applyFont="1" applyBorder="1" applyNumberFormat="1">
      <alignment horizontal="center" vertical="center" wrapText="1"/>
    </xf>
    <xf numFmtId="49" fontId="19" fillId="38" borderId="12" xfId="0" applyFont="1" applyFill="1" applyBorder="1" applyNumberFormat="1">
      <alignment vertical="center" wrapText="1"/>
      <protection locked="0"/>
    </xf>
    <xf numFmtId="4" fontId="19" fillId="35" borderId="12" xfId="0" applyFont="1" applyFill="1" applyBorder="1" applyNumberFormat="1">
      <alignment horizontal="right" vertical="center" wrapText="1"/>
      <protection locked="0"/>
    </xf>
    <xf numFmtId="0" fontId="19" fillId="0" borderId="13" xfId="0" applyFont="1" applyBorder="1" applyNumberFormat="1">
      <alignment vertical="top" wrapText="1"/>
    </xf>
    <xf numFmtId="0" fontId="74" fillId="0" borderId="0" xfId="0" applyFont="1" applyNumberFormat="1">
      <alignment vertical="center" wrapText="1"/>
    </xf>
    <xf numFmtId="0" fontId="44" fillId="0" borderId="0" xfId="0" applyFont="1" applyNumberFormat="1">
      <alignment vertical="center" wrapText="1"/>
    </xf>
    <xf numFmtId="173" fontId="19" fillId="35" borderId="12" xfId="0" applyFont="1" applyFill="1" applyBorder="1" applyNumberFormat="1">
      <alignment horizontal="right" vertical="center" wrapText="1"/>
      <protection locked="0"/>
    </xf>
    <xf numFmtId="0" fontId="19" fillId="0" borderId="28" xfId="0" applyFont="1" applyBorder="1" applyNumberFormat="1">
      <alignment horizontal="center" vertical="center" wrapText="1"/>
    </xf>
    <xf numFmtId="0" fontId="19" fillId="38" borderId="12" xfId="0" applyFont="1" applyFill="1" applyBorder="1" applyNumberFormat="1">
      <alignment horizontal="left" vertical="center" wrapText="1" indent="2"/>
      <protection locked="0"/>
    </xf>
    <xf numFmtId="49" fontId="37" fillId="0" borderId="0" xfId="0" applyFont="1" applyNumberFormat="1">
      <alignment horizontal="center" vertical="center" wrapText="1"/>
    </xf>
    <xf numFmtId="0" fontId="37" fillId="0" borderId="28" xfId="0" applyFont="1" applyBorder="1" applyNumberFormat="1">
      <alignment horizontal="center" vertical="center" wrapText="1"/>
    </xf>
    <xf numFmtId="0" fontId="37" fillId="0" borderId="12" xfId="0" applyFont="1" applyBorder="1" applyNumberFormat="1">
      <alignment horizontal="left" vertical="center" wrapText="1" indent="2"/>
    </xf>
    <xf numFmtId="0" fontId="37" fillId="0" borderId="12" xfId="0" applyFont="1" applyBorder="1" applyNumberFormat="1">
      <alignment horizontal="center" vertical="center" wrapText="1"/>
    </xf>
    <xf numFmtId="0" fontId="37" fillId="0" borderId="12" xfId="0" applyFont="1" applyBorder="1" applyNumberFormat="1">
      <alignment vertical="center" wrapText="1"/>
    </xf>
    <xf numFmtId="0" fontId="19" fillId="0" borderId="12" xfId="0" applyFont="1" applyBorder="1" applyNumberFormat="1">
      <alignment horizontal="left" vertical="center" wrapText="1" indent="3"/>
    </xf>
    <xf numFmtId="49" fontId="19" fillId="38" borderId="12" xfId="0" applyFont="1" applyFill="1" applyBorder="1" applyNumberFormat="1">
      <alignment horizontal="center" vertical="center" wrapText="1"/>
      <protection locked="0"/>
    </xf>
    <xf numFmtId="0" fontId="19" fillId="35" borderId="12" xfId="0" applyFont="1" applyFill="1" applyBorder="1" applyNumberFormat="1">
      <alignment horizontal="left" vertical="center" wrapText="1"/>
      <protection locked="0"/>
    </xf>
    <xf numFmtId="0" fontId="35" fillId="0" borderId="0" xfId="0" applyFont="1" applyNumberFormat="1">
      <alignment vertical="center" wrapText="1"/>
    </xf>
    <xf numFmtId="4" fontId="19" fillId="38" borderId="12" xfId="0" applyFont="1" applyFill="1" applyBorder="1" applyNumberFormat="1">
      <alignment horizontal="right" vertical="center" wrapText="1"/>
      <protection locked="0"/>
    </xf>
    <xf numFmtId="4" fontId="19" fillId="33" borderId="12" xfId="0" applyFont="1" applyFill="1" applyBorder="1" applyNumberFormat="1">
      <alignment horizontal="right" vertical="center" wrapText="1"/>
    </xf>
    <xf numFmtId="0" fontId="19" fillId="0" borderId="12" xfId="0" applyFont="1" applyBorder="1" applyNumberFormat="1">
      <alignment horizontal="left" vertical="center" wrapText="1" indent="1"/>
    </xf>
    <xf numFmtId="49" fontId="63" fillId="0" borderId="0" xfId="0" applyFont="1" applyNumberFormat="1">
      <alignment horizontal="center" vertical="center" wrapText="1"/>
    </xf>
    <xf numFmtId="49" fontId="63" fillId="0" borderId="28" xfId="0" applyFont="1" applyBorder="1" applyNumberFormat="1">
      <alignment horizontal="center" vertical="center" wrapText="1"/>
    </xf>
    <xf numFmtId="0" fontId="63" fillId="0" borderId="12" xfId="0" applyFont="1" applyBorder="1" applyNumberFormat="1">
      <alignment horizontal="left" vertical="center" wrapText="1" indent="2"/>
    </xf>
    <xf numFmtId="0" fontId="63" fillId="0" borderId="12" xfId="0" applyFont="1" applyBorder="1" applyNumberFormat="1">
      <alignment horizontal="center" vertical="center" wrapText="1"/>
    </xf>
    <xf numFmtId="0" fontId="63" fillId="0" borderId="12" xfId="0" applyFont="1" applyBorder="1" applyNumberFormat="1">
      <alignment vertical="center" wrapText="1"/>
    </xf>
    <xf numFmtId="0" fontId="75" fillId="0" borderId="0" xfId="0" applyFont="1" applyNumberFormat="1">
      <alignment vertical="center" wrapText="1"/>
    </xf>
    <xf numFmtId="0" fontId="53" fillId="0" borderId="0" xfId="0" applyFont="1" applyNumberFormat="1">
      <alignment vertical="center" wrapText="1"/>
    </xf>
    <xf numFmtId="0" fontId="63" fillId="0" borderId="28" xfId="0" applyFont="1" applyBorder="1" applyNumberFormat="1">
      <alignment horizontal="center" vertical="center" wrapText="1"/>
    </xf>
    <xf numFmtId="0" fontId="63" fillId="0" borderId="12" xfId="0" applyFont="1" applyBorder="1" applyNumberFormat="1">
      <alignment horizontal="left" vertical="center" wrapText="1" indent="3"/>
    </xf>
    <xf numFmtId="4" fontId="63" fillId="0" borderId="12" xfId="0" applyFont="1" applyBorder="1" applyNumberFormat="1">
      <alignment horizontal="right" vertical="center" wrapText="1"/>
    </xf>
    <xf numFmtId="49" fontId="19" fillId="36" borderId="14" xfId="0" applyFont="1" applyFill="1" applyBorder="1" applyNumberFormat="1">
      <alignment vertical="center" wrapText="1"/>
    </xf>
    <xf numFmtId="49" fontId="29" fillId="36" borderId="15" xfId="0" applyFont="1" applyFill="1" applyBorder="1" applyNumberFormat="1">
      <alignment horizontal="left" vertical="center" indent="2"/>
    </xf>
    <xf numFmtId="0" fontId="19" fillId="36" borderId="15" xfId="0" applyFont="1" applyFill="1" applyBorder="1" applyNumberFormat="1">
      <alignment vertical="center" wrapText="1"/>
    </xf>
    <xf numFmtId="0" fontId="36" fillId="36" borderId="13" xfId="0" applyFont="1" applyFill="1" applyBorder="1" applyNumberFormat="1">
      <alignment vertical="center" wrapText="1"/>
    </xf>
    <xf numFmtId="14" fontId="19" fillId="0" borderId="0" xfId="0" applyFont="1" applyNumberFormat="1">
      <alignment horizontal="center" vertical="center" wrapText="1"/>
    </xf>
    <xf numFmtId="49" fontId="39" fillId="0" borderId="0" xfId="0" applyFont="1" applyNumberFormat="1">
      <alignment horizontal="center" vertical="center"/>
    </xf>
    <xf numFmtId="0" fontId="19" fillId="0" borderId="12" xfId="0" applyFont="1" applyBorder="1" applyNumberFormat="1">
      <alignment horizontal="left" vertical="center" wrapText="1" indent="2"/>
    </xf>
    <xf numFmtId="173" fontId="19" fillId="38" borderId="12" xfId="0" applyFont="1" applyFill="1" applyBorder="1" applyNumberFormat="1">
      <alignment horizontal="right" vertical="center" wrapText="1"/>
      <protection locked="0"/>
    </xf>
    <xf numFmtId="0" fontId="19" fillId="0" borderId="17" xfId="0" applyFont="1" applyBorder="1" applyNumberFormat="1">
      <alignment horizontal="center" vertical="center" wrapText="1"/>
    </xf>
    <xf numFmtId="4" fontId="19" fillId="33" borderId="17" xfId="0" applyFont="1" applyFill="1" applyBorder="1" applyNumberFormat="1">
      <alignment horizontal="right" vertical="center" wrapText="1"/>
    </xf>
    <xf numFmtId="49" fontId="29" fillId="36" borderId="15" xfId="0" applyFont="1" applyFill="1" applyBorder="1" applyNumberFormat="1">
      <alignment horizontal="left" vertical="center" indent="1"/>
    </xf>
    <xf numFmtId="0" fontId="19" fillId="0" borderId="0" xfId="0" applyFont="1" applyNumberFormat="1">
      <alignment horizontal="left" vertical="center" wrapText="1"/>
    </xf>
    <xf numFmtId="0" fontId="19" fillId="0" borderId="0" xfId="0" applyFont="1" applyNumberFormat="1">
      <alignment vertical="center"/>
    </xf>
    <xf numFmtId="0" fontId="0" fillId="0" borderId="0" xfId="0" applyFont="1" applyNumberFormat="1">
      <alignment vertical="center"/>
    </xf>
    <xf numFmtId="0" fontId="36" fillId="0" borderId="0" xfId="0" applyFont="1" applyNumberFormat="1">
      <alignment vertical="center"/>
    </xf>
    <xf numFmtId="0" fontId="19" fillId="0" borderId="0" xfId="0" applyFont="1" applyNumberFormat="1">
      <alignment vertical="center"/>
    </xf>
    <xf numFmtId="0" fontId="76" fillId="0" borderId="0" xfId="0" applyFont="1" applyNumberFormat="1">
      <alignment vertical="center"/>
    </xf>
    <xf numFmtId="0" fontId="30" fillId="0" borderId="0" xfId="0" applyFont="1" applyNumberFormat="1">
      <alignment vertical="center"/>
    </xf>
    <xf numFmtId="0" fontId="19" fillId="0" borderId="0" xfId="0" applyFont="1" applyNumberFormat="1">
      <alignment vertical="center" wrapText="1"/>
    </xf>
    <xf numFmtId="0" fontId="30" fillId="0" borderId="0" xfId="0" applyFont="1" applyNumberFormat="1">
      <alignment vertical="center"/>
    </xf>
    <xf numFmtId="0" fontId="76" fillId="0" borderId="0" xfId="0" applyFont="1" applyNumberFormat="1">
      <alignment vertical="center"/>
    </xf>
    <xf numFmtId="0" fontId="42" fillId="0" borderId="0" xfId="0" applyFont="1" applyNumberFormat="1">
      <alignment vertical="center"/>
    </xf>
    <xf numFmtId="0" fontId="19" fillId="0" borderId="0" xfId="0" applyFont="1" applyNumberFormat="1">
      <alignment horizontal="center" vertical="center" wrapText="1"/>
    </xf>
    <xf numFmtId="49" fontId="24" fillId="0" borderId="0" xfId="0" applyFont="1" applyNumberFormat="1">
      <alignment horizontal="center" vertical="center" wrapText="1"/>
    </xf>
    <xf numFmtId="49" fontId="24" fillId="0" borderId="12" xfId="0" applyFont="1" applyBorder="1" applyNumberFormat="1">
      <alignment horizontal="center" vertical="center" wrapText="1"/>
    </xf>
    <xf numFmtId="0" fontId="36"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xf>
    <xf numFmtId="0" fontId="19" fillId="0" borderId="0" xfId="0" applyFont="1" applyNumberFormat="1">
      <alignment horizontal="center" vertical="center" wrapText="1"/>
    </xf>
    <xf numFmtId="0" fontId="19" fillId="36" borderId="14"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0" fontId="0" fillId="36" borderId="13" xfId="0" applyFont="1" applyFill="1" applyBorder="1" applyNumberFormat="1">
      <alignment vertical="center"/>
    </xf>
    <xf numFmtId="49" fontId="19" fillId="0" borderId="17" xfId="0" applyFont="1" applyBorder="1" applyNumberFormat="1">
      <alignment horizontal="center" vertical="center" wrapText="1"/>
    </xf>
    <xf numFmtId="49" fontId="65" fillId="0" borderId="12" xfId="0" applyFont="1" applyBorder="1" applyNumberFormat="1">
      <alignment horizontal="left" vertical="center" wrapText="1" indent="1"/>
    </xf>
    <xf numFmtId="0" fontId="36" fillId="0" borderId="0" xfId="0" applyFont="1" applyNumberFormat="1">
      <alignment vertical="center"/>
    </xf>
    <xf numFmtId="0" fontId="64" fillId="0" borderId="0" xfId="0" applyFont="1" applyNumberFormat="1">
      <alignment vertical="center"/>
    </xf>
    <xf numFmtId="0" fontId="0" fillId="0" borderId="0" xfId="0" applyFont="1" applyNumberFormat="1">
      <alignment vertical="center"/>
    </xf>
    <xf numFmtId="49" fontId="29" fillId="36" borderId="13" xfId="0" applyFont="1" applyFill="1" applyBorder="1" applyNumberFormat="1">
      <alignment horizontal="left" vertical="center" indent="1"/>
    </xf>
    <xf numFmtId="49" fontId="39" fillId="36" borderId="13" xfId="0" applyFont="1" applyFill="1" applyBorder="1" applyNumberFormat="1">
      <alignment horizontal="right" vertical="center" wrapText="1"/>
    </xf>
    <xf numFmtId="0" fontId="65" fillId="41" borderId="0" xfId="0" applyFont="1" applyFill="1" applyNumberFormat="1">
      <alignment vertical="top"/>
    </xf>
    <xf numFmtId="49" fontId="20" fillId="0" borderId="0" xfId="0" applyFont="1" applyNumberFormat="1">
      <alignment horizontal="center" vertical="center" wrapText="1"/>
    </xf>
    <xf numFmtId="0" fontId="37" fillId="0" borderId="0" xfId="0" applyFont="1" applyNumberFormat="1">
      <alignment vertical="center" wrapText="1"/>
    </xf>
    <xf numFmtId="0" fontId="20" fillId="0" borderId="0" xfId="0" applyFont="1" applyNumberFormat="1">
      <alignment vertical="center" wrapText="1"/>
    </xf>
    <xf numFmtId="0" fontId="19" fillId="0" borderId="0" xfId="0" applyFont="1" applyNumberFormat="1">
      <alignment horizontal="center" vertical="center" wrapText="1"/>
    </xf>
    <xf numFmtId="0" fontId="39" fillId="0" borderId="0" xfId="0" applyFont="1" applyNumberFormat="1">
      <alignment horizontal="center" vertical="center" wrapText="1"/>
    </xf>
    <xf numFmtId="49" fontId="20" fillId="0" borderId="0" xfId="0" applyFont="1" applyNumberFormat="1">
      <alignment horizontal="center" vertical="center" wrapText="1"/>
    </xf>
    <xf numFmtId="4" fontId="19" fillId="0" borderId="0" xfId="0" applyFont="1" applyNumberFormat="1">
      <alignment horizontal="right" vertical="center" wrapText="1"/>
    </xf>
    <xf numFmtId="9" fontId="39" fillId="0" borderId="0" xfId="0" applyFont="1" applyNumberFormat="1">
      <alignment horizontal="center" vertical="center" wrapText="1"/>
    </xf>
    <xf numFmtId="0" fontId="62" fillId="0" borderId="0" xfId="0" applyFont="1" applyNumberFormat="1">
      <alignment vertical="center" wrapText="1"/>
    </xf>
    <xf numFmtId="0" fontId="37" fillId="0" borderId="0" xfId="0" applyFont="1" applyNumberFormat="1">
      <alignment vertical="center" wrapText="1"/>
    </xf>
    <xf numFmtId="0" fontId="20" fillId="0" borderId="0" xfId="0" applyFont="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37" fillId="0" borderId="0" xfId="0" applyFont="1" applyNumberFormat="1">
      <alignment vertical="top"/>
    </xf>
    <xf numFmtId="49" fontId="36" fillId="0" borderId="0" xfId="0" applyFont="1" applyNumberFormat="1">
      <alignment vertical="top"/>
    </xf>
    <xf numFmtId="49" fontId="37" fillId="0" borderId="0" xfId="0" applyFont="1" applyNumberFormat="1">
      <alignment vertical="top"/>
    </xf>
    <xf numFmtId="49" fontId="36" fillId="0" borderId="0" xfId="0" applyFont="1" applyNumberFormat="1">
      <alignment vertical="top"/>
    </xf>
    <xf numFmtId="49" fontId="36" fillId="0" borderId="0" xfId="0" applyFont="1" applyNumberFormat="1">
      <alignment vertical="top"/>
    </xf>
    <xf numFmtId="0" fontId="36" fillId="0" borderId="0" xfId="0" applyFont="1" applyNumberFormat="1">
      <alignment vertical="top"/>
    </xf>
    <xf numFmtId="0" fontId="64" fillId="0" borderId="0" xfId="0" applyFont="1" applyNumberFormat="1">
      <alignment vertical="top"/>
    </xf>
    <xf numFmtId="0" fontId="77" fillId="0" borderId="0" xfId="0" applyFont="1" applyNumberFormat="1">
      <alignment vertical="top"/>
    </xf>
    <xf numFmtId="0" fontId="36" fillId="0" borderId="0" xfId="0" applyFont="1" applyNumberFormat="1">
      <alignment horizontal="center" vertical="center" wrapText="1"/>
    </xf>
    <xf numFmtId="0" fontId="37" fillId="0" borderId="0" xfId="0" applyFont="1" applyNumberFormat="1">
      <alignment horizontal="center" vertical="center" wrapText="1"/>
    </xf>
    <xf numFmtId="0" fontId="37" fillId="0" borderId="12" xfId="0" applyFont="1" applyBorder="1" applyNumberFormat="1">
      <alignment horizontal="left" vertical="center" wrapText="1"/>
    </xf>
    <xf numFmtId="0" fontId="37"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3"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8" borderId="12" xfId="0" applyFont="1" applyFill="1" applyBorder="1" applyNumberFormat="1">
      <alignment horizontal="right" vertical="center" wrapText="1"/>
      <protection locked="0"/>
    </xf>
    <xf numFmtId="49" fontId="0" fillId="38" borderId="12" xfId="0" applyFont="1" applyFill="1" applyBorder="1" applyNumberFormat="1">
      <alignment horizontal="center" vertical="center" wrapText="1"/>
      <protection locked="0"/>
    </xf>
    <xf numFmtId="4" fontId="36" fillId="0" borderId="12" xfId="0" applyFont="1" applyBorder="1" applyNumberFormat="1">
      <alignment horizontal="right" vertical="center" wrapText="1"/>
    </xf>
    <xf numFmtId="49" fontId="0" fillId="36" borderId="30" xfId="0" applyFont="1" applyFill="1" applyBorder="1" applyNumberFormat="1">
      <alignment horizontal="center" vertical="center"/>
    </xf>
    <xf numFmtId="49" fontId="0" fillId="36" borderId="15" xfId="0" applyFont="1" applyFill="1" applyBorder="1" applyNumberFormat="1">
      <alignment horizontal="center" vertical="center"/>
    </xf>
    <xf numFmtId="49" fontId="29" fillId="36" borderId="15" xfId="0" applyFont="1" applyFill="1" applyBorder="1" applyNumberFormat="1">
      <alignment horizontal="left" vertical="center"/>
    </xf>
    <xf numFmtId="49" fontId="29" fillId="36" borderId="13" xfId="0" applyFont="1" applyFill="1" applyBorder="1" applyNumberFormat="1">
      <alignment horizontal="left" vertical="center" indent="1"/>
    </xf>
    <xf numFmtId="49" fontId="29" fillId="36" borderId="14" xfId="0" applyFont="1" applyFill="1" applyBorder="1" applyNumberFormat="1">
      <alignment horizontal="left" vertical="center"/>
    </xf>
    <xf numFmtId="49" fontId="29" fillId="36" borderId="15" xfId="0" applyFont="1" applyFill="1" applyBorder="1" applyNumberFormat="1">
      <alignment horizontal="left" vertical="center" indent="1"/>
    </xf>
    <xf numFmtId="49" fontId="29" fillId="36" borderId="15" xfId="0" applyFont="1" applyFill="1" applyBorder="1" applyNumberFormat="1">
      <alignment horizontal="left" vertical="center"/>
    </xf>
    <xf numFmtId="49" fontId="29" fillId="36" borderId="13" xfId="0" applyFont="1" applyFill="1" applyBorder="1" applyNumberFormat="1">
      <alignment horizontal="left" vertical="center" indent="1"/>
    </xf>
    <xf numFmtId="0" fontId="29" fillId="0" borderId="12" xfId="0" applyFont="1" applyBorder="1" applyNumberFormat="1">
      <alignment horizontal="left" vertical="center" indent="1"/>
    </xf>
    <xf numFmtId="0" fontId="19" fillId="0" borderId="0" xfId="0" applyFont="1" applyNumberFormat="1">
      <alignment horizontal="right" vertical="center" wrapText="1"/>
    </xf>
    <xf numFmtId="0" fontId="0" fillId="0" borderId="0" xfId="0" applyFont="1" applyNumberFormat="1">
      <alignment vertical="center"/>
    </xf>
    <xf numFmtId="0" fontId="34" fillId="0" borderId="0" xfId="0" applyFont="1" applyNumberFormat="1">
      <alignment horizontal="right" vertical="top" wrapText="1"/>
    </xf>
    <xf numFmtId="0" fontId="19" fillId="0" borderId="0" xfId="0" applyFont="1" applyNumberFormat="1">
      <alignment vertical="top" wrapText="1"/>
    </xf>
    <xf numFmtId="0" fontId="19" fillId="0" borderId="0" xfId="0" applyFont="1" applyNumberFormat="1">
      <alignment horizontal="left" vertical="top" wrapText="1"/>
    </xf>
    <xf numFmtId="0" fontId="24" fillId="0" borderId="0" xfId="0" applyFont="1" applyNumberFormat="1">
      <alignment horizontal="center" vertical="center" wrapText="1"/>
    </xf>
    <xf numFmtId="4" fontId="19" fillId="0" borderId="12" xfId="0" applyFont="1" applyBorder="1" applyNumberFormat="1">
      <alignment horizontal="center" vertical="center" wrapText="1"/>
    </xf>
    <xf numFmtId="49" fontId="43" fillId="35" borderId="14" xfId="0" applyFont="1" applyFill="1" applyBorder="1" applyNumberFormat="1">
      <alignment horizontal="left" vertical="center" wrapText="1"/>
      <protection locked="0"/>
    </xf>
    <xf numFmtId="49" fontId="43" fillId="35" borderId="14" xfId="0" applyFont="1" applyFill="1" applyBorder="1" applyNumberFormat="1">
      <alignment horizontal="left" vertical="center" wrapText="1"/>
      <protection locked="0"/>
    </xf>
    <xf numFmtId="49" fontId="19" fillId="38" borderId="12" xfId="0" applyFont="1" applyFill="1" applyBorder="1" applyNumberFormat="1">
      <alignment horizontal="left" vertical="center" wrapText="1"/>
      <protection locked="0"/>
    </xf>
    <xf numFmtId="0" fontId="34" fillId="0" borderId="0" xfId="0" applyFont="1" applyNumberFormat="1">
      <alignment vertical="top"/>
    </xf>
    <xf numFmtId="49" fontId="19" fillId="0" borderId="31" xfId="0" applyFont="1" applyBorder="1" applyNumberFormat="1">
      <alignment horizontal="center" vertical="center" wrapText="1"/>
    </xf>
    <xf numFmtId="0" fontId="19" fillId="0" borderId="31" xfId="0" applyFont="1" applyBorder="1" applyNumberFormat="1">
      <alignment horizontal="left" vertical="center" wrapText="1"/>
    </xf>
    <xf numFmtId="0" fontId="19" fillId="0" borderId="31" xfId="0" applyFont="1" applyBorder="1" applyNumberFormat="1">
      <alignment horizontal="left" vertical="center" wrapText="1" indent="1"/>
    </xf>
    <xf numFmtId="4" fontId="19" fillId="38" borderId="31" xfId="0" applyFont="1" applyFill="1" applyBorder="1" applyNumberFormat="1">
      <alignment horizontal="right" vertical="center" wrapText="1"/>
      <protection locked="0"/>
    </xf>
    <xf numFmtId="49" fontId="19" fillId="0" borderId="32" xfId="0" applyFont="1" applyBorder="1" applyNumberFormat="1">
      <alignment horizontal="center" vertical="center" wrapText="1"/>
    </xf>
    <xf numFmtId="49" fontId="19" fillId="38" borderId="12" xfId="0" applyFont="1" applyFill="1" applyBorder="1" applyNumberFormat="1">
      <alignment horizontal="left" vertical="center" wrapText="1" indent="1"/>
      <protection locked="0"/>
    </xf>
    <xf numFmtId="0" fontId="19" fillId="0" borderId="31" xfId="0" applyFont="1" applyBorder="1" applyNumberFormat="1">
      <alignment horizontal="left" vertical="center" wrapText="1" indent="2"/>
    </xf>
    <xf numFmtId="0" fontId="36" fillId="0" borderId="0" xfId="0" applyFont="1" applyNumberFormat="1">
      <alignment horizontal="center" vertical="center" wrapText="1"/>
    </xf>
    <xf numFmtId="49" fontId="19" fillId="0" borderId="0" xfId="0" applyFont="1" applyNumberFormat="1">
      <alignment horizontal="left" vertical="center" wrapText="1"/>
    </xf>
    <xf numFmtId="0" fontId="73" fillId="0" borderId="0" xfId="0" applyFont="1" applyNumberFormat="1">
      <alignment vertical="center" wrapText="1"/>
    </xf>
    <xf numFmtId="0" fontId="73" fillId="0" borderId="0" xfId="0" applyFont="1" applyNumberFormat="1">
      <alignment vertical="center" wrapText="1"/>
    </xf>
    <xf numFmtId="0" fontId="19" fillId="0" borderId="0" xfId="0" applyFont="1" applyNumberFormat="1">
      <alignment horizontal="left" vertical="center" wrapText="1"/>
    </xf>
    <xf numFmtId="0" fontId="19" fillId="0" borderId="12" xfId="0" applyFont="1" applyBorder="1" applyNumberFormat="1">
      <alignment horizontal="left" vertical="center" wrapText="1"/>
    </xf>
    <xf numFmtId="3" fontId="19" fillId="0" borderId="14" xfId="0" applyFont="1" applyBorder="1" applyNumberFormat="1">
      <alignment vertical="center" wrapText="1"/>
    </xf>
    <xf numFmtId="0" fontId="19" fillId="0" borderId="13" xfId="0" applyFont="1" applyBorder="1" applyNumberFormat="1">
      <alignment vertical="center" wrapText="1"/>
    </xf>
    <xf numFmtId="4" fontId="19" fillId="35" borderId="14" xfId="0" applyFont="1" applyFill="1" applyBorder="1" applyNumberFormat="1">
      <alignment horizontal="right" vertical="center" wrapText="1"/>
      <protection locked="0"/>
    </xf>
    <xf numFmtId="4" fontId="19" fillId="0" borderId="14" xfId="0" applyFont="1" applyBorder="1" applyNumberFormat="1">
      <alignment horizontal="right" vertical="center" wrapText="1"/>
    </xf>
    <xf numFmtId="4" fontId="19" fillId="0" borderId="30" xfId="0" applyFont="1" applyBorder="1" applyNumberFormat="1">
      <alignment horizontal="right" vertical="center" wrapText="1"/>
    </xf>
    <xf numFmtId="0" fontId="24" fillId="0" borderId="0" xfId="0" applyFont="1" applyNumberFormat="1">
      <alignment horizontal="center" vertical="center" wrapText="1"/>
    </xf>
    <xf numFmtId="0" fontId="19" fillId="0" borderId="14" xfId="0" applyFont="1" applyBorder="1" applyNumberFormat="1">
      <alignment horizontal="center" vertical="center" wrapText="1"/>
    </xf>
    <xf numFmtId="3" fontId="19" fillId="38" borderId="14" xfId="0" applyFont="1" applyFill="1" applyBorder="1" applyNumberFormat="1">
      <alignment vertical="center" wrapText="1"/>
      <protection locked="0"/>
    </xf>
    <xf numFmtId="49" fontId="19" fillId="35" borderId="14" xfId="0" applyFont="1" applyFill="1" applyBorder="1" applyNumberFormat="1">
      <alignment horizontal="left" vertical="center" wrapText="1"/>
      <protection locked="0"/>
    </xf>
    <xf numFmtId="4" fontId="19" fillId="33" borderId="14" xfId="0" applyFont="1" applyFill="1" applyBorder="1" applyNumberFormat="1">
      <alignment horizontal="right" vertical="center" wrapText="1"/>
    </xf>
    <xf numFmtId="0" fontId="19"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19"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19" fillId="36" borderId="19" xfId="0" applyFont="1" applyFill="1" applyBorder="1" applyNumberFormat="1">
      <alignment vertical="center" wrapText="1"/>
    </xf>
    <xf numFmtId="0" fontId="19" fillId="0" borderId="15" xfId="0" applyFont="1" applyBorder="1" applyNumberFormat="1">
      <alignment horizontal="center" vertical="center" wrapText="1"/>
    </xf>
    <xf numFmtId="0" fontId="19" fillId="36" borderId="27" xfId="0" applyFont="1" applyFill="1" applyBorder="1" applyNumberFormat="1">
      <alignment vertical="center" wrapText="1"/>
    </xf>
    <xf numFmtId="49" fontId="19" fillId="38" borderId="14" xfId="0" applyFont="1" applyFill="1" applyBorder="1" applyNumberFormat="1">
      <alignment horizontal="left" vertical="center" wrapText="1"/>
      <protection locked="0"/>
    </xf>
    <xf numFmtId="49" fontId="0" fillId="35" borderId="12" xfId="0" applyFont="1" applyFill="1" applyBorder="1" applyNumberFormat="1">
      <alignment horizontal="left" vertical="center" wrapText="1"/>
      <protection locked="0"/>
    </xf>
    <xf numFmtId="0" fontId="35" fillId="0" borderId="0" xfId="0" applyFont="1" applyNumberFormat="1">
      <alignment horizontal="left" vertical="center" wrapText="1" indent="1"/>
    </xf>
    <xf numFmtId="0" fontId="78" fillId="0" borderId="0" xfId="0" applyFont="1" applyNumberFormat="1">
      <alignment vertical="center" wrapText="1"/>
    </xf>
    <xf numFmtId="0" fontId="78" fillId="34" borderId="0" xfId="0" applyFont="1" applyFill="1" applyNumberFormat="1">
      <alignment horizontal="center" vertical="center" wrapText="1"/>
    </xf>
    <xf numFmtId="0" fontId="78" fillId="34" borderId="0" xfId="0" applyFont="1" applyFill="1" applyNumberFormat="1">
      <alignment horizontal="right" vertical="center" wrapText="1"/>
    </xf>
    <xf numFmtId="0" fontId="19" fillId="0" borderId="12" xfId="0" applyFont="1" applyBorder="1" applyNumberFormat="1">
      <alignment horizontal="center" vertical="center" wrapText="1"/>
    </xf>
    <xf numFmtId="49" fontId="36" fillId="0" borderId="0" xfId="0" applyFont="1" applyNumberFormat="1">
      <alignment horizontal="center" vertical="center" wrapText="1"/>
    </xf>
    <xf numFmtId="0" fontId="19" fillId="0" borderId="12" xfId="0" applyFont="1" applyBorder="1" applyNumberFormat="1">
      <alignment horizontal="center" vertical="center" wrapText="1"/>
    </xf>
    <xf numFmtId="0" fontId="36" fillId="0" borderId="0" xfId="0" applyFont="1" applyNumberFormat="1">
      <alignment horizontal="center" vertical="top"/>
    </xf>
    <xf numFmtId="0" fontId="19" fillId="0" borderId="12" xfId="0" applyFont="1" applyBorder="1" applyNumberFormat="1">
      <alignment horizontal="left" vertical="center" wrapText="1"/>
    </xf>
    <xf numFmtId="0" fontId="37" fillId="0" borderId="0" xfId="0" applyFont="1" applyNumberFormat="1">
      <alignment horizontal="center" vertical="center" wrapText="1"/>
    </xf>
    <xf numFmtId="0" fontId="19" fillId="0" borderId="12" xfId="0" applyFont="1" applyBorder="1" applyNumberFormat="1">
      <alignment horizontal="left" vertical="center" wrapText="1"/>
    </xf>
    <xf numFmtId="49" fontId="19" fillId="39" borderId="12" xfId="0" applyFont="1" applyFill="1" applyBorder="1" applyNumberFormat="1">
      <alignment horizontal="left" vertical="center" wrapText="1" indent="1"/>
    </xf>
    <xf numFmtId="0" fontId="19" fillId="0" borderId="14" xfId="0" applyFont="1" applyBorder="1" applyNumberFormat="1">
      <alignment vertical="center" wrapText="1"/>
    </xf>
    <xf numFmtId="0" fontId="19" fillId="0" borderId="0" xfId="0" applyFont="1" applyNumberFormat="1">
      <alignment horizontal="right" vertical="center"/>
    </xf>
    <xf numFmtId="49" fontId="43" fillId="36" borderId="13" xfId="0" applyFont="1" applyFill="1" applyBorder="1" applyNumberFormat="1">
      <alignment horizontal="left" vertical="center" wrapText="1"/>
    </xf>
    <xf numFmtId="0" fontId="79" fillId="0" borderId="0" xfId="0" applyFont="1" applyNumberFormat="1">
      <alignment vertical="center"/>
    </xf>
    <xf numFmtId="0" fontId="80" fillId="0" borderId="0" xfId="0" applyFont="1" applyNumberFormat="1">
      <alignment vertical="center"/>
    </xf>
    <xf numFmtId="49" fontId="37" fillId="0" borderId="22" xfId="0" applyFont="1" applyBorder="1" applyNumberFormat="1">
      <alignment vertical="top"/>
    </xf>
    <xf numFmtId="49" fontId="37" fillId="0" borderId="22" xfId="0" applyFont="1" applyBorder="1" applyNumberFormat="1">
      <alignment vertical="top"/>
    </xf>
    <xf numFmtId="0" fontId="37" fillId="0" borderId="22" xfId="0" applyFont="1" applyBorder="1" applyNumberFormat="1">
      <alignment vertical="center" wrapText="1"/>
    </xf>
    <xf numFmtId="0" fontId="19" fillId="0" borderId="13" xfId="0" applyFont="1" applyBorder="1" applyNumberFormat="1">
      <alignment horizontal="left" vertical="center" wrapText="1" indent="1"/>
    </xf>
    <xf numFmtId="0" fontId="62" fillId="0" borderId="22" xfId="0" applyFont="1" applyBorder="1" applyNumberFormat="1">
      <alignment vertical="center" wrapText="1"/>
    </xf>
    <xf numFmtId="4" fontId="19" fillId="0" borderId="31" xfId="0" applyFont="1" applyBorder="1" applyNumberFormat="1">
      <alignment horizontal="center" vertical="center" wrapText="1"/>
    </xf>
    <xf numFmtId="0" fontId="19" fillId="0" borderId="33" xfId="0" applyFont="1" applyBorder="1" applyNumberFormat="1">
      <alignment horizontal="left" vertical="center" wrapText="1"/>
    </xf>
    <xf numFmtId="0" fontId="19" fillId="0" borderId="33" xfId="0" applyFont="1" applyBorder="1" applyNumberFormat="1">
      <alignment horizontal="left" vertical="center" wrapText="1" indent="1"/>
    </xf>
    <xf numFmtId="4" fontId="19" fillId="38" borderId="33" xfId="0" applyFont="1" applyFill="1" applyBorder="1" applyNumberFormat="1">
      <alignment horizontal="right" vertical="center" wrapText="1"/>
      <protection locked="0"/>
    </xf>
    <xf numFmtId="4" fontId="19" fillId="0" borderId="33" xfId="0" applyFont="1" applyBorder="1" applyNumberFormat="1">
      <alignment horizontal="center" vertical="center" wrapText="1"/>
    </xf>
    <xf numFmtId="49" fontId="19" fillId="0" borderId="34" xfId="0" applyFont="1" applyBorder="1" applyNumberFormat="1">
      <alignment horizontal="center" vertical="center" wrapText="1"/>
    </xf>
    <xf numFmtId="4" fontId="19" fillId="38" borderId="14" xfId="0" applyFont="1" applyFill="1" applyBorder="1" applyNumberFormat="1">
      <alignment horizontal="right" vertical="center" wrapText="1"/>
      <protection locked="0"/>
    </xf>
    <xf numFmtId="4" fontId="19" fillId="38" borderId="34" xfId="0" applyFont="1" applyFill="1" applyBorder="1" applyNumberFormat="1">
      <alignment horizontal="right" vertical="center" wrapText="1"/>
      <protection locked="0"/>
    </xf>
    <xf numFmtId="0" fontId="36" fillId="0" borderId="0" xfId="0" applyFont="1" applyNumberFormat="1">
      <alignment horizontal="left" vertical="center" wrapText="1"/>
    </xf>
    <xf numFmtId="0" fontId="37" fillId="0" borderId="0" xfId="0" applyFont="1" applyNumberFormat="1">
      <alignment horizontal="left" vertical="center" wrapText="1"/>
    </xf>
    <xf numFmtId="0" fontId="44" fillId="0" borderId="0" xfId="0" applyFont="1" applyNumberFormat="1">
      <alignment horizontal="left" vertical="center" wrapText="1"/>
    </xf>
    <xf numFmtId="0" fontId="20" fillId="0" borderId="0" xfId="0" applyFont="1" applyNumberFormat="1">
      <alignment horizontal="left" vertical="center" wrapText="1"/>
    </xf>
    <xf numFmtId="49" fontId="19" fillId="0" borderId="0" xfId="0" applyFont="1" applyNumberFormat="1">
      <alignment horizontal="center" vertical="center" wrapText="1"/>
    </xf>
    <xf numFmtId="0" fontId="74" fillId="0" borderId="0" xfId="0" applyFont="1" applyNumberFormat="1">
      <alignment vertical="center" wrapText="1"/>
    </xf>
    <xf numFmtId="0" fontId="37" fillId="0" borderId="0" xfId="0" applyFont="1" applyNumberFormat="1">
      <alignment vertical="center" wrapText="1"/>
    </xf>
    <xf numFmtId="0" fontId="44" fillId="0" borderId="0" xfId="0" applyFont="1" applyNumberFormat="1">
      <alignment vertical="center" wrapText="1"/>
    </xf>
    <xf numFmtId="0" fontId="20" fillId="0" borderId="0" xfId="0" applyFont="1" applyNumberFormat="1">
      <alignment vertical="center" wrapText="1"/>
    </xf>
    <xf numFmtId="49" fontId="39" fillId="0" borderId="0" xfId="0" applyFont="1" applyNumberFormat="1">
      <alignment horizontal="center" vertical="center"/>
    </xf>
    <xf numFmtId="0" fontId="19" fillId="0" borderId="0" xfId="0" applyFont="1" applyNumberFormat="1">
      <alignment vertical="center" wrapText="1"/>
    </xf>
    <xf numFmtId="4" fontId="19" fillId="0" borderId="35" xfId="0" applyFont="1" applyBorder="1" applyNumberFormat="1">
      <alignment horizontal="center" vertical="center" wrapText="1"/>
    </xf>
    <xf numFmtId="4" fontId="19" fillId="38" borderId="35" xfId="0" applyFont="1" applyFill="1" applyBorder="1" applyNumberFormat="1">
      <alignment horizontal="right" vertical="center" wrapText="1"/>
      <protection locked="0"/>
    </xf>
    <xf numFmtId="4" fontId="19" fillId="38" borderId="23" xfId="0" applyFont="1" applyFill="1" applyBorder="1" applyNumberFormat="1">
      <alignment horizontal="right" vertical="center" wrapText="1"/>
      <protection locked="0"/>
    </xf>
    <xf numFmtId="49" fontId="19" fillId="0" borderId="33" xfId="0" applyFont="1" applyBorder="1" applyNumberFormat="1">
      <alignment horizontal="center" vertical="center" wrapText="1"/>
    </xf>
    <xf numFmtId="0" fontId="19" fillId="0" borderId="35" xfId="0" applyFont="1" applyBorder="1" applyNumberFormat="1">
      <alignment horizontal="left" vertical="center" wrapText="1"/>
    </xf>
    <xf numFmtId="0" fontId="19" fillId="0" borderId="20" xfId="0" applyFont="1" applyBorder="1" applyNumberFormat="1">
      <alignment vertical="center" wrapText="1"/>
    </xf>
    <xf numFmtId="0" fontId="25" fillId="0" borderId="0" xfId="0" applyFont="1" applyNumberFormat="1">
      <alignment horizontal="center" vertical="center" wrapText="1"/>
    </xf>
    <xf numFmtId="0" fontId="19" fillId="36" borderId="15" xfId="0" applyFont="1" applyFill="1" applyBorder="1" applyNumberFormat="1">
      <alignment vertical="center" wrapText="1"/>
    </xf>
    <xf numFmtId="0" fontId="36" fillId="36" borderId="13" xfId="0" applyFont="1" applyFill="1" applyBorder="1" applyNumberFormat="1">
      <alignment vertical="center" wrapText="1"/>
    </xf>
    <xf numFmtId="173" fontId="19" fillId="33" borderId="12" xfId="0" applyFont="1" applyFill="1" applyBorder="1" applyNumberFormat="1">
      <alignment horizontal="right" vertical="center" wrapText="1"/>
    </xf>
    <xf numFmtId="0" fontId="0" fillId="0" borderId="0" xfId="0" applyFont="1" applyNumberFormat="1">
      <alignment vertical="center"/>
    </xf>
    <xf numFmtId="4" fontId="19" fillId="35" borderId="12" xfId="0" applyFont="1" applyFill="1" applyBorder="1" applyNumberFormat="1">
      <alignment horizontal="right" vertical="center" wrapText="1"/>
      <protection locked="0"/>
    </xf>
    <xf numFmtId="0" fontId="60" fillId="34" borderId="0" xfId="0" applyFont="1" applyFill="1" applyNumberFormat="1">
      <alignment horizontal="right" vertical="center"/>
    </xf>
    <xf numFmtId="49" fontId="0" fillId="0" borderId="12" xfId="0" applyFont="1" applyBorder="1" applyNumberFormat="1">
      <alignment vertical="top"/>
    </xf>
    <xf numFmtId="0" fontId="19"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2" borderId="17" xfId="0" applyFont="1" applyFill="1" applyBorder="1" applyNumberFormat="1">
      <alignment vertical="top"/>
    </xf>
    <xf numFmtId="0" fontId="19" fillId="0" borderId="0" xfId="0" applyFont="1" applyNumberFormat="1">
      <alignment vertical="center" wrapText="1"/>
    </xf>
    <xf numFmtId="0" fontId="20" fillId="0" borderId="0" xfId="0" applyFont="1" applyNumberFormat="1">
      <alignment vertical="center"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49" fontId="19" fillId="0" borderId="0" xfId="0" applyFont="1" applyNumberFormat="1">
      <alignment vertical="center" wrapText="1"/>
    </xf>
    <xf numFmtId="0" fontId="19"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3"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19" fillId="0" borderId="0" xfId="0" applyFont="1" applyNumberFormat="1">
      <alignment horizontal="center" vertical="center" wrapText="1"/>
    </xf>
    <xf numFmtId="0" fontId="39" fillId="34" borderId="0" xfId="0" applyFont="1" applyFill="1" applyNumberFormat="1">
      <alignment vertical="center" wrapText="1"/>
    </xf>
    <xf numFmtId="0" fontId="43" fillId="0" borderId="0" xfId="0" applyFont="1" applyNumberFormat="1">
      <alignment horizontal="left" vertical="center" indent="1"/>
    </xf>
    <xf numFmtId="0" fontId="0" fillId="34" borderId="0" xfId="0" applyFont="1" applyFill="1" applyNumberFormat="1">
      <alignment horizontal="right" vertical="center" wrapText="1" indent="1"/>
    </xf>
    <xf numFmtId="0" fontId="0" fillId="34" borderId="0" xfId="0" applyFont="1" applyFill="1" applyNumberFormat="1">
      <alignment horizontal="left" vertical="center" wrapText="1" indent="1"/>
    </xf>
    <xf numFmtId="14" fontId="19" fillId="34" borderId="0" xfId="0" applyFont="1" applyFill="1" applyNumberFormat="1">
      <alignment horizontal="center" vertical="center" wrapText="1"/>
    </xf>
    <xf numFmtId="171" fontId="19" fillId="0" borderId="14" xfId="0" applyFont="1" applyBorder="1" applyNumberFormat="1">
      <alignment horizontal="center" vertical="center" wrapText="1"/>
    </xf>
    <xf numFmtId="49" fontId="24" fillId="0" borderId="15" xfId="0" applyFont="1" applyBorder="1" applyNumberFormat="1">
      <alignment horizontal="center" vertical="center" wrapText="1"/>
    </xf>
    <xf numFmtId="49" fontId="19" fillId="0" borderId="0" xfId="0" applyFont="1" applyNumberFormat="1">
      <alignment horizontal="center" vertical="center" wrapText="1"/>
    </xf>
    <xf numFmtId="0" fontId="19" fillId="0" borderId="23" xfId="0" applyFont="1" applyBorder="1" applyNumberFormat="1">
      <alignment horizontal="center" vertical="center" wrapText="1"/>
    </xf>
    <xf numFmtId="49" fontId="0" fillId="44" borderId="12" xfId="0" applyFont="1" applyFill="1" applyBorder="1" applyNumberFormat="1">
      <alignment vertical="top"/>
    </xf>
    <xf numFmtId="0" fontId="25" fillId="0" borderId="0" xfId="0" applyFont="1" applyNumberFormat="1">
      <alignment horizontal="center" vertical="center" wrapText="1"/>
    </xf>
    <xf numFmtId="0" fontId="81" fillId="0" borderId="0" xfId="0" applyFont="1" applyNumberFormat="1">
      <alignment horizontal="left" vertical="center" wrapText="1"/>
    </xf>
    <xf numFmtId="0" fontId="81" fillId="0" borderId="0" xfId="0" applyFont="1" applyNumberFormat="1">
      <alignment horizontal="left" vertical="center" wrapText="1"/>
    </xf>
    <xf numFmtId="14" fontId="81" fillId="34" borderId="0" xfId="0" applyFont="1" applyFill="1" applyNumberFormat="1">
      <alignment horizontal="left" vertical="center" wrapText="1"/>
    </xf>
    <xf numFmtId="14" fontId="82" fillId="0" borderId="0" xfId="0" applyFont="1" applyNumberFormat="1">
      <alignment horizontal="center" vertical="center" wrapText="1"/>
    </xf>
    <xf numFmtId="0" fontId="81" fillId="0" borderId="0" xfId="0" applyFont="1" applyNumberFormat="1">
      <alignment horizontal="left" vertical="center" wrapText="1"/>
    </xf>
    <xf numFmtId="14" fontId="83" fillId="0" borderId="12" xfId="0" applyFont="1" applyBorder="1" applyNumberFormat="1">
      <alignment horizontal="left" vertical="center" wrapText="1"/>
    </xf>
    <xf numFmtId="0" fontId="37" fillId="0" borderId="0" xfId="0" applyFont="1" applyNumberFormat="1">
      <alignment vertical="center"/>
    </xf>
    <xf numFmtId="49" fontId="19" fillId="36" borderId="19" xfId="0" applyFont="1" applyFill="1" applyBorder="1" applyNumberFormat="1">
      <alignment horizontal="center" vertical="center" wrapText="1"/>
    </xf>
    <xf numFmtId="49" fontId="19" fillId="33" borderId="23" xfId="0" applyFont="1" applyFill="1" applyBorder="1" applyNumberFormat="1">
      <alignment horizontal="center" vertical="center" wrapText="1"/>
    </xf>
    <xf numFmtId="49" fontId="36" fillId="0" borderId="12" xfId="0" applyFont="1" applyBorder="1" applyNumberFormat="1">
      <alignment horizontal="left" vertical="center" wrapText="1"/>
    </xf>
    <xf numFmtId="14" fontId="19" fillId="39" borderId="23" xfId="0" applyFont="1" applyFill="1" applyBorder="1" applyNumberFormat="1">
      <alignment horizontal="left" vertical="center" wrapText="1" indent="1"/>
    </xf>
    <xf numFmtId="49" fontId="19" fillId="36" borderId="14" xfId="0" applyFont="1" applyFill="1" applyBorder="1" applyNumberFormat="1">
      <alignment horizontal="right" vertical="center" wrapText="1"/>
    </xf>
    <xf numFmtId="0" fontId="37" fillId="0" borderId="23" xfId="0" applyFont="1" applyBorder="1" applyNumberFormat="1">
      <alignment horizontal="center" vertical="center" wrapText="1"/>
    </xf>
    <xf numFmtId="49" fontId="19" fillId="0" borderId="13" xfId="0" applyFont="1" applyBorder="1" applyNumberFormat="1">
      <alignment horizontal="center" vertical="top"/>
    </xf>
    <xf numFmtId="49" fontId="19" fillId="0" borderId="12" xfId="0" applyFont="1" applyBorder="1" applyNumberFormat="1">
      <alignment horizontal="center" vertical="top"/>
    </xf>
    <xf numFmtId="0" fontId="19" fillId="0" borderId="23" xfId="0" applyFont="1" applyBorder="1" applyNumberFormat="1">
      <alignment horizontal="center" vertical="center" wrapText="1"/>
    </xf>
    <xf numFmtId="49" fontId="19" fillId="0" borderId="14" xfId="0" applyFont="1" applyBorder="1" applyNumberFormat="1">
      <alignment horizontal="center" vertical="top"/>
    </xf>
    <xf numFmtId="0" fontId="24" fillId="0" borderId="24" xfId="0" applyFont="1" applyBorder="1" applyNumberFormat="1">
      <alignment vertical="top" wrapText="1"/>
    </xf>
    <xf numFmtId="0" fontId="24" fillId="0" borderId="0" xfId="0" applyFont="1" applyNumberFormat="1">
      <alignment vertical="top" wrapText="1"/>
    </xf>
    <xf numFmtId="0" fontId="37" fillId="0" borderId="12" xfId="0" applyFont="1" applyBorder="1" applyNumberFormat="1">
      <alignment horizontal="center" vertical="center" wrapText="1"/>
    </xf>
    <xf numFmtId="0" fontId="36" fillId="0" borderId="23" xfId="0" applyFont="1" applyBorder="1" applyNumberFormat="1">
      <alignment horizontal="center" vertical="center" wrapText="1"/>
    </xf>
    <xf numFmtId="0" fontId="37" fillId="0" borderId="12" xfId="0" applyFont="1" applyBorder="1" applyNumberFormat="1">
      <alignment horizontal="center" vertical="center"/>
    </xf>
    <xf numFmtId="0" fontId="19" fillId="0" borderId="12" xfId="0" applyFont="1" applyBorder="1" applyNumberFormat="1">
      <alignment horizontal="center" vertical="center" wrapText="1"/>
    </xf>
    <xf numFmtId="49" fontId="19" fillId="0" borderId="0" xfId="0" applyFont="1" applyNumberFormat="1">
      <alignment horizontal="center" vertical="center" wrapText="1"/>
    </xf>
    <xf numFmtId="0" fontId="19" fillId="0" borderId="12" xfId="0" applyFont="1" applyBorder="1" applyNumberFormat="1">
      <alignment horizontal="center" vertical="center" wrapText="1"/>
    </xf>
    <xf numFmtId="0" fontId="19" fillId="0" borderId="14"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7" xfId="0" applyFont="1" applyBorder="1" applyNumberFormat="1">
      <alignment horizontal="center" vertical="center" wrapText="1"/>
    </xf>
    <xf numFmtId="49" fontId="65" fillId="38" borderId="12" xfId="0" applyFont="1" applyFill="1" applyBorder="1" applyNumberFormat="1">
      <alignment horizontal="left" vertical="center" wrapText="1" indent="1"/>
      <protection locked="0"/>
    </xf>
    <xf numFmtId="0" fontId="36" fillId="0" borderId="22" xfId="0" applyFont="1" applyBorder="1" applyNumberFormat="1">
      <alignment vertical="center"/>
    </xf>
    <xf numFmtId="0" fontId="19" fillId="0" borderId="13" xfId="0" applyFont="1" applyBorder="1" applyNumberFormat="1">
      <alignment horizontal="center" vertical="center" wrapText="1"/>
    </xf>
    <xf numFmtId="49" fontId="19" fillId="39" borderId="12" xfId="0" applyFont="1" applyFill="1" applyBorder="1" applyNumberFormat="1">
      <alignment horizontal="center" vertical="center" wrapText="1"/>
    </xf>
    <xf numFmtId="0" fontId="19" fillId="0" borderId="12" xfId="0" applyFont="1" applyBorder="1" applyNumberFormat="1">
      <alignment horizontal="center" vertical="center" wrapText="1"/>
    </xf>
    <xf numFmtId="0" fontId="19" fillId="33" borderId="14" xfId="0" applyFont="1" applyFill="1" applyBorder="1" applyNumberFormat="1">
      <alignment horizontal="left" vertical="top" wrapText="1" indent="1"/>
    </xf>
    <xf numFmtId="3" fontId="19" fillId="35" borderId="14" xfId="0" applyFont="1" applyFill="1" applyBorder="1" applyNumberFormat="1">
      <alignment horizontal="right" vertical="center" wrapText="1"/>
      <protection locked="0"/>
    </xf>
    <xf numFmtId="49" fontId="43" fillId="35" borderId="12" xfId="0" applyFont="1" applyFill="1" applyBorder="1" applyNumberFormat="1">
      <alignment horizontal="left" vertical="center" wrapText="1"/>
      <protection locked="0"/>
    </xf>
    <xf numFmtId="0" fontId="43" fillId="0" borderId="0" xfId="0" applyFont="1" applyNumberFormat="1">
      <alignment vertical="center" wrapText="1"/>
    </xf>
    <xf numFmtId="0" fontId="19" fillId="0" borderId="13" xfId="0" applyFont="1" applyBorder="1" applyNumberFormat="1">
      <alignment horizontal="center" vertical="center" wrapText="1"/>
    </xf>
    <xf numFmtId="0" fontId="19" fillId="0" borderId="12" xfId="0" applyFont="1" applyBorder="1" applyNumberFormat="1">
      <alignment horizontal="center" vertical="center" wrapText="1"/>
    </xf>
    <xf numFmtId="0" fontId="25" fillId="34" borderId="0" xfId="0" applyFont="1" applyFill="1" applyNumberFormat="1">
      <alignment horizontal="center" vertical="center" wrapText="1"/>
    </xf>
    <xf numFmtId="0" fontId="19" fillId="34"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24" fillId="34" borderId="15" xfId="0" applyFont="1" applyFill="1" applyBorder="1" applyNumberFormat="1">
      <alignment horizontal="center" vertical="center" wrapText="1"/>
    </xf>
    <xf numFmtId="0" fontId="19" fillId="0" borderId="0" xfId="0" applyFont="1" applyNumberFormat="1">
      <alignment horizontal="left" vertical="center" wrapText="1" indent="1"/>
    </xf>
    <xf numFmtId="0" fontId="71" fillId="0" borderId="17" xfId="0" applyFont="1" applyBorder="1" applyNumberFormat="1">
      <alignment horizontal="center" vertical="center" wrapText="1"/>
    </xf>
    <xf numFmtId="49" fontId="36" fillId="0" borderId="0" xfId="0" applyFont="1" applyNumberFormat="1">
      <alignment vertical="top"/>
    </xf>
    <xf numFmtId="0" fontId="8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19" fillId="0" borderId="0" xfId="0" applyFont="1" applyNumberFormat="1">
      <alignment vertical="top"/>
    </xf>
    <xf numFmtId="0" fontId="19" fillId="0" borderId="12" xfId="0" applyFont="1" applyBorder="1" applyNumberFormat="1">
      <alignment horizontal="left" vertical="top" wrapText="1"/>
    </xf>
    <xf numFmtId="49" fontId="85" fillId="0" borderId="0" xfId="0" applyFont="1" applyNumberFormat="1">
      <alignment horizontal="center" vertical="top" wrapText="1"/>
    </xf>
    <xf numFmtId="49" fontId="85" fillId="0" borderId="0" xfId="0" applyFont="1" applyNumberFormat="1">
      <alignment vertical="top" wrapText="1"/>
    </xf>
    <xf numFmtId="49" fontId="81" fillId="40" borderId="12" xfId="0" applyFont="1" applyFill="1" applyBorder="1" applyNumberFormat="1">
      <alignment horizontal="center" vertical="top" wrapText="1"/>
    </xf>
    <xf numFmtId="49" fontId="85" fillId="0" borderId="0" xfId="0" applyFont="1" applyNumberFormat="1">
      <alignment horizontal="left" vertical="top" wrapText="1"/>
    </xf>
    <xf numFmtId="49" fontId="85" fillId="0" borderId="12" xfId="0" applyFont="1" applyBorder="1" applyNumberFormat="1">
      <alignment horizontal="left" vertical="top" wrapText="1"/>
    </xf>
    <xf numFmtId="0" fontId="85" fillId="0" borderId="12" xfId="0" applyFont="1" applyBorder="1" applyNumberFormat="1">
      <alignment horizontal="left" vertical="top" wrapText="1"/>
    </xf>
    <xf numFmtId="0" fontId="85" fillId="40" borderId="12" xfId="0" applyFont="1" applyFill="1" applyBorder="1" applyNumberFormat="1">
      <alignment horizontal="right" vertical="center" wrapText="1"/>
    </xf>
    <xf numFmtId="49" fontId="85" fillId="0" borderId="12" xfId="0" applyFont="1" applyBorder="1" applyNumberFormat="1">
      <alignment vertical="top" wrapText="1"/>
    </xf>
    <xf numFmtId="0" fontId="85" fillId="0" borderId="17" xfId="0" applyFont="1" applyBorder="1" applyNumberFormat="1">
      <alignment horizontal="left" vertical="top" wrapText="1"/>
    </xf>
    <xf numFmtId="0" fontId="85" fillId="0" borderId="13" xfId="0" applyFont="1" applyBorder="1" applyNumberFormat="1">
      <alignment horizontal="left" vertical="top" wrapText="1"/>
    </xf>
    <xf numFmtId="0" fontId="85" fillId="0" borderId="12" xfId="0" applyFont="1" applyBorder="1" applyNumberFormat="1">
      <alignment vertical="top" wrapText="1"/>
    </xf>
    <xf numFmtId="0" fontId="81" fillId="40" borderId="12" xfId="0" applyFont="1" applyFill="1" applyBorder="1" applyNumberFormat="1">
      <alignment horizontal="center" vertical="top" wrapText="1"/>
    </xf>
    <xf numFmtId="0" fontId="85" fillId="0" borderId="0" xfId="0" applyFont="1" applyNumberFormat="1">
      <alignment vertical="top" wrapText="1"/>
    </xf>
    <xf numFmtId="0" fontId="80" fillId="0" borderId="0" xfId="0" applyFont="1" applyNumberFormat="1">
      <alignment vertical="center" wrapText="1"/>
    </xf>
    <xf numFmtId="0" fontId="35" fillId="0" borderId="0" xfId="0" applyFont="1" applyNumberFormat="1">
      <alignment horizontal="left" vertical="center" wrapText="1" indent="3"/>
    </xf>
    <xf numFmtId="3" fontId="0" fillId="0" borderId="13" xfId="0" applyFont="1" applyBorder="1" applyNumberFormat="1">
      <alignment horizontal="right" vertical="center" wrapText="1"/>
    </xf>
    <xf numFmtId="0" fontId="19" fillId="39" borderId="14" xfId="0" applyFont="1" applyFill="1" applyBorder="1" applyNumberFormat="1">
      <alignment horizontal="left" vertical="center" wrapText="1"/>
    </xf>
    <xf numFmtId="49" fontId="24" fillId="34" borderId="12" xfId="0" applyFont="1" applyFill="1" applyBorder="1" applyNumberFormat="1">
      <alignment horizontal="center" vertical="center" wrapText="1"/>
    </xf>
    <xf numFmtId="49" fontId="60" fillId="36" borderId="13" xfId="0" applyFont="1" applyFill="1" applyBorder="1" applyNumberFormat="1">
      <alignment vertical="center"/>
    </xf>
    <xf numFmtId="49" fontId="19" fillId="34" borderId="0" xfId="0" applyFont="1" applyFill="1" applyNumberFormat="1">
      <alignment horizontal="center" vertical="center" wrapText="1"/>
    </xf>
    <xf numFmtId="0" fontId="19" fillId="34" borderId="0" xfId="0" applyFont="1" applyFill="1" applyNumberFormat="1">
      <alignment horizontal="center" vertical="top" wrapText="1"/>
    </xf>
    <xf numFmtId="49" fontId="0" fillId="38" borderId="12" xfId="0" applyFont="1" applyFill="1" applyBorder="1" applyNumberFormat="1">
      <alignment horizontal="left" vertical="center" wrapText="1" indent="1"/>
      <protection locked="0"/>
    </xf>
    <xf numFmtId="49" fontId="19" fillId="38" borderId="14" xfId="0" applyFont="1" applyFill="1" applyBorder="1" applyNumberFormat="1">
      <alignment horizontal="left" vertical="center" wrapText="1"/>
      <protection locked="0"/>
    </xf>
    <xf numFmtId="49" fontId="19" fillId="38" borderId="12" xfId="0" applyFont="1" applyFill="1" applyBorder="1" applyNumberFormat="1" quotePrefix="1">
      <alignment horizontal="left" vertical="center" wrapText="1"/>
      <protection locked="0"/>
    </xf>
    <xf numFmtId="14" fontId="19" fillId="39" borderId="23" xfId="0" applyFont="1" applyFill="1" applyBorder="1" applyNumberFormat="1">
      <alignment horizontal="left" vertical="center" wrapText="1"/>
    </xf>
    <xf numFmtId="0" fontId="37" fillId="34" borderId="23" xfId="0" applyFont="1" applyFill="1" applyBorder="1" applyNumberFormat="1">
      <alignment horizontal="center" vertical="center" wrapText="1"/>
    </xf>
    <xf numFmtId="0" fontId="25" fillId="34" borderId="24" xfId="0" applyFont="1" applyFill="1" applyBorder="1" applyNumberFormat="1">
      <alignment vertical="top" wrapText="1"/>
    </xf>
    <xf numFmtId="0" fontId="25" fillId="34" borderId="0" xfId="0" applyFont="1" applyFill="1" applyNumberFormat="1">
      <alignment vertical="top" wrapText="1"/>
    </xf>
    <xf numFmtId="14" fontId="19" fillId="39" borderId="29" xfId="0" applyFont="1" applyFill="1" applyBorder="1" applyNumberFormat="1">
      <alignment horizontal="left" vertical="center" wrapText="1"/>
    </xf>
    <xf numFmtId="0" fontId="37" fillId="34" borderId="12" xfId="0" applyFont="1" applyFill="1" applyBorder="1" applyNumberFormat="1">
      <alignment horizontal="center" vertical="center" wrapText="1"/>
    </xf>
    <xf numFmtId="0" fontId="29" fillId="36" borderId="15" xfId="0" applyFont="1" applyFill="1" applyBorder="1" applyNumberFormat="1">
      <alignment vertical="center"/>
    </xf>
    <xf numFmtId="0" fontId="38" fillId="0" borderId="0" xfId="0" applyFont="1" applyNumberFormat="1">
      <alignment vertical="center"/>
    </xf>
    <xf numFmtId="0" fontId="37" fillId="0" borderId="0" xfId="0" applyFont="1" applyNumberFormat="1">
      <alignment vertical="center" wrapText="1"/>
    </xf>
    <xf numFmtId="49" fontId="36" fillId="0" borderId="0" xfId="0" applyFont="1" applyNumberFormat="1">
      <alignment vertical="center" wrapText="1"/>
    </xf>
    <xf numFmtId="49" fontId="36" fillId="0" borderId="0" xfId="0" applyFont="1" applyNumberFormat="1">
      <alignment vertical="top"/>
    </xf>
    <xf numFmtId="0" fontId="78" fillId="0" borderId="0" xfId="0" applyFont="1" applyNumberFormat="1">
      <alignment vertical="center" wrapText="1"/>
    </xf>
    <xf numFmtId="0" fontId="86" fillId="0" borderId="0" xfId="0" applyFont="1" applyNumberFormat="1">
      <alignment vertical="center" wrapText="1"/>
    </xf>
    <xf numFmtId="0" fontId="36" fillId="0" borderId="0" xfId="0" applyFont="1" applyNumberFormat="1">
      <alignment vertical="center" wrapText="1"/>
    </xf>
    <xf numFmtId="0" fontId="78" fillId="0" borderId="0" xfId="0" applyFont="1" applyNumberFormat="1">
      <alignment horizontal="center" vertical="center" wrapText="1"/>
    </xf>
    <xf numFmtId="0" fontId="36" fillId="0" borderId="0" xfId="0" applyFont="1" applyNumberFormat="1">
      <alignment vertical="center" wrapText="1"/>
    </xf>
    <xf numFmtId="14" fontId="19" fillId="34"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19" fillId="0" borderId="0" xfId="0" applyFont="1" applyNumberFormat="1">
      <alignment vertical="center" wrapText="1"/>
    </xf>
    <xf numFmtId="0" fontId="0" fillId="0" borderId="12" xfId="0" applyFont="1" applyBorder="1" applyNumberFormat="1">
      <alignment horizontal="left" vertical="center" wrapText="1" indent="1"/>
    </xf>
    <xf numFmtId="49"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0" fontId="0" fillId="38" borderId="14" xfId="0" applyFont="1" applyFill="1" applyBorder="1" applyNumberFormat="1">
      <alignment horizontal="left" vertical="center" wrapText="1" indent="2"/>
      <protection locked="0"/>
    </xf>
    <xf numFmtId="0" fontId="19" fillId="0" borderId="15" xfId="0" applyFont="1" applyBorder="1" applyNumberFormat="1">
      <alignment horizontal="right" vertical="center" wrapText="1" indent="1"/>
    </xf>
    <xf numFmtId="0" fontId="19" fillId="0" borderId="13" xfId="0" applyFont="1" applyBorder="1" applyNumberFormat="1">
      <alignment horizontal="right" vertical="center" wrapText="1" indent="1"/>
    </xf>
    <xf numFmtId="0" fontId="87" fillId="34" borderId="0" xfId="0" applyFont="1" applyFill="1" applyNumberFormat="1">
      <alignment horizontal="right" vertical="center"/>
    </xf>
    <xf numFmtId="49" fontId="85" fillId="0" borderId="13" xfId="0" applyFont="1" applyBorder="1" applyNumberFormat="1">
      <alignment horizontal="left" vertical="top" wrapText="1"/>
    </xf>
    <xf numFmtId="49" fontId="85" fillId="0" borderId="14" xfId="0" applyFont="1" applyBorder="1" applyNumberFormat="1">
      <alignment horizontal="left" vertical="top" wrapText="1"/>
    </xf>
    <xf numFmtId="0" fontId="85" fillId="0" borderId="17" xfId="0" applyFont="1" applyBorder="1" applyNumberFormat="1">
      <alignment vertical="top" wrapText="1"/>
    </xf>
    <xf numFmtId="0" fontId="85" fillId="0" borderId="36" xfId="0" applyFont="1" applyBorder="1" applyNumberFormat="1">
      <alignment horizontal="left" vertical="top" wrapText="1"/>
    </xf>
    <xf numFmtId="49" fontId="85" fillId="0" borderId="30" xfId="0" applyFont="1" applyBorder="1" applyNumberFormat="1">
      <alignment horizontal="left" vertical="top" wrapText="1"/>
    </xf>
    <xf numFmtId="49" fontId="36" fillId="0" borderId="0" xfId="0" applyFont="1" applyNumberFormat="1">
      <alignment horizontal="center" vertical="center" wrapText="1"/>
    </xf>
    <xf numFmtId="49" fontId="37" fillId="0" borderId="0" xfId="0" applyFont="1" applyNumberFormat="1">
      <alignment horizontal="center" vertical="center" wrapText="1"/>
    </xf>
    <xf numFmtId="0" fontId="19" fillId="0" borderId="12" xfId="0" applyFont="1" applyBorder="1" applyNumberFormat="1">
      <alignment horizontal="left" vertical="center" wrapText="1"/>
    </xf>
    <xf numFmtId="49" fontId="85" fillId="0" borderId="12" xfId="0" applyFont="1" applyBorder="1" applyNumberFormat="1">
      <alignment horizontal="center" vertical="top" wrapText="1"/>
    </xf>
    <xf numFmtId="0" fontId="85" fillId="40" borderId="12" xfId="0" applyFont="1" applyFill="1" applyBorder="1" applyNumberFormat="1">
      <alignment horizontal="center" vertical="center" wrapText="1"/>
    </xf>
    <xf numFmtId="49" fontId="85" fillId="0" borderId="37" xfId="0" applyFont="1" applyBorder="1" applyNumberFormat="1">
      <alignment horizontal="center" vertical="top" wrapText="1"/>
    </xf>
    <xf numFmtId="49" fontId="85" fillId="0" borderId="17" xfId="0" applyFont="1" applyBorder="1" applyNumberFormat="1">
      <alignment horizontal="center" vertical="top" wrapText="1"/>
    </xf>
    <xf numFmtId="49" fontId="29" fillId="36" borderId="14" xfId="0" applyFont="1" applyFill="1" applyBorder="1" applyNumberFormat="1">
      <alignment horizontal="left" vertical="center" indent="1"/>
    </xf>
    <xf numFmtId="0" fontId="0" fillId="34" borderId="17" xfId="0" applyFont="1" applyFill="1" applyBorder="1" applyNumberFormat="1">
      <alignment horizontal="center" vertical="center" wrapText="1"/>
    </xf>
    <xf numFmtId="0" fontId="19" fillId="34" borderId="17" xfId="0" applyFont="1" applyFill="1" applyBorder="1" applyNumberFormat="1">
      <alignment horizontal="center" vertical="center" wrapText="1"/>
    </xf>
    <xf numFmtId="49" fontId="88" fillId="0" borderId="0" xfId="0" applyFont="1" applyNumberFormat="1">
      <alignment horizontal="center" vertical="center" wrapText="1"/>
    </xf>
    <xf numFmtId="0" fontId="19" fillId="0" borderId="0" xfId="0" applyFont="1" applyNumberFormat="1">
      <alignment vertical="center" wrapText="1"/>
    </xf>
    <xf numFmtId="49" fontId="19" fillId="0" borderId="0" xfId="0" applyFont="1" applyNumberFormat="1">
      <alignment vertical="top"/>
    </xf>
    <xf numFmtId="0" fontId="19" fillId="34" borderId="0" xfId="0" applyFont="1" applyFill="1" applyNumberFormat="1">
      <alignment vertical="center" wrapText="1"/>
    </xf>
    <xf numFmtId="0" fontId="19" fillId="0" borderId="38" xfId="0" applyFont="1" applyBorder="1" applyNumberFormat="1">
      <alignment vertical="center" wrapText="1"/>
    </xf>
    <xf numFmtId="0" fontId="36" fillId="0" borderId="0" xfId="0" applyFont="1" applyNumberFormat="1">
      <alignment vertical="center" wrapText="1"/>
    </xf>
    <xf numFmtId="49" fontId="19" fillId="0" borderId="0" xfId="0" applyFont="1" applyNumberFormat="1">
      <alignment vertical="top"/>
    </xf>
    <xf numFmtId="0" fontId="19" fillId="34" borderId="0" xfId="0" applyFont="1" applyFill="1" applyNumberFormat="1">
      <alignment vertical="center" wrapText="1"/>
    </xf>
    <xf numFmtId="49" fontId="19" fillId="0" borderId="0" xfId="0" applyFont="1" applyNumberFormat="1">
      <alignment vertical="top"/>
    </xf>
    <xf numFmtId="0" fontId="19" fillId="0" borderId="0" xfId="0" applyFont="1" applyNumberFormat="1">
      <alignment vertical="center"/>
    </xf>
    <xf numFmtId="0" fontId="0" fillId="34" borderId="17" xfId="0" applyFont="1" applyFill="1" applyBorder="1" applyNumberFormat="1">
      <alignment horizontal="center" vertical="center" wrapText="1"/>
    </xf>
    <xf numFmtId="0" fontId="0" fillId="34" borderId="37" xfId="0" applyFont="1" applyFill="1" applyBorder="1" applyNumberFormat="1">
      <alignment horizontal="center" vertical="center" wrapText="1"/>
    </xf>
    <xf numFmtId="0" fontId="19" fillId="36" borderId="29" xfId="0" applyFont="1" applyFill="1" applyBorder="1" applyNumberFormat="1">
      <alignment vertical="center" wrapText="1"/>
    </xf>
    <xf numFmtId="0" fontId="19" fillId="0" borderId="0" xfId="0" applyFont="1" applyNumberFormat="1">
      <alignment vertical="center" wrapText="1"/>
    </xf>
    <xf numFmtId="0" fontId="19" fillId="34" borderId="39" xfId="0" applyFont="1" applyFill="1" applyBorder="1" applyNumberFormat="1">
      <alignment vertical="center" wrapText="1"/>
    </xf>
    <xf numFmtId="0" fontId="39" fillId="34" borderId="39" xfId="0" applyFont="1" applyFill="1" applyBorder="1" applyNumberFormat="1">
      <alignment horizontal="center" wrapText="1"/>
    </xf>
    <xf numFmtId="49" fontId="60" fillId="0" borderId="39" xfId="0" applyFont="1" applyBorder="1" applyNumberFormat="1">
      <alignment vertical="top"/>
    </xf>
    <xf numFmtId="49" fontId="34" fillId="0" borderId="0" xfId="0" applyFont="1" applyNumberFormat="1">
      <alignment vertical="center"/>
    </xf>
    <xf numFmtId="49" fontId="89" fillId="0" borderId="0" xfId="0" applyFont="1" applyNumberFormat="1">
      <alignment vertical="center"/>
    </xf>
    <xf numFmtId="49" fontId="34" fillId="0" borderId="0" xfId="0" applyFont="1" applyNumberFormat="1">
      <alignment vertical="center"/>
    </xf>
    <xf numFmtId="49" fontId="34" fillId="0" borderId="0" xfId="0" applyFont="1" applyNumberFormat="1">
      <alignment vertical="center"/>
    </xf>
    <xf numFmtId="49" fontId="34" fillId="0" borderId="0" xfId="0" applyFont="1" applyNumberFormat="1">
      <alignment vertical="center" wrapText="1"/>
    </xf>
    <xf numFmtId="49" fontId="89" fillId="0" borderId="0" xfId="0" applyFont="1" applyNumberFormat="1">
      <alignment vertical="center" wrapText="1"/>
    </xf>
    <xf numFmtId="49" fontId="34" fillId="0" borderId="0" xfId="0" applyFont="1" applyNumberFormat="1">
      <alignment vertical="center" wrapText="1"/>
    </xf>
    <xf numFmtId="49" fontId="34" fillId="0" borderId="0" xfId="0" applyFont="1" applyNumberFormat="1">
      <alignment vertical="top"/>
    </xf>
    <xf numFmtId="49" fontId="34" fillId="0" borderId="0" xfId="0" applyFont="1" applyNumberFormat="1">
      <alignment vertical="center" wrapText="1"/>
    </xf>
    <xf numFmtId="49" fontId="34" fillId="0" borderId="0" xfId="0" applyFont="1" applyNumberFormat="1">
      <alignment horizontal="center" vertical="center" wrapText="1"/>
    </xf>
    <xf numFmtId="49" fontId="89" fillId="0" borderId="0" xfId="0" applyFont="1" applyNumberFormat="1">
      <alignment horizontal="center" vertical="center" wrapText="1"/>
    </xf>
    <xf numFmtId="49" fontId="34" fillId="0" borderId="0" xfId="0" applyFont="1" applyNumberFormat="1">
      <alignment horizontal="center" vertical="center" wrapText="1"/>
    </xf>
    <xf numFmtId="49" fontId="89" fillId="0" borderId="0" xfId="0" applyFont="1" applyNumberFormat="1">
      <alignment horizontal="center" vertical="center" wrapText="1"/>
    </xf>
    <xf numFmtId="0" fontId="34" fillId="0" borderId="0" xfId="0" applyFont="1" applyNumberFormat="1">
      <alignment horizontal="center" vertical="center" wrapText="1"/>
    </xf>
    <xf numFmtId="49" fontId="89" fillId="0" borderId="0" xfId="0" applyFont="1" applyNumberFormat="1">
      <alignment vertical="center" wrapText="1"/>
    </xf>
    <xf numFmtId="49" fontId="34" fillId="34" borderId="0" xfId="0" applyFont="1" applyFill="1" applyNumberFormat="1">
      <alignment vertical="center" wrapText="1"/>
    </xf>
    <xf numFmtId="49" fontId="34" fillId="0" borderId="0" xfId="0" applyFont="1" applyNumberFormat="1">
      <alignment vertical="top"/>
    </xf>
    <xf numFmtId="49" fontId="34" fillId="34" borderId="0" xfId="0" applyFont="1" applyFill="1" applyNumberFormat="1">
      <alignment vertical="center"/>
    </xf>
    <xf numFmtId="49" fontId="89" fillId="0" borderId="0" xfId="0" applyFont="1" applyNumberFormat="1">
      <alignment vertical="center"/>
    </xf>
    <xf numFmtId="49" fontId="34" fillId="0" borderId="0" xfId="0" applyFont="1" applyNumberFormat="1">
      <alignment vertical="top"/>
    </xf>
    <xf numFmtId="4" fontId="34" fillId="34" borderId="0" xfId="0" applyFont="1" applyFill="1" applyNumberFormat="1">
      <alignment vertical="center"/>
    </xf>
    <xf numFmtId="3" fontId="34" fillId="35" borderId="12" xfId="0" applyFont="1" applyFill="1" applyBorder="1" applyNumberFormat="1">
      <alignment horizontal="right" vertical="center"/>
      <protection locked="0"/>
    </xf>
    <xf numFmtId="49" fontId="20" fillId="0" borderId="0" xfId="0" applyFont="1" applyNumberFormat="1">
      <alignment horizontal="center" vertical="center" wrapText="1"/>
    </xf>
    <xf numFmtId="49" fontId="19" fillId="0" borderId="0" xfId="0" applyFont="1" applyNumberFormat="1">
      <alignment horizontal="center" vertical="center" wrapText="1"/>
    </xf>
    <xf numFmtId="49" fontId="19" fillId="34" borderId="0" xfId="0" applyFont="1" applyFill="1" applyNumberFormat="1">
      <alignment horizontal="center" vertical="center" wrapText="1"/>
    </xf>
    <xf numFmtId="49" fontId="37" fillId="0" borderId="13" xfId="0" applyFont="1" applyBorder="1" applyNumberFormat="1">
      <alignment horizontal="left" vertical="center" indent="1"/>
    </xf>
    <xf numFmtId="0" fontId="19" fillId="0" borderId="24" xfId="0" applyFont="1" applyBorder="1" applyNumberFormat="1">
      <alignment vertical="top" wrapText="1"/>
    </xf>
    <xf numFmtId="0" fontId="19" fillId="0" borderId="14"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2" xfId="0" applyFont="1" applyBorder="1" applyNumberFormat="1">
      <alignment horizontal="center" vertical="center" wrapText="1"/>
    </xf>
    <xf numFmtId="49" fontId="36" fillId="0" borderId="0" xfId="0" applyFont="1" applyNumberFormat="1">
      <alignment horizontal="center" vertical="center" wrapText="1"/>
    </xf>
    <xf numFmtId="49" fontId="37" fillId="0" borderId="0" xfId="0" applyFont="1" applyNumberFormat="1">
      <alignment horizontal="center" vertical="center" wrapText="1"/>
    </xf>
    <xf numFmtId="49" fontId="19" fillId="0" borderId="12" xfId="0" applyFont="1" applyBorder="1" applyNumberFormat="1">
      <alignment horizontal="center" vertical="center" wrapText="1"/>
    </xf>
    <xf numFmtId="0" fontId="19" fillId="0" borderId="12" xfId="0" applyFont="1" applyBorder="1" applyNumberFormat="1">
      <alignment horizontal="left" vertical="center" wrapText="1" indent="1"/>
    </xf>
    <xf numFmtId="49" fontId="19" fillId="38" borderId="12" xfId="0" applyFont="1" applyFill="1" applyBorder="1" applyNumberFormat="1">
      <alignment horizontal="left" vertical="center" wrapText="1"/>
      <protection locked="0"/>
    </xf>
    <xf numFmtId="0" fontId="25" fillId="0" borderId="0" xfId="0" applyFont="1" applyNumberFormat="1">
      <alignment horizontal="center" vertical="center" wrapText="1"/>
    </xf>
    <xf numFmtId="49" fontId="81" fillId="0" borderId="12" xfId="0" applyFont="1" applyBorder="1" applyNumberFormat="1">
      <alignment horizontal="center" vertical="center" wrapText="1"/>
    </xf>
    <xf numFmtId="0" fontId="81" fillId="0" borderId="12" xfId="0" applyFont="1" applyBorder="1" applyNumberFormat="1">
      <alignment horizontal="center" vertical="center" wrapText="1"/>
    </xf>
    <xf numFmtId="49" fontId="81" fillId="0" borderId="17" xfId="0" applyFont="1" applyBorder="1" applyNumberFormat="1">
      <alignment horizontal="center" vertical="center" wrapText="1"/>
    </xf>
    <xf numFmtId="49" fontId="81" fillId="0" borderId="23" xfId="0" applyFont="1" applyBorder="1" applyNumberFormat="1">
      <alignment horizontal="center" vertical="center" wrapText="1"/>
    </xf>
    <xf numFmtId="0" fontId="81" fillId="0" borderId="17" xfId="0" applyFont="1" applyBorder="1" applyNumberFormat="1">
      <alignment horizontal="center" vertical="center" wrapText="1"/>
    </xf>
    <xf numFmtId="49" fontId="85" fillId="0" borderId="22" xfId="0" applyFont="1" applyBorder="1" applyNumberFormat="1">
      <alignment horizontal="center" vertical="top" wrapText="1"/>
    </xf>
    <xf numFmtId="49" fontId="85" fillId="0" borderId="36" xfId="0" applyFont="1" applyBorder="1" applyNumberFormat="1">
      <alignment horizontal="left" vertical="top" wrapText="1"/>
    </xf>
    <xf numFmtId="0" fontId="81" fillId="0" borderId="12" xfId="0" applyFont="1" applyBorder="1" applyNumberFormat="1">
      <alignment vertical="center" wrapText="1"/>
    </xf>
    <xf numFmtId="0" fontId="81" fillId="0" borderId="17" xfId="0" applyFont="1" applyBorder="1" applyNumberFormat="1">
      <alignment vertical="center" wrapText="1"/>
    </xf>
    <xf numFmtId="0" fontId="81" fillId="0" borderId="23" xfId="0" applyFont="1" applyBorder="1" applyNumberFormat="1">
      <alignment vertical="center" wrapText="1"/>
    </xf>
    <xf numFmtId="49" fontId="81" fillId="0" borderId="12" xfId="0" applyFont="1" applyBorder="1" applyNumberFormat="1">
      <alignment horizontal="left" vertical="top" wrapText="1"/>
    </xf>
    <xf numFmtId="173" fontId="19" fillId="38" borderId="17" xfId="0" applyFont="1" applyFill="1" applyBorder="1" applyNumberFormat="1">
      <alignment horizontal="right" vertical="center" wrapText="1"/>
      <protection locked="0"/>
    </xf>
    <xf numFmtId="0" fontId="19" fillId="0" borderId="13" xfId="0" applyFont="1" applyBorder="1" applyNumberFormat="1">
      <alignment horizontal="center" vertical="center" wrapText="1"/>
    </xf>
    <xf numFmtId="0" fontId="19" fillId="0" borderId="20" xfId="0" applyFont="1" applyBorder="1" applyNumberFormat="1">
      <alignment horizontal="center" vertical="center" wrapText="1"/>
    </xf>
    <xf numFmtId="49" fontId="19" fillId="36" borderId="37" xfId="0" applyFont="1" applyFill="1" applyBorder="1" applyNumberFormat="1">
      <alignment vertical="center" wrapText="1"/>
    </xf>
    <xf numFmtId="49" fontId="29" fillId="36" borderId="19" xfId="0" applyFont="1" applyFill="1" applyBorder="1" applyNumberFormat="1">
      <alignment horizontal="left" vertical="center" indent="1"/>
    </xf>
    <xf numFmtId="49" fontId="19" fillId="36" borderId="37" xfId="0" applyFont="1" applyFill="1" applyBorder="1" applyNumberFormat="1">
      <alignment vertical="center" wrapText="1"/>
    </xf>
    <xf numFmtId="49" fontId="29" fillId="36" borderId="19" xfId="0" applyFont="1" applyFill="1" applyBorder="1" applyNumberFormat="1">
      <alignment horizontal="left" vertical="center" indent="1"/>
    </xf>
    <xf numFmtId="0" fontId="63" fillId="0" borderId="0" xfId="0" applyFont="1" applyNumberFormat="1">
      <alignment horizontal="center" vertical="center" wrapText="1"/>
    </xf>
    <xf numFmtId="4" fontId="19" fillId="38" borderId="13" xfId="0" applyFont="1" applyFill="1" applyBorder="1" applyNumberFormat="1">
      <alignment horizontal="right" vertical="center" wrapText="1"/>
      <protection locked="0"/>
    </xf>
    <xf numFmtId="173" fontId="19" fillId="38" borderId="13" xfId="0" applyFont="1" applyFill="1" applyBorder="1" applyNumberFormat="1">
      <alignment horizontal="right" vertical="center" wrapText="1"/>
      <protection locked="0"/>
    </xf>
    <xf numFmtId="173" fontId="19" fillId="33" borderId="13" xfId="0" applyFont="1" applyFill="1" applyBorder="1" applyNumberFormat="1">
      <alignment horizontal="right" vertical="center" wrapText="1"/>
    </xf>
    <xf numFmtId="4" fontId="19" fillId="38" borderId="29" xfId="0" applyFont="1" applyFill="1" applyBorder="1" applyNumberFormat="1">
      <alignment horizontal="right" vertical="center" wrapText="1"/>
      <protection locked="0"/>
    </xf>
    <xf numFmtId="49" fontId="81" fillId="40" borderId="12" xfId="0" applyFont="1" applyFill="1" applyBorder="1" applyNumberFormat="1">
      <alignment horizontal="center" vertical="top"/>
    </xf>
    <xf numFmtId="49" fontId="85" fillId="0" borderId="0" xfId="0" applyFont="1" applyNumberFormat="1">
      <alignment vertical="top"/>
    </xf>
    <xf numFmtId="49" fontId="81" fillId="0" borderId="12" xfId="0" applyFont="1" applyBorder="1" applyNumberFormat="1">
      <alignment horizontal="center" vertical="top" wrapText="1"/>
    </xf>
    <xf numFmtId="49" fontId="81" fillId="0" borderId="12" xfId="0" applyFont="1" applyBorder="1" applyNumberFormat="1">
      <alignment vertical="top" wrapText="1"/>
    </xf>
    <xf numFmtId="0" fontId="81" fillId="0" borderId="12" xfId="0" applyFont="1" applyBorder="1" applyNumberFormat="1">
      <alignment vertical="top" wrapText="1"/>
    </xf>
    <xf numFmtId="49" fontId="81" fillId="0" borderId="12" xfId="0" applyFont="1" applyBorder="1" applyNumberFormat="1">
      <alignment vertical="top"/>
    </xf>
    <xf numFmtId="49" fontId="85" fillId="0" borderId="12" xfId="0" applyFont="1" applyBorder="1" applyNumberFormat="1">
      <alignment vertical="top"/>
    </xf>
    <xf numFmtId="49" fontId="81" fillId="0" borderId="0" xfId="0" applyFont="1" applyNumberFormat="1">
      <alignment horizontal="center" vertical="center" wrapText="1"/>
    </xf>
    <xf numFmtId="49" fontId="81" fillId="0" borderId="0" xfId="0" applyFont="1" applyNumberFormat="1">
      <alignment horizontal="left" vertical="center" wrapText="1"/>
    </xf>
    <xf numFmtId="49" fontId="81" fillId="45" borderId="0" xfId="0" applyFont="1" applyFill="1" applyNumberFormat="1">
      <alignment horizontal="center" vertical="center" wrapText="1"/>
    </xf>
    <xf numFmtId="0" fontId="81" fillId="0" borderId="0" xfId="0" applyFont="1" applyNumberFormat="1">
      <alignment vertical="center" wrapText="1"/>
    </xf>
    <xf numFmtId="0" fontId="37" fillId="0" borderId="12" xfId="0" applyFont="1" applyBorder="1" applyNumberFormat="1">
      <alignment horizontal="left" vertical="center" wrapText="1" indent="3"/>
    </xf>
    <xf numFmtId="49" fontId="37" fillId="0" borderId="12" xfId="0" applyFont="1" applyBorder="1" applyNumberFormat="1">
      <alignment vertical="center" wrapText="1"/>
    </xf>
    <xf numFmtId="0" fontId="37" fillId="0" borderId="17" xfId="0" applyFont="1" applyBorder="1" applyNumberFormat="1">
      <alignment vertical="top" wrapText="1"/>
    </xf>
    <xf numFmtId="0" fontId="37" fillId="0" borderId="36" xfId="0" applyFont="1" applyBorder="1" applyNumberFormat="1">
      <alignment horizontal="left" vertical="center" wrapText="1" indent="1"/>
    </xf>
    <xf numFmtId="0" fontId="37" fillId="0" borderId="36" xfId="0" applyFont="1" applyBorder="1" applyNumberFormat="1">
      <alignment horizontal="center" vertical="center" wrapText="1"/>
    </xf>
    <xf numFmtId="0" fontId="37" fillId="0" borderId="17" xfId="0" applyFont="1" applyBorder="1" applyNumberFormat="1">
      <alignment vertical="center" wrapText="1"/>
    </xf>
    <xf numFmtId="0" fontId="37" fillId="0" borderId="23" xfId="0" applyFont="1" applyBorder="1" applyNumberFormat="1">
      <alignment horizontal="left" vertical="center" wrapText="1" indent="1"/>
    </xf>
    <xf numFmtId="0" fontId="37" fillId="0" borderId="17" xfId="0" applyFont="1" applyBorder="1" applyNumberFormat="1">
      <alignment horizontal="left" vertical="center" wrapText="1" indent="1"/>
    </xf>
    <xf numFmtId="49" fontId="85" fillId="40" borderId="12" xfId="0" applyFont="1" applyFill="1" applyBorder="1" applyNumberFormat="1">
      <alignment horizontal="center" vertical="top" wrapText="1"/>
    </xf>
    <xf numFmtId="49" fontId="85" fillId="40" borderId="12" xfId="0" applyFont="1" applyFill="1" applyBorder="1" applyNumberFormat="1">
      <alignment horizontal="left" vertical="top" wrapText="1"/>
    </xf>
    <xf numFmtId="49" fontId="85" fillId="40" borderId="0" xfId="0" applyFont="1" applyFill="1" applyNumberFormat="1">
      <alignment horizontal="left" vertical="top" wrapText="1"/>
    </xf>
    <xf numFmtId="0" fontId="81" fillId="0" borderId="14" xfId="0" applyFont="1" applyBorder="1" applyNumberFormat="1">
      <alignment horizontal="center" vertical="center" wrapText="1"/>
    </xf>
    <xf numFmtId="0" fontId="19" fillId="0" borderId="23" xfId="0" applyFont="1" applyBorder="1" applyNumberFormat="1">
      <alignment vertical="top" wrapText="1"/>
    </xf>
    <xf numFmtId="0" fontId="19" fillId="0" borderId="23" xfId="0" applyFont="1" applyBorder="1" applyNumberFormat="1">
      <alignment vertical="top" wrapText="1"/>
    </xf>
    <xf numFmtId="0" fontId="81" fillId="0" borderId="14" xfId="0" applyFont="1" applyBorder="1" applyNumberFormat="1">
      <alignment horizontal="center" vertical="center"/>
    </xf>
    <xf numFmtId="49" fontId="37" fillId="34" borderId="12" xfId="0" applyFont="1" applyFill="1" applyBorder="1" applyNumberFormat="1">
      <alignment horizontal="center" vertical="center"/>
    </xf>
    <xf numFmtId="0" fontId="37" fillId="34" borderId="12" xfId="0" applyFont="1" applyFill="1" applyBorder="1" applyNumberFormat="1">
      <alignment horizontal="left" vertical="center" wrapText="1" indent="1"/>
    </xf>
    <xf numFmtId="0" fontId="37" fillId="34" borderId="12" xfId="0" applyFont="1" applyFill="1" applyBorder="1" applyNumberFormat="1">
      <alignment vertical="center" wrapText="1"/>
    </xf>
    <xf numFmtId="49" fontId="37" fillId="0" borderId="12" xfId="0" applyFont="1" applyBorder="1" applyNumberFormat="1">
      <alignment horizontal="center" vertical="center"/>
    </xf>
    <xf numFmtId="0" fontId="37" fillId="0" borderId="12" xfId="0" applyFont="1" applyBorder="1" applyNumberFormat="1">
      <alignment horizontal="left" vertical="center" wrapText="1" indent="1"/>
    </xf>
    <xf numFmtId="0" fontId="37" fillId="0" borderId="12" xfId="0" applyFont="1" applyBorder="1" applyNumberFormat="1">
      <alignment horizontal="left" vertical="center" wrapText="1"/>
    </xf>
    <xf numFmtId="0" fontId="37" fillId="0" borderId="12" xfId="0" applyFont="1" applyBorder="1" applyNumberFormat="1">
      <alignment vertical="center" wrapText="1"/>
    </xf>
    <xf numFmtId="0" fontId="37" fillId="0" borderId="12" xfId="0" applyFont="1" applyBorder="1" applyNumberFormat="1">
      <alignment horizontal="center" vertical="center" wrapText="1"/>
    </xf>
    <xf numFmtId="0" fontId="37" fillId="34" borderId="12" xfId="0" applyFont="1" applyFill="1" applyBorder="1" applyNumberFormat="1">
      <alignment horizontal="left" vertical="center" wrapText="1" indent="2"/>
    </xf>
    <xf numFmtId="49" fontId="37" fillId="0" borderId="12" xfId="0" applyFont="1" applyBorder="1" applyNumberFormat="1">
      <alignment horizontal="left" vertical="center" wrapText="1"/>
    </xf>
    <xf numFmtId="49" fontId="37" fillId="0" borderId="12" xfId="0" applyFont="1" applyBorder="1" applyNumberFormat="1">
      <alignment horizontal="left" vertical="center" wrapText="1"/>
    </xf>
    <xf numFmtId="2" fontId="19" fillId="0" borderId="23" xfId="0" applyFont="1" applyBorder="1" applyNumberFormat="1">
      <alignment horizontal="center" vertical="center" wrapText="1"/>
    </xf>
    <xf numFmtId="0" fontId="90" fillId="0" borderId="0" xfId="0" applyFont="1" applyNumberFormat="1">
      <alignment horizontal="center" vertical="center" wrapText="1"/>
    </xf>
    <xf numFmtId="0" fontId="91" fillId="34" borderId="0" xfId="0" applyFont="1" applyFill="1" applyNumberFormat="1">
      <alignment horizontal="right" vertical="center"/>
    </xf>
    <xf numFmtId="0" fontId="19" fillId="0" borderId="23" xfId="0" applyFont="1" applyBorder="1" applyNumberFormat="1">
      <alignment horizontal="left" vertical="center" wrapText="1"/>
    </xf>
    <xf numFmtId="49" fontId="36" fillId="0" borderId="0" xfId="0" applyFont="1" applyNumberFormat="1">
      <alignment horizontal="center" vertical="center" wrapText="1"/>
    </xf>
    <xf numFmtId="0" fontId="37" fillId="0" borderId="27" xfId="0" applyFont="1" applyBorder="1" applyNumberFormat="1">
      <alignment vertical="center" wrapText="1"/>
    </xf>
    <xf numFmtId="49" fontId="43" fillId="0" borderId="14" xfId="0" applyFont="1" applyBorder="1" applyNumberFormat="1">
      <alignment horizontal="left" vertical="center" wrapText="1"/>
    </xf>
    <xf numFmtId="49" fontId="43" fillId="0" borderId="15" xfId="0" applyFont="1" applyBorder="1" applyNumberFormat="1">
      <alignment horizontal="left" vertical="center" wrapText="1"/>
    </xf>
    <xf numFmtId="49" fontId="37" fillId="0" borderId="0" xfId="0" applyFont="1" applyNumberFormat="1">
      <alignment horizontal="center" vertical="center" wrapText="1"/>
    </xf>
    <xf numFmtId="0" fontId="37" fillId="0" borderId="0" xfId="0" applyFont="1" applyNumberFormat="1">
      <alignment horizontal="center" vertical="center" wrapText="1"/>
    </xf>
    <xf numFmtId="4" fontId="19" fillId="0" borderId="17" xfId="0" applyFont="1" applyBorder="1" applyNumberFormat="1">
      <alignment horizontal="center" vertical="center" wrapText="1"/>
    </xf>
    <xf numFmtId="4" fontId="19" fillId="0" borderId="32" xfId="0" applyFont="1" applyBorder="1" applyNumberFormat="1">
      <alignment horizontal="center" vertical="center" wrapText="1"/>
    </xf>
    <xf numFmtId="49" fontId="43" fillId="0" borderId="37" xfId="0" applyFont="1" applyBorder="1" applyNumberFormat="1">
      <alignment horizontal="left" vertical="center" wrapText="1"/>
    </xf>
    <xf numFmtId="49" fontId="43" fillId="0" borderId="30" xfId="0" applyFont="1" applyBorder="1" applyNumberFormat="1">
      <alignment horizontal="left" vertical="center" wrapText="1"/>
    </xf>
    <xf numFmtId="0" fontId="19" fillId="0" borderId="36" xfId="0" applyFont="1" applyBorder="1" applyNumberFormat="1">
      <alignment vertical="center" wrapText="1"/>
    </xf>
    <xf numFmtId="0" fontId="19" fillId="0" borderId="32" xfId="0" applyFont="1" applyBorder="1" applyNumberFormat="1">
      <alignment horizontal="left" vertical="center" wrapText="1"/>
    </xf>
    <xf numFmtId="49" fontId="36" fillId="0" borderId="0" xfId="0" applyFont="1" applyNumberFormat="1">
      <alignment horizontal="center" vertical="center" wrapText="1"/>
    </xf>
    <xf numFmtId="0" fontId="19" fillId="0" borderId="0" xfId="0" applyFont="1" applyNumberFormat="1">
      <alignment vertical="top" wrapText="1"/>
    </xf>
    <xf numFmtId="0" fontId="19" fillId="0" borderId="0" xfId="0" applyFont="1" applyNumberFormat="1">
      <alignment vertical="top"/>
    </xf>
    <xf numFmtId="4" fontId="19" fillId="0" borderId="40" xfId="0" applyFont="1" applyBorder="1" applyNumberFormat="1">
      <alignment horizontal="center" vertical="center" wrapText="1"/>
    </xf>
    <xf numFmtId="0" fontId="37" fillId="0" borderId="0" xfId="0" applyFont="1" applyNumberFormat="1">
      <alignment horizontal="center" vertical="top"/>
    </xf>
    <xf numFmtId="49" fontId="37" fillId="0" borderId="0" xfId="0" applyFont="1" applyNumberFormat="1">
      <alignment vertical="top"/>
    </xf>
    <xf numFmtId="0" fontId="37" fillId="0" borderId="23" xfId="0" applyFont="1" applyBorder="1" applyNumberFormat="1">
      <alignment vertical="center" wrapText="1"/>
    </xf>
    <xf numFmtId="4" fontId="37" fillId="0" borderId="12" xfId="0" applyFont="1" applyBorder="1" applyNumberFormat="1">
      <alignment horizontal="right" vertical="center" wrapText="1"/>
    </xf>
    <xf numFmtId="2" fontId="37" fillId="0" borderId="23" xfId="0" applyFont="1" applyBorder="1" applyNumberFormat="1">
      <alignment horizontal="center" vertical="center" wrapText="1"/>
    </xf>
    <xf numFmtId="0" fontId="37" fillId="0" borderId="12" xfId="0" applyFont="1" applyBorder="1" applyNumberFormat="1">
      <alignment horizontal="left" vertical="center" wrapText="1"/>
    </xf>
    <xf numFmtId="49" fontId="37" fillId="0" borderId="14" xfId="0" applyFont="1" applyBorder="1" applyNumberFormat="1">
      <alignment horizontal="left" vertical="center"/>
    </xf>
    <xf numFmtId="49" fontId="37" fillId="0" borderId="15" xfId="0" applyFont="1" applyBorder="1" applyNumberFormat="1">
      <alignment horizontal="left" vertical="center" indent="1"/>
    </xf>
    <xf numFmtId="49" fontId="37" fillId="0" borderId="15" xfId="0" applyFont="1" applyBorder="1" applyNumberFormat="1">
      <alignment horizontal="left" vertical="center"/>
    </xf>
    <xf numFmtId="0" fontId="37" fillId="0" borderId="12" xfId="0" applyFont="1" applyBorder="1" applyNumberFormat="1">
      <alignment horizontal="left" vertical="center" indent="1"/>
    </xf>
    <xf numFmtId="49" fontId="29" fillId="0" borderId="19" xfId="0" applyFont="1" applyBorder="1" applyNumberFormat="1">
      <alignment horizontal="right" vertical="center"/>
    </xf>
    <xf numFmtId="0" fontId="19" fillId="39" borderId="12" xfId="0" applyFont="1" applyFill="1" applyBorder="1" applyNumberFormat="1">
      <alignment horizontal="left" vertical="center" wrapText="1" indent="1"/>
    </xf>
    <xf numFmtId="0" fontId="19" fillId="0" borderId="12" xfId="0" applyFont="1" applyBorder="1" applyNumberFormat="1">
      <alignment horizontal="center" vertical="center" wrapText="1"/>
    </xf>
    <xf numFmtId="0" fontId="37" fillId="0" borderId="0" xfId="0" applyFont="1" applyNumberFormat="1">
      <alignment horizontal="center" vertical="center" wrapText="1"/>
    </xf>
    <xf numFmtId="49" fontId="36" fillId="0" borderId="0" xfId="0" applyFont="1" applyNumberFormat="1">
      <alignment horizontal="center" vertical="center" wrapText="1"/>
    </xf>
    <xf numFmtId="49" fontId="37" fillId="0" borderId="0" xfId="0" applyFont="1" applyNumberFormat="1">
      <alignment horizontal="center" vertical="center" wrapText="1"/>
    </xf>
    <xf numFmtId="0" fontId="51" fillId="34" borderId="0" xfId="0" applyFont="1" applyFill="1" applyNumberFormat="1">
      <alignment horizontal="left" vertical="center" wrapText="1" indent="1"/>
    </xf>
    <xf numFmtId="0" fontId="19" fillId="0" borderId="0" xfId="0" applyFont="1" applyNumberFormat="1">
      <alignment horizontal="left" vertical="center" wrapText="1" indent="1"/>
    </xf>
    <xf numFmtId="49" fontId="43" fillId="35" borderId="13" xfId="0" applyFont="1" applyFill="1" applyBorder="1" applyNumberFormat="1">
      <alignment horizontal="left" vertical="center" wrapText="1"/>
      <protection locked="0"/>
    </xf>
    <xf numFmtId="49" fontId="19" fillId="0" borderId="0" xfId="0" applyFont="1" applyNumberFormat="1">
      <alignment horizontal="center" vertical="center" wrapText="1"/>
    </xf>
    <xf numFmtId="0" fontId="19" fillId="0" borderId="19" xfId="0" applyFont="1" applyBorder="1" applyNumberFormat="1">
      <alignment vertical="center" wrapText="1"/>
    </xf>
    <xf numFmtId="0" fontId="19" fillId="0" borderId="27" xfId="0" applyFont="1" applyBorder="1" applyNumberFormat="1">
      <alignment vertical="center" wrapText="1"/>
    </xf>
    <xf numFmtId="49" fontId="19" fillId="36" borderId="41" xfId="0" applyFont="1" applyFill="1" applyBorder="1" applyNumberFormat="1">
      <alignment horizontal="center" vertical="center" wrapText="1"/>
    </xf>
    <xf numFmtId="49" fontId="39" fillId="36" borderId="42" xfId="0" applyFont="1" applyFill="1" applyBorder="1" applyNumberFormat="1">
      <alignment horizontal="right" vertical="center" wrapText="1"/>
    </xf>
    <xf numFmtId="49" fontId="39" fillId="36" borderId="43" xfId="0" applyFont="1" applyFill="1" applyBorder="1" applyNumberFormat="1">
      <alignment horizontal="right" vertical="center" wrapText="1"/>
    </xf>
    <xf numFmtId="49" fontId="34" fillId="0" borderId="0" xfId="0" applyFont="1" applyNumberFormat="1">
      <alignment vertical="top"/>
    </xf>
    <xf numFmtId="49" fontId="34" fillId="0" borderId="0" xfId="0" applyFont="1" applyNumberFormat="1">
      <alignment vertical="center" wrapText="1"/>
    </xf>
    <xf numFmtId="0" fontId="34" fillId="0" borderId="0" xfId="0" applyFont="1" applyNumberFormat="1">
      <alignment vertical="center" wrapText="1"/>
    </xf>
    <xf numFmtId="49" fontId="84" fillId="0" borderId="0" xfId="0" applyFont="1" applyNumberFormat="1">
      <alignment vertical="center" wrapText="1"/>
    </xf>
    <xf numFmtId="49" fontId="0" fillId="0" borderId="0" xfId="0" applyFont="1" applyNumberFormat="1">
      <alignment vertical="center" wrapText="1"/>
    </xf>
    <xf numFmtId="49" fontId="20" fillId="46" borderId="0" xfId="0" applyFont="1" applyFill="1" applyNumberFormat="1">
      <alignment horizontal="center" vertical="center"/>
    </xf>
    <xf numFmtId="0" fontId="0" fillId="47" borderId="0" xfId="0" applyFont="1" applyFill="1" applyNumberFormat="1">
      <alignment horizontal="left" vertical="center"/>
    </xf>
    <xf numFmtId="0" fontId="0" fillId="48" borderId="12" xfId="0" applyFont="1" applyFill="1" applyBorder="1" applyNumberFormat="1">
      <alignment horizontal="center" vertical="center"/>
    </xf>
    <xf numFmtId="49" fontId="0" fillId="0" borderId="0" xfId="0" applyFont="1" applyNumberFormat="1">
      <alignment vertical="center"/>
    </xf>
    <xf numFmtId="49" fontId="36" fillId="46" borderId="12" xfId="0" applyFont="1" applyFill="1" applyBorder="1" applyNumberFormat="1">
      <alignment horizontal="center" vertical="center"/>
    </xf>
    <xf numFmtId="49" fontId="36" fillId="49" borderId="12" xfId="0" applyFont="1" applyFill="1" applyBorder="1" applyNumberFormat="1">
      <alignment horizontal="center" vertical="center"/>
    </xf>
    <xf numFmtId="49" fontId="0" fillId="50" borderId="12" xfId="0" applyFont="1" applyFill="1" applyBorder="1" applyNumberFormat="1">
      <alignment horizontal="center" vertical="center"/>
    </xf>
    <xf numFmtId="49" fontId="19" fillId="0" borderId="0" xfId="0" applyFont="1" applyNumberFormat="1">
      <alignment vertical="top"/>
    </xf>
    <xf numFmtId="0" fontId="19"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19" fillId="0" borderId="44" xfId="0" applyFont="1" applyBorder="1" applyNumberFormat="1">
      <alignment vertical="center"/>
    </xf>
    <xf numFmtId="49" fontId="19"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19" fillId="0" borderId="13" xfId="0" applyFont="1" applyBorder="1" applyNumberFormat="1">
      <alignment vertical="center"/>
    </xf>
    <xf numFmtId="49" fontId="19" fillId="0" borderId="12" xfId="0" applyFont="1" applyBorder="1" applyNumberFormat="1">
      <alignment vertical="center"/>
    </xf>
    <xf numFmtId="0" fontId="0" fillId="0" borderId="0" xfId="0" applyFont="1" applyNumberFormat="1">
      <alignment vertical="top"/>
    </xf>
    <xf numFmtId="0" fontId="19" fillId="0" borderId="12" xfId="0" applyFont="1" applyBorder="1" applyNumberFormat="1">
      <alignment vertical="top"/>
    </xf>
    <xf numFmtId="49" fontId="19" fillId="0" borderId="12" xfId="0" applyFont="1" applyBorder="1" applyNumberFormat="1">
      <alignment vertical="top"/>
    </xf>
    <xf numFmtId="49" fontId="0" fillId="0" borderId="0" xfId="0" applyFont="1" applyNumberFormat="1">
      <alignment vertical="top"/>
    </xf>
    <xf numFmtId="0" fontId="19" fillId="0" borderId="0" xfId="0" applyFont="1" applyNumberFormat="1">
      <alignment vertical="center"/>
    </xf>
    <xf numFmtId="49" fontId="19" fillId="0" borderId="14" xfId="0" applyFont="1" applyBorder="1" applyNumberFormat="1">
      <alignment vertical="top"/>
    </xf>
    <xf numFmtId="0" fontId="0" fillId="0" borderId="0" xfId="0" applyFont="1" applyNumberFormat="1">
      <alignment vertical="center"/>
    </xf>
    <xf numFmtId="0" fontId="19" fillId="0" borderId="0" xfId="0" applyFont="1" applyNumberFormat="1">
      <alignment vertical="top"/>
    </xf>
    <xf numFmtId="49" fontId="19"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19" fillId="0" borderId="17" xfId="0" applyFont="1" applyBorder="1" applyNumberFormat="1">
      <alignment vertical="center"/>
    </xf>
    <xf numFmtId="49" fontId="19" fillId="0" borderId="31" xfId="0" applyFont="1" applyBorder="1" applyNumberFormat="1">
      <alignment horizontal="center" vertical="center"/>
    </xf>
    <xf numFmtId="49" fontId="19" fillId="0" borderId="0" xfId="0" applyFont="1" applyNumberFormat="1">
      <alignment vertical="top"/>
    </xf>
    <xf numFmtId="49" fontId="19" fillId="0" borderId="0" xfId="0" applyFont="1" applyNumberFormat="1">
      <alignment vertical="top"/>
    </xf>
    <xf numFmtId="49" fontId="0" fillId="35"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3"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92" fillId="0" borderId="46" xfId="0" applyFont="1" applyBorder="1" applyNumberFormat="1">
      <alignment horizontal="center" vertical="center"/>
    </xf>
    <xf numFmtId="0" fontId="0" fillId="0" borderId="46" xfId="0" applyFont="1" applyBorder="1" applyNumberFormat="1">
      <alignment horizontal="center" vertical="center"/>
    </xf>
    <xf numFmtId="49" fontId="20" fillId="46" borderId="12" xfId="0" applyFont="1" applyFill="1" applyBorder="1" applyNumberFormat="1">
      <alignment horizontal="right" vertical="center"/>
    </xf>
    <xf numFmtId="49" fontId="19" fillId="35" borderId="37" xfId="0" applyFont="1" applyFill="1" applyBorder="1" applyNumberFormat="1">
      <alignment vertical="top"/>
      <protection locked="0"/>
    </xf>
    <xf numFmtId="0" fontId="19" fillId="0" borderId="12" xfId="0" applyFont="1" applyBorder="1" applyNumberFormat="1">
      <alignment vertical="top"/>
    </xf>
    <xf numFmtId="49" fontId="19" fillId="40" borderId="23" xfId="0" applyFont="1" applyFill="1" applyBorder="1" applyNumberFormat="1">
      <alignment vertical="top"/>
    </xf>
    <xf numFmtId="49" fontId="19" fillId="40" borderId="12" xfId="0" applyFont="1" applyFill="1" applyBorder="1" applyNumberFormat="1">
      <alignment vertical="top"/>
    </xf>
    <xf numFmtId="0" fontId="0" fillId="0" borderId="32" xfId="0" applyFont="1" applyBorder="1" applyNumberFormat="1">
      <alignment horizontal="center" vertical="center"/>
    </xf>
    <xf numFmtId="0" fontId="0" fillId="0" borderId="31" xfId="0" applyFont="1" applyBorder="1" applyNumberFormat="1">
      <alignment horizontal="center" vertical="center"/>
    </xf>
    <xf numFmtId="49" fontId="0" fillId="0" borderId="0" xfId="0" applyFont="1" applyNumberFormat="1">
      <alignment vertical="center"/>
    </xf>
    <xf numFmtId="49" fontId="20" fillId="46" borderId="14" xfId="0" applyFont="1" applyFill="1" applyBorder="1" applyNumberFormat="1">
      <alignment horizontal="right" vertical="center"/>
    </xf>
    <xf numFmtId="49" fontId="19" fillId="0" borderId="0" xfId="0" applyFont="1" applyNumberFormat="1">
      <alignment vertical="center"/>
    </xf>
    <xf numFmtId="0" fontId="0" fillId="47" borderId="0" xfId="0" applyFont="1" applyFill="1" applyNumberFormat="1">
      <alignment horizontal="right" vertical="center"/>
    </xf>
    <xf numFmtId="0" fontId="93" fillId="0" borderId="47" xfId="0" applyFont="1" applyBorder="1" applyNumberFormat="1">
      <alignment horizontal="left" vertical="center" indent="1"/>
    </xf>
    <xf numFmtId="0" fontId="93" fillId="0" borderId="48" xfId="0" applyFont="1" applyBorder="1" applyNumberFormat="1">
      <alignment horizontal="left" vertical="center" indent="1"/>
    </xf>
    <xf numFmtId="0" fontId="93" fillId="0" borderId="49" xfId="0" applyFont="1" applyBorder="1" applyNumberFormat="1">
      <alignment horizontal="left" vertical="center" indent="1"/>
    </xf>
    <xf numFmtId="0" fontId="19" fillId="34" borderId="0" xfId="0" applyFont="1" applyFill="1" applyNumberFormat="1">
      <alignment vertical="center" wrapText="1"/>
    </xf>
    <xf numFmtId="0" fontId="19" fillId="0" borderId="0" xfId="0" applyFont="1" applyNumberFormat="1">
      <alignment vertical="center" wrapText="1"/>
    </xf>
    <xf numFmtId="0" fontId="20" fillId="0" borderId="0" xfId="0" applyFont="1" applyNumberFormat="1">
      <alignment vertical="center" wrapText="1"/>
    </xf>
    <xf numFmtId="49" fontId="19" fillId="0" borderId="0" xfId="0" applyFont="1" applyNumberFormat="1">
      <alignment vertical="top"/>
    </xf>
    <xf numFmtId="0" fontId="36" fillId="0" borderId="0" xfId="0" applyFont="1" applyNumberFormat="1">
      <alignment vertical="center" wrapText="1"/>
    </xf>
    <xf numFmtId="49" fontId="88" fillId="0" borderId="0" xfId="0" applyFont="1" applyNumberFormat="1">
      <alignment horizontal="center" vertical="center" wrapText="1"/>
    </xf>
    <xf numFmtId="0" fontId="19" fillId="34" borderId="0" xfId="0" applyFont="1" applyFill="1" applyNumberFormat="1">
      <alignment vertical="center" wrapText="1"/>
    </xf>
    <xf numFmtId="0" fontId="19" fillId="0" borderId="0" xfId="0" applyFont="1" applyNumberFormat="1">
      <alignment vertical="center" wrapText="1"/>
    </xf>
    <xf numFmtId="0" fontId="39" fillId="34" borderId="39" xfId="0" applyFont="1" applyFill="1" applyBorder="1" applyNumberFormat="1">
      <alignment horizontal="center" wrapText="1"/>
    </xf>
    <xf numFmtId="49" fontId="60" fillId="0" borderId="39" xfId="0" applyFont="1" applyBorder="1" applyNumberFormat="1">
      <alignment vertical="top"/>
    </xf>
    <xf numFmtId="0" fontId="0" fillId="0" borderId="12" xfId="0" applyFont="1" applyBorder="1" applyNumberFormat="1">
      <alignment horizontal="center" vertical="center" wrapText="1"/>
    </xf>
    <xf numFmtId="0" fontId="19" fillId="0" borderId="0" xfId="0" applyFont="1" applyNumberFormat="1">
      <alignment horizontal="left" vertical="center" wrapText="1" indent="3"/>
    </xf>
    <xf numFmtId="0" fontId="19" fillId="0" borderId="0" xfId="0" applyFont="1" applyNumberFormat="1">
      <alignment horizontal="left" vertical="center" wrapText="1" indent="3"/>
    </xf>
    <xf numFmtId="0" fontId="19" fillId="0" borderId="0" xfId="0" applyFont="1" applyNumberFormat="1">
      <alignment vertical="center" wrapText="1"/>
    </xf>
    <xf numFmtId="0" fontId="20" fillId="0" borderId="0" xfId="0" applyFont="1" applyNumberFormat="1">
      <alignment vertical="center" wrapText="1"/>
    </xf>
    <xf numFmtId="49" fontId="19" fillId="0" borderId="0" xfId="0" applyFont="1" applyNumberFormat="1">
      <alignment vertical="top"/>
    </xf>
    <xf numFmtId="0" fontId="36" fillId="0" borderId="0" xfId="0" applyFont="1" applyNumberFormat="1">
      <alignment vertical="center" wrapText="1"/>
    </xf>
    <xf numFmtId="0" fontId="19" fillId="0" borderId="12" xfId="0" applyFont="1" applyBorder="1" applyNumberFormat="1">
      <alignment horizontal="center" vertical="center" wrapText="1"/>
    </xf>
    <xf numFmtId="0" fontId="19" fillId="0" borderId="0" xfId="0" applyFont="1" applyNumberFormat="1">
      <alignment vertical="center" wrapText="1"/>
    </xf>
    <xf numFmtId="0" fontId="19" fillId="34" borderId="39" xfId="0" applyFont="1" applyFill="1" applyBorder="1" applyNumberFormat="1">
      <alignment vertical="center" wrapText="1"/>
    </xf>
    <xf numFmtId="0" fontId="19" fillId="0" borderId="0" xfId="0" applyFont="1" applyNumberFormat="1">
      <alignment vertical="center" wrapText="1"/>
    </xf>
    <xf numFmtId="0" fontId="20" fillId="0" borderId="0" xfId="0" applyFont="1" applyNumberFormat="1">
      <alignment vertical="center" wrapText="1"/>
    </xf>
    <xf numFmtId="49" fontId="19" fillId="0" borderId="0" xfId="0" applyFont="1" applyNumberFormat="1">
      <alignment vertical="top"/>
    </xf>
    <xf numFmtId="0" fontId="36" fillId="0" borderId="0" xfId="0" applyFont="1" applyNumberFormat="1">
      <alignment vertical="center" wrapText="1"/>
    </xf>
    <xf numFmtId="0" fontId="19" fillId="0" borderId="0" xfId="0" applyFont="1" applyNumberFormat="1">
      <alignment vertical="center" wrapText="1"/>
    </xf>
    <xf numFmtId="0" fontId="19" fillId="0" borderId="0" xfId="0" applyFont="1" applyNumberFormat="1">
      <alignment vertical="center" wrapText="1"/>
    </xf>
    <xf numFmtId="0" fontId="19" fillId="34" borderId="39" xfId="0" applyFont="1" applyFill="1" applyBorder="1" applyNumberFormat="1">
      <alignment vertical="center" wrapText="1"/>
    </xf>
    <xf numFmtId="0" fontId="19" fillId="38" borderId="12" xfId="0" applyFont="1" applyFill="1" applyBorder="1" applyNumberFormat="1">
      <alignment horizontal="left" vertical="center" wrapText="1" indent="1"/>
      <protection locked="0"/>
    </xf>
    <xf numFmtId="49" fontId="36" fillId="46" borderId="0" xfId="0" applyFont="1" applyFill="1" applyNumberFormat="1">
      <alignment horizontal="center" vertical="center"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0" xfId="0" applyFont="1" applyNumberFormat="1">
      <alignment vertical="center" wrapText="1"/>
    </xf>
    <xf numFmtId="0" fontId="20" fillId="0" borderId="0" xfId="0" applyFont="1" applyNumberFormat="1">
      <alignment vertical="center" wrapText="1"/>
    </xf>
    <xf numFmtId="49" fontId="19" fillId="0" borderId="0" xfId="0" applyFont="1" applyNumberFormat="1">
      <alignment vertical="top"/>
    </xf>
    <xf numFmtId="49" fontId="94" fillId="0" borderId="16" xfId="0" applyFont="1" applyBorder="1" applyNumberFormat="1">
      <alignment vertical="top"/>
    </xf>
    <xf numFmtId="0" fontId="0" fillId="0" borderId="0" xfId="0" applyFont="1" applyNumberFormat="1">
      <alignment vertical="top"/>
    </xf>
    <xf numFmtId="0" fontId="36" fillId="0" borderId="0" xfId="0" applyFont="1" applyNumberFormat="1">
      <alignment vertical="center" wrapText="1"/>
    </xf>
    <xf numFmtId="49" fontId="43" fillId="38" borderId="12" xfId="0" applyFont="1" applyFill="1" applyBorder="1" applyNumberFormat="1">
      <alignment horizontal="left" vertical="center" wrapText="1"/>
      <protection locked="0"/>
    </xf>
    <xf numFmtId="0" fontId="19" fillId="0" borderId="14" xfId="0" applyFont="1" applyBorder="1" applyNumberFormat="1">
      <alignment horizontal="left" vertical="center"/>
    </xf>
    <xf numFmtId="0" fontId="0" fillId="0" borderId="14" xfId="0" applyFont="1" applyBorder="1" applyNumberFormat="1">
      <alignment horizontal="left" vertical="center"/>
    </xf>
    <xf numFmtId="49" fontId="43" fillId="38" borderId="12" xfId="0" applyFont="1" applyFill="1" applyBorder="1" applyNumberFormat="1">
      <alignment horizontal="left" vertical="center" wrapText="1"/>
      <protection locked="0"/>
    </xf>
    <xf numFmtId="0" fontId="19" fillId="34" borderId="26" xfId="0" applyFont="1" applyFill="1" applyBorder="1" applyNumberFormat="1">
      <alignment horizontal="right" vertical="center" wrapText="1" indent="1"/>
    </xf>
    <xf numFmtId="49" fontId="36" fillId="0" borderId="0" xfId="0" applyFont="1" applyNumberFormat="1">
      <alignment horizontal="center" vertical="center" wrapText="1"/>
    </xf>
    <xf numFmtId="49" fontId="37" fillId="0" borderId="0" xfId="0" applyFont="1" applyNumberFormat="1">
      <alignment horizontal="center" vertical="center" wrapText="1"/>
    </xf>
    <xf numFmtId="49" fontId="29" fillId="36" borderId="15" xfId="0" applyFont="1" applyFill="1" applyBorder="1" applyNumberFormat="1">
      <alignment horizontal="left" vertical="center" indent="1"/>
    </xf>
    <xf numFmtId="4" fontId="19" fillId="38" borderId="31" xfId="0" applyFont="1" applyFill="1" applyBorder="1" applyNumberFormat="1">
      <alignment horizontal="right" vertical="center" wrapText="1"/>
      <protection locked="0"/>
    </xf>
    <xf numFmtId="0" fontId="19" fillId="34" borderId="0" xfId="0" applyFont="1" applyFill="1" applyNumberFormat="1">
      <alignment vertical="center" wrapText="1"/>
    </xf>
    <xf numFmtId="0" fontId="19" fillId="0" borderId="38" xfId="0" applyFont="1" applyBorder="1" applyNumberFormat="1">
      <alignment vertical="center" wrapText="1"/>
    </xf>
    <xf numFmtId="0" fontId="19" fillId="0" borderId="0" xfId="0" applyFont="1" applyNumberFormat="1">
      <alignment vertical="center"/>
    </xf>
    <xf numFmtId="0" fontId="19" fillId="0" borderId="0" xfId="0" applyFont="1" applyNumberFormat="1">
      <alignment vertical="center" wrapText="1"/>
    </xf>
    <xf numFmtId="0" fontId="19" fillId="36" borderId="50" xfId="0" applyFont="1" applyFill="1" applyBorder="1" applyNumberFormat="1">
      <alignment vertical="center" wrapText="1"/>
    </xf>
    <xf numFmtId="0" fontId="19" fillId="36" borderId="51" xfId="0" applyFont="1" applyFill="1" applyBorder="1" applyNumberFormat="1">
      <alignment vertical="center" wrapText="1"/>
    </xf>
    <xf numFmtId="49" fontId="95" fillId="36" borderId="14" xfId="0" applyFont="1" applyFill="1" applyBorder="1" applyNumberFormat="1">
      <alignment horizontal="left" vertical="center" indent="1"/>
    </xf>
    <xf numFmtId="49" fontId="95" fillId="36" borderId="15" xfId="0" applyFont="1" applyFill="1" applyBorder="1" applyNumberFormat="1">
      <alignment horizontal="left" vertical="center" indent="1"/>
    </xf>
    <xf numFmtId="49" fontId="84" fillId="36" borderId="43" xfId="0" applyFont="1" applyFill="1" applyBorder="1" applyNumberFormat="1">
      <alignment horizontal="center" vertical="center"/>
    </xf>
    <xf numFmtId="49" fontId="95" fillId="36" borderId="43" xfId="0" applyFont="1" applyFill="1" applyBorder="1" applyNumberFormat="1">
      <alignment horizontal="left" vertical="center" indent="1"/>
    </xf>
    <xf numFmtId="0" fontId="34" fillId="39" borderId="12" xfId="0" applyFont="1" applyFill="1" applyBorder="1" applyNumberFormat="1">
      <alignment horizontal="left" vertical="center" wrapText="1" indent="1"/>
    </xf>
    <xf numFmtId="49" fontId="34" fillId="36" borderId="15" xfId="0" applyFont="1" applyFill="1" applyBorder="1" applyNumberFormat="1">
      <alignment vertical="top" wrapText="1"/>
    </xf>
    <xf numFmtId="49" fontId="34" fillId="36" borderId="13" xfId="0" applyFont="1" applyFill="1" applyBorder="1" applyNumberFormat="1">
      <alignment vertical="top" wrapText="1"/>
    </xf>
    <xf numFmtId="49" fontId="34" fillId="36" borderId="52" xfId="0" applyFont="1" applyFill="1" applyBorder="1" applyNumberFormat="1">
      <alignment vertical="top" wrapText="1"/>
    </xf>
    <xf numFmtId="49" fontId="95" fillId="36" borderId="52" xfId="0" applyFont="1" applyFill="1" applyBorder="1" applyNumberFormat="1">
      <alignment horizontal="left" vertical="center" indent="1"/>
    </xf>
    <xf numFmtId="0" fontId="19" fillId="36" borderId="53" xfId="0" applyFont="1" applyFill="1" applyBorder="1" applyNumberFormat="1">
      <alignment vertical="center" wrapText="1"/>
    </xf>
    <xf numFmtId="0" fontId="19" fillId="34" borderId="39" xfId="0" applyFont="1" applyFill="1" applyBorder="1" applyNumberFormat="1">
      <alignment vertical="center" wrapText="1"/>
    </xf>
    <xf numFmtId="0" fontId="0" fillId="0" borderId="49" xfId="0" applyFont="1" applyBorder="1" applyNumberFormat="1">
      <alignment horizontal="left" vertical="center" wrapText="1"/>
    </xf>
    <xf numFmtId="0" fontId="19" fillId="0" borderId="49" xfId="0" applyFont="1" applyBorder="1" applyNumberFormat="1">
      <alignment vertical="center" wrapText="1"/>
    </xf>
    <xf numFmtId="0" fontId="19" fillId="0" borderId="54" xfId="0" applyFont="1" applyBorder="1" applyNumberFormat="1">
      <alignment vertical="center" wrapText="1"/>
    </xf>
    <xf numFmtId="0" fontId="19" fillId="0" borderId="55" xfId="0" applyFont="1" applyBorder="1" applyNumberFormat="1">
      <alignment vertical="center" wrapText="1"/>
    </xf>
    <xf numFmtId="0" fontId="19" fillId="39" borderId="12" xfId="0" applyFont="1" applyFill="1" applyBorder="1" applyNumberFormat="1">
      <alignment horizontal="left" vertical="center" wrapText="1" indent="1"/>
    </xf>
    <xf numFmtId="0" fontId="0" fillId="36" borderId="50" xfId="0" applyFont="1" applyFill="1" applyBorder="1" applyNumberFormat="1">
      <alignment horizontal="left" vertical="center"/>
    </xf>
    <xf numFmtId="0" fontId="19" fillId="34" borderId="12" xfId="0" applyFont="1" applyFill="1" applyBorder="1" applyNumberFormat="1">
      <alignment horizontal="center" vertical="center" wrapText="1"/>
    </xf>
    <xf numFmtId="49" fontId="24" fillId="0" borderId="12" xfId="0" applyFont="1" applyBorder="1" applyNumberFormat="1">
      <alignment horizontal="center" vertical="center"/>
    </xf>
    <xf numFmtId="49" fontId="24" fillId="40" borderId="12" xfId="0" applyFont="1" applyFill="1" applyBorder="1" applyNumberFormat="1">
      <alignment horizontal="center" vertical="center"/>
    </xf>
    <xf numFmtId="0" fontId="24" fillId="0" borderId="12" xfId="0" applyFont="1" applyBorder="1" applyNumberFormat="1">
      <alignment horizontal="center" vertical="center"/>
    </xf>
    <xf numFmtId="49" fontId="24" fillId="0" borderId="23" xfId="0" applyFont="1" applyBorder="1" applyNumberFormat="1">
      <alignment horizontal="center" vertical="center"/>
    </xf>
    <xf numFmtId="49" fontId="19" fillId="0" borderId="0" xfId="0" applyFont="1" applyNumberFormat="1">
      <alignment vertical="center"/>
    </xf>
    <xf numFmtId="49" fontId="36" fillId="0" borderId="17" xfId="0" applyFont="1" applyBorder="1" applyNumberFormat="1">
      <alignment horizontal="center" vertical="center"/>
    </xf>
    <xf numFmtId="49" fontId="19" fillId="0" borderId="17" xfId="0" applyFont="1" applyBorder="1" applyNumberFormat="1">
      <alignment horizontal="center" vertical="center"/>
    </xf>
    <xf numFmtId="0" fontId="19" fillId="0" borderId="17" xfId="0" applyFont="1" applyBorder="1" applyNumberFormat="1">
      <alignment horizontal="right" vertical="center"/>
    </xf>
    <xf numFmtId="0" fontId="19" fillId="0" borderId="17" xfId="0" applyFont="1" applyBorder="1" applyNumberFormat="1">
      <alignment horizontal="center" vertical="center"/>
    </xf>
    <xf numFmtId="0" fontId="19" fillId="0" borderId="12" xfId="0" applyFont="1" applyBorder="1" applyNumberFormat="1">
      <alignment horizontal="right" vertical="center"/>
    </xf>
    <xf numFmtId="49" fontId="19" fillId="0" borderId="0" xfId="0" applyFont="1" applyNumberFormat="1">
      <alignment vertical="center"/>
    </xf>
    <xf numFmtId="49" fontId="19" fillId="0" borderId="56" xfId="0" applyFont="1" applyBorder="1" applyNumberFormat="1">
      <alignment horizontal="center" vertical="center"/>
    </xf>
    <xf numFmtId="0" fontId="19" fillId="0" borderId="56" xfId="0" applyFont="1" applyBorder="1" applyNumberFormat="1">
      <alignment horizontal="right" vertical="center"/>
    </xf>
    <xf numFmtId="0" fontId="19" fillId="0" borderId="56" xfId="0" applyFont="1" applyBorder="1" applyNumberFormat="1">
      <alignment horizontal="center" vertical="center"/>
    </xf>
    <xf numFmtId="0" fontId="19" fillId="0" borderId="15" xfId="0" applyFont="1" applyBorder="1" applyNumberFormat="1">
      <alignment horizontal="right" vertical="center"/>
    </xf>
    <xf numFmtId="0" fontId="19" fillId="0" borderId="13" xfId="0" applyFont="1" applyBorder="1" applyNumberFormat="1">
      <alignment horizontal="right" vertical="center"/>
    </xf>
    <xf numFmtId="0" fontId="19" fillId="34" borderId="12" xfId="0" applyFont="1" applyFill="1" applyBorder="1" applyNumberFormat="1">
      <alignment horizontal="center" vertical="center"/>
    </xf>
    <xf numFmtId="0" fontId="19" fillId="39" borderId="12" xfId="0" applyFont="1" applyFill="1" applyBorder="1" applyNumberFormat="1">
      <alignment horizontal="left" vertical="center" wrapText="1" indent="1"/>
    </xf>
    <xf numFmtId="0" fontId="19" fillId="38" borderId="12" xfId="0" applyFont="1" applyFill="1" applyBorder="1" applyNumberFormat="1">
      <alignment horizontal="left" vertical="center" wrapText="1" indent="1"/>
      <protection locked="0"/>
    </xf>
    <xf numFmtId="0" fontId="19" fillId="40" borderId="12" xfId="0" applyFont="1" applyFill="1" applyBorder="1" applyNumberFormat="1">
      <alignment horizontal="right" vertical="center"/>
    </xf>
    <xf numFmtId="3" fontId="19" fillId="35" borderId="12" xfId="0" applyFont="1" applyFill="1" applyBorder="1" applyNumberFormat="1">
      <alignment horizontal="right" vertical="center"/>
      <protection locked="0"/>
    </xf>
    <xf numFmtId="4" fontId="19" fillId="35" borderId="12" xfId="0" applyFont="1" applyFill="1" applyBorder="1" applyNumberFormat="1">
      <alignment horizontal="right" vertical="center"/>
      <protection locked="0"/>
    </xf>
    <xf numFmtId="49" fontId="29" fillId="36" borderId="57" xfId="0" applyFont="1" applyFill="1" applyBorder="1" applyNumberFormat="1">
      <alignment horizontal="left" vertical="center" indent="1"/>
    </xf>
    <xf numFmtId="49" fontId="29" fillId="36" borderId="51" xfId="0" applyFont="1" applyFill="1" applyBorder="1" applyNumberFormat="1">
      <alignment horizontal="left" vertical="center" indent="1"/>
    </xf>
    <xf numFmtId="49" fontId="29" fillId="51" borderId="13" xfId="0" applyFont="1" applyFill="1" applyBorder="1" applyNumberFormat="1">
      <alignment horizontal="left" vertical="center" indent="1"/>
    </xf>
    <xf numFmtId="49" fontId="19" fillId="0" borderId="0" xfId="0" applyFont="1" applyNumberFormat="1">
      <alignment vertical="top"/>
    </xf>
    <xf numFmtId="0" fontId="19" fillId="35" borderId="12" xfId="0" applyFont="1" applyFill="1" applyBorder="1" applyNumberFormat="1">
      <alignment horizontal="left" vertical="center" indent="1"/>
      <protection locked="0"/>
    </xf>
    <xf numFmtId="0" fontId="19" fillId="47" borderId="0" xfId="0" applyFont="1" applyFill="1" applyNumberFormat="1">
      <alignment horizontal="left" vertical="center"/>
    </xf>
    <xf numFmtId="49" fontId="19" fillId="39" borderId="12" xfId="0" applyFont="1" applyFill="1" applyBorder="1" applyNumberFormat="1">
      <alignment horizontal="center" vertical="center" wrapText="1"/>
    </xf>
    <xf numFmtId="49" fontId="19" fillId="0" borderId="0" xfId="0" applyFont="1" applyNumberFormat="1">
      <alignment vertical="center" wrapText="1"/>
    </xf>
    <xf numFmtId="0" fontId="19" fillId="34" borderId="12" xfId="0" applyFont="1" applyFill="1" applyBorder="1" applyNumberFormat="1">
      <alignment horizontal="center" vertical="center" wrapText="1"/>
    </xf>
    <xf numFmtId="0" fontId="19" fillId="0" borderId="0" xfId="0" applyFont="1" applyNumberFormat="1">
      <alignment horizontal="right" vertical="center" wrapText="1"/>
    </xf>
    <xf numFmtId="0" fontId="24" fillId="34" borderId="0" xfId="0" applyFont="1" applyFill="1" applyNumberFormat="1">
      <alignment horizontal="center" vertical="center" wrapText="1"/>
    </xf>
    <xf numFmtId="0" fontId="37"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19" fillId="0" borderId="12" xfId="0" applyFont="1" applyBorder="1" applyNumberFormat="1">
      <alignment horizontal="center" vertical="center" wrapText="1"/>
    </xf>
    <xf numFmtId="49" fontId="19" fillId="0" borderId="12" xfId="0" applyFont="1" applyBorder="1" applyNumberFormat="1">
      <alignment horizontal="left" vertical="center" wrapText="1"/>
    </xf>
    <xf numFmtId="0" fontId="19" fillId="0" borderId="12" xfId="0" applyFont="1" applyBorder="1" applyNumberFormat="1">
      <alignment horizontal="left" vertical="center" wrapText="1"/>
    </xf>
    <xf numFmtId="0" fontId="19" fillId="34" borderId="12" xfId="0" applyFont="1" applyFill="1" applyBorder="1" applyNumberFormat="1">
      <alignment horizontal="left" vertical="center" wrapText="1"/>
    </xf>
    <xf numFmtId="0" fontId="25" fillId="34" borderId="0" xfId="0" applyFont="1" applyFill="1" applyNumberFormat="1">
      <alignment horizontal="center"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19" fillId="34" borderId="19" xfId="0" applyFont="1" applyFill="1" applyBorder="1" applyNumberFormat="1">
      <alignment vertical="center" wrapText="1"/>
    </xf>
    <xf numFmtId="49" fontId="37" fillId="0" borderId="0" xfId="0" applyFont="1" applyNumberFormat="1">
      <alignment vertical="top"/>
    </xf>
    <xf numFmtId="0" fontId="37"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3" borderId="12" xfId="0" applyFont="1" applyFill="1" applyBorder="1" applyNumberFormat="1">
      <alignment horizontal="center" vertical="center"/>
    </xf>
    <xf numFmtId="49" fontId="19" fillId="0" borderId="22" xfId="0" applyFont="1" applyBorder="1" applyNumberFormat="1">
      <alignment vertical="top"/>
    </xf>
    <xf numFmtId="0" fontId="19" fillId="0" borderId="22" xfId="0" applyFont="1" applyBorder="1" applyNumberFormat="1">
      <alignment vertical="center" wrapText="1"/>
    </xf>
    <xf numFmtId="4" fontId="0" fillId="35" borderId="12" xfId="0" applyFont="1" applyFill="1" applyBorder="1" applyNumberFormat="1">
      <alignment horizontal="right" vertical="center" wrapText="1"/>
      <protection locked="0"/>
    </xf>
    <xf numFmtId="4" fontId="0" fillId="33"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19" fillId="0" borderId="38" xfId="0" applyFont="1" applyBorder="1" applyNumberFormat="1">
      <alignment vertical="center"/>
    </xf>
    <xf numFmtId="49" fontId="29" fillId="36" borderId="15" xfId="0" applyFont="1" applyFill="1" applyBorder="1" applyNumberFormat="1">
      <alignment horizontal="left" vertical="center" indent="1"/>
    </xf>
    <xf numFmtId="49" fontId="19" fillId="38" borderId="17" xfId="0" applyFont="1" applyFill="1" applyBorder="1" applyNumberFormat="1">
      <alignment horizontal="left" vertical="center" wrapText="1" indent="1"/>
      <protection locked="0"/>
    </xf>
    <xf numFmtId="0" fontId="35" fillId="0" borderId="0" xfId="0" applyFont="1" applyNumberFormat="1">
      <alignment vertical="center" wrapText="1"/>
    </xf>
    <xf numFmtId="0" fontId="19" fillId="34" borderId="27" xfId="0" applyFont="1" applyFill="1" applyBorder="1" applyNumberFormat="1">
      <alignment vertical="center" wrapText="1"/>
    </xf>
    <xf numFmtId="0" fontId="37" fillId="34" borderId="19" xfId="0" applyFont="1" applyFill="1" applyBorder="1" applyNumberFormat="1">
      <alignment horizontal="center" vertical="center" wrapText="1"/>
    </xf>
    <xf numFmtId="49" fontId="63" fillId="0" borderId="0" xfId="0" applyFont="1" applyNumberFormat="1">
      <alignment vertical="center" wrapText="1"/>
    </xf>
    <xf numFmtId="0" fontId="96" fillId="34" borderId="0" xfId="0" applyFont="1" applyFill="1" applyNumberFormat="1">
      <alignment vertical="center" wrapText="1"/>
    </xf>
    <xf numFmtId="0" fontId="62" fillId="0" borderId="0" xfId="0" applyFont="1" applyNumberFormat="1">
      <alignment horizontal="left" vertical="center" wrapText="1"/>
    </xf>
    <xf numFmtId="0" fontId="19" fillId="0" borderId="0" xfId="0" applyFont="1" applyNumberFormat="1">
      <alignment vertical="center"/>
    </xf>
    <xf numFmtId="49" fontId="37" fillId="34" borderId="0" xfId="0" applyFont="1" applyFill="1" applyNumberFormat="1">
      <alignment horizontal="center" vertical="center" wrapText="1"/>
    </xf>
    <xf numFmtId="0" fontId="19" fillId="0" borderId="0" xfId="0" applyFont="1" applyNumberFormat="1">
      <alignment horizontal="left" vertical="center" wrapText="1"/>
    </xf>
    <xf numFmtId="0" fontId="37" fillId="0" borderId="0" xfId="0" applyFont="1" applyNumberFormat="1">
      <alignment vertical="center"/>
    </xf>
    <xf numFmtId="0" fontId="19" fillId="0" borderId="0" xfId="0" applyFont="1" applyNumberFormat="1">
      <alignment horizontal="left" vertical="center" wrapText="1" indent="1"/>
    </xf>
    <xf numFmtId="0" fontId="72" fillId="0" borderId="0" xfId="0" applyFont="1" applyNumberFormat="1">
      <alignment vertical="center" wrapText="1"/>
    </xf>
    <xf numFmtId="0" fontId="19" fillId="0" borderId="0" xfId="0" applyFont="1" applyNumberFormat="1">
      <alignment horizontal="right" vertical="top" wrapText="1"/>
    </xf>
    <xf numFmtId="49" fontId="0" fillId="34" borderId="12" xfId="0" applyFont="1" applyFill="1" applyBorder="1" applyNumberFormat="1">
      <alignment horizontal="center" vertical="center" wrapText="1"/>
    </xf>
    <xf numFmtId="4" fontId="0" fillId="34" borderId="14" xfId="0" applyFont="1" applyFill="1" applyBorder="1" applyNumberFormat="1">
      <alignment horizontal="right" vertical="center"/>
    </xf>
    <xf numFmtId="0" fontId="19" fillId="0" borderId="14" xfId="0" applyFont="1" applyBorder="1" applyNumberFormat="1">
      <alignment horizontal="left" vertical="center" wrapText="1" indent="6"/>
    </xf>
    <xf numFmtId="49" fontId="19" fillId="36" borderId="29" xfId="0" applyFont="1" applyFill="1" applyBorder="1" applyNumberFormat="1">
      <alignment horizontal="center" vertical="center" wrapText="1"/>
    </xf>
    <xf numFmtId="0" fontId="37" fillId="0" borderId="0" xfId="0" applyFont="1" applyNumberFormat="1">
      <alignment vertical="top" wrapText="1"/>
    </xf>
    <xf numFmtId="49" fontId="0" fillId="0" borderId="0" xfId="0" applyFont="1" applyNumberFormat="1">
      <alignment vertical="center" wrapText="1"/>
    </xf>
    <xf numFmtId="0" fontId="97" fillId="34" borderId="0" xfId="0" applyFont="1" applyFill="1" applyNumberFormat="1">
      <alignment vertical="center" wrapText="1"/>
    </xf>
    <xf numFmtId="49" fontId="70" fillId="34" borderId="19" xfId="0" applyFont="1" applyFill="1" applyBorder="1" applyNumberFormat="1">
      <alignment horizontal="center" vertical="center" wrapText="1"/>
    </xf>
    <xf numFmtId="0" fontId="70" fillId="34" borderId="19" xfId="0" applyFont="1" applyFill="1" applyBorder="1" applyNumberFormat="1">
      <alignment horizontal="center" vertical="center" wrapText="1"/>
    </xf>
    <xf numFmtId="49" fontId="19" fillId="0" borderId="0" xfId="0" applyFont="1" applyNumberFormat="1">
      <alignment horizontal="left" vertical="center"/>
    </xf>
    <xf numFmtId="49" fontId="19" fillId="0" borderId="0" xfId="0" applyFont="1" applyNumberFormat="1">
      <alignment horizontal="left" vertical="top"/>
    </xf>
    <xf numFmtId="172" fontId="19" fillId="35" borderId="12" xfId="0" applyFont="1" applyFill="1" applyBorder="1" applyNumberFormat="1">
      <alignment horizontal="right" vertical="center" wrapText="1"/>
      <protection locked="0"/>
    </xf>
    <xf numFmtId="0" fontId="34" fillId="0" borderId="12" xfId="0" applyFont="1" applyBorder="1" applyNumberFormat="1">
      <alignment vertical="top" wrapText="1"/>
    </xf>
    <xf numFmtId="0" fontId="19" fillId="39" borderId="12" xfId="0" applyFont="1" applyFill="1" applyBorder="1" applyNumberFormat="1">
      <alignment horizontal="left" vertical="center" wrapText="1" indent="6"/>
      <protection locked="0"/>
    </xf>
    <xf numFmtId="0" fontId="19" fillId="0" borderId="0" xfId="0" applyFont="1" applyNumberFormat="1">
      <alignment vertical="center"/>
    </xf>
    <xf numFmtId="0" fontId="98" fillId="0" borderId="0" xfId="0" applyFont="1" applyNumberFormat="1">
      <alignment vertical="center"/>
    </xf>
    <xf numFmtId="0" fontId="98" fillId="0" borderId="0" xfId="0" applyFont="1" applyNumberFormat="1">
      <alignment vertical="center"/>
    </xf>
    <xf numFmtId="0" fontId="19" fillId="0" borderId="0" xfId="0" applyFont="1" applyNumberFormat="1">
      <alignment vertical="center"/>
    </xf>
    <xf numFmtId="0" fontId="19" fillId="0" borderId="0" xfId="0" applyFont="1" applyNumberFormat="1">
      <alignment vertical="center"/>
    </xf>
    <xf numFmtId="0" fontId="98" fillId="0" borderId="0" xfId="0" applyFont="1" applyNumberFormat="1">
      <alignment vertical="center"/>
    </xf>
    <xf numFmtId="0" fontId="19" fillId="0" borderId="0" xfId="0" applyFont="1" applyNumberFormat="1">
      <alignment vertical="center"/>
    </xf>
    <xf numFmtId="0" fontId="19" fillId="0" borderId="0" xfId="0" applyFont="1" applyNumberFormat="1">
      <alignment vertical="center"/>
    </xf>
    <xf numFmtId="0" fontId="19" fillId="0" borderId="0" xfId="0" applyFont="1" applyNumberFormat="1">
      <alignment horizontal="left" vertical="center" indent="1"/>
    </xf>
    <xf numFmtId="49" fontId="19" fillId="0" borderId="0" xfId="0" applyFont="1" applyNumberFormat="1">
      <alignment horizontal="left" vertical="center"/>
    </xf>
    <xf numFmtId="49" fontId="99" fillId="36" borderId="15" xfId="0" applyFont="1" applyFill="1" applyBorder="1" applyNumberFormat="1">
      <alignment horizontal="left" vertical="center" indent="3"/>
    </xf>
    <xf numFmtId="49" fontId="63" fillId="36" borderId="15" xfId="0" applyFont="1" applyFill="1" applyBorder="1" applyNumberFormat="1">
      <alignment horizontal="center" vertical="center" wrapText="1"/>
    </xf>
    <xf numFmtId="49" fontId="57" fillId="36" borderId="15" xfId="0" applyFont="1" applyFill="1" applyBorder="1" applyNumberFormat="1">
      <alignment horizontal="center" vertical="center" wrapText="1"/>
    </xf>
    <xf numFmtId="49" fontId="57" fillId="36" borderId="13" xfId="0" applyFont="1" applyFill="1" applyBorder="1" applyNumberFormat="1">
      <alignment horizontal="center" vertical="center" wrapText="1"/>
    </xf>
    <xf numFmtId="49" fontId="99" fillId="36" borderId="15" xfId="0" applyFont="1" applyFill="1" applyBorder="1" applyNumberFormat="1">
      <alignment horizontal="left" vertical="center" indent="2"/>
    </xf>
    <xf numFmtId="49" fontId="99" fillId="36" borderId="15" xfId="0" applyFont="1" applyFill="1" applyBorder="1" applyNumberFormat="1">
      <alignment horizontal="left" vertical="center" indent="1"/>
    </xf>
    <xf numFmtId="49" fontId="99" fillId="36" borderId="15" xfId="0" applyFont="1" applyFill="1" applyBorder="1" applyNumberFormat="1">
      <alignment horizontal="left" vertical="center"/>
    </xf>
    <xf numFmtId="0" fontId="19" fillId="34" borderId="0" xfId="0" applyFont="1" applyFill="1" applyNumberFormat="1">
      <alignment horizontal="left" vertical="center" wrapText="1"/>
    </xf>
    <xf numFmtId="0" fontId="0" fillId="0" borderId="0" xfId="0" applyFont="1" applyNumberFormat="1">
      <alignment horizontal="left" vertical="center"/>
    </xf>
    <xf numFmtId="49" fontId="70" fillId="34" borderId="19" xfId="0" applyFont="1" applyFill="1" applyBorder="1" applyNumberFormat="1">
      <alignment horizontal="left" vertical="center" wrapText="1"/>
    </xf>
    <xf numFmtId="49" fontId="60" fillId="36" borderId="14" xfId="0" applyFont="1" applyFill="1" applyBorder="1" applyNumberFormat="1">
      <alignment horizontal="left" vertical="center"/>
    </xf>
    <xf numFmtId="49" fontId="91" fillId="36" borderId="14" xfId="0" applyFont="1" applyFill="1" applyBorder="1" applyNumberFormat="1">
      <alignment horizontal="left" vertical="center"/>
    </xf>
    <xf numFmtId="49" fontId="57" fillId="36" borderId="14" xfId="0" applyFont="1" applyFill="1" applyBorder="1" applyNumberFormat="1">
      <alignment horizontal="left" vertical="top"/>
    </xf>
    <xf numFmtId="0" fontId="0" fillId="47" borderId="0" xfId="0" applyFont="1" applyFill="1" applyNumberFormat="1">
      <alignment horizontal="right" vertical="center"/>
    </xf>
    <xf numFmtId="0" fontId="37" fillId="0" borderId="12" xfId="0" applyFont="1" applyBorder="1" applyNumberFormat="1">
      <alignment horizontal="center" vertical="center"/>
    </xf>
    <xf numFmtId="0" fontId="0" fillId="0" borderId="0" xfId="0" applyFont="1" applyNumberFormat="1">
      <alignment vertical="center"/>
    </xf>
    <xf numFmtId="0" fontId="19" fillId="0" borderId="12" xfId="0" applyFont="1" applyBorder="1" applyNumberFormat="1">
      <alignment horizontal="center" vertical="center" wrapText="1"/>
    </xf>
    <xf numFmtId="0" fontId="0" fillId="0" borderId="0" xfId="0" applyFont="1" applyNumberFormat="1">
      <alignment horizontal="left" vertical="top" wrapText="1"/>
    </xf>
    <xf numFmtId="49" fontId="19" fillId="0" borderId="0" xfId="0" applyFont="1" applyNumberFormat="1">
      <alignment vertical="center" wrapText="1"/>
    </xf>
    <xf numFmtId="0" fontId="19" fillId="0" borderId="0" xfId="0" applyFont="1" applyNumberFormat="1">
      <alignment horizontal="right" vertical="center" wrapText="1"/>
    </xf>
    <xf numFmtId="0" fontId="19" fillId="0" borderId="0" xfId="0" applyFont="1" applyNumberFormat="1">
      <alignment horizontal="left" vertical="top" wrapText="1"/>
    </xf>
    <xf numFmtId="0" fontId="70" fillId="34" borderId="19" xfId="0" applyFont="1" applyFill="1" applyBorder="1" applyNumberFormat="1">
      <alignment horizontal="center"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0" fontId="0" fillId="0" borderId="12" xfId="0" applyFont="1" applyBorder="1" applyNumberFormat="1">
      <alignment horizontal="center" vertical="center" wrapText="1"/>
    </xf>
    <xf numFmtId="0" fontId="19" fillId="34" borderId="12" xfId="0" applyFont="1" applyFill="1" applyBorder="1" applyNumberFormat="1">
      <alignment horizontal="left" vertical="center" wrapText="1"/>
    </xf>
    <xf numFmtId="49" fontId="19" fillId="0" borderId="12" xfId="0" applyFont="1" applyBorder="1" applyNumberFormat="1">
      <alignment horizontal="left" vertical="center" wrapText="1"/>
    </xf>
    <xf numFmtId="0" fontId="44" fillId="47" borderId="0" xfId="0" applyFont="1" applyFill="1" applyNumberFormat="1">
      <alignment horizontal="left" vertical="center"/>
    </xf>
    <xf numFmtId="49" fontId="19" fillId="0" borderId="20" xfId="0" applyFont="1" applyBorder="1" applyNumberFormat="1">
      <alignment horizontal="left" vertical="center" wrapText="1"/>
    </xf>
    <xf numFmtId="0" fontId="29" fillId="0" borderId="0" xfId="0" applyFont="1" applyNumberFormat="1">
      <alignment horizontal="left" vertical="center"/>
    </xf>
    <xf numFmtId="0" fontId="29" fillId="0" borderId="24" xfId="0" applyFont="1" applyBorder="1" applyNumberFormat="1">
      <alignment horizontal="left" vertical="center"/>
    </xf>
    <xf numFmtId="0" fontId="29" fillId="0" borderId="30" xfId="0" applyFont="1" applyBorder="1" applyNumberFormat="1">
      <alignment horizontal="left" vertical="center"/>
    </xf>
    <xf numFmtId="0" fontId="29" fillId="0" borderId="27" xfId="0" applyFont="1" applyBorder="1" applyNumberFormat="1">
      <alignment horizontal="left" vertical="center"/>
    </xf>
    <xf numFmtId="0" fontId="0" fillId="0" borderId="27" xfId="0" applyFont="1" applyBorder="1" applyNumberFormat="1">
      <alignment vertical="center"/>
    </xf>
    <xf numFmtId="0" fontId="29" fillId="0" borderId="29" xfId="0" applyFont="1" applyBorder="1" applyNumberFormat="1">
      <alignment horizontal="left" vertical="center"/>
    </xf>
    <xf numFmtId="49" fontId="19" fillId="0" borderId="0" xfId="0" applyFont="1" applyNumberFormat="1">
      <alignment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49" fontId="19" fillId="0" borderId="12" xfId="0" applyFont="1" applyBorder="1" applyNumberFormat="1">
      <alignment horizontal="left" vertical="center" wrapText="1"/>
    </xf>
    <xf numFmtId="0" fontId="34" fillId="0" borderId="17" xfId="0" applyFont="1" applyBorder="1" applyNumberFormat="1">
      <alignment vertical="top" wrapText="1"/>
    </xf>
    <xf numFmtId="0" fontId="0" fillId="0" borderId="0" xfId="0" applyFont="1" applyNumberFormat="1">
      <alignment vertical="center"/>
    </xf>
    <xf numFmtId="0" fontId="19" fillId="34" borderId="12" xfId="0" applyFont="1" applyFill="1" applyBorder="1" applyNumberFormat="1">
      <alignment horizontal="left" vertical="center" wrapText="1"/>
    </xf>
    <xf numFmtId="0" fontId="19" fillId="0" borderId="0" xfId="0" applyFont="1" applyNumberFormat="1">
      <alignment horizontal="center" vertical="center"/>
    </xf>
    <xf numFmtId="49" fontId="19" fillId="0" borderId="0" xfId="0" applyFont="1" applyNumberFormat="1">
      <alignment vertical="center" wrapText="1"/>
    </xf>
    <xf numFmtId="0" fontId="70" fillId="34"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37" fillId="0" borderId="0" xfId="0" applyFont="1" applyNumberFormat="1">
      <alignment horizontal="left" vertical="center" indent="1"/>
    </xf>
    <xf numFmtId="0" fontId="37" fillId="0" borderId="0" xfId="0" applyFont="1" applyNumberFormat="1">
      <alignment horizontal="left" vertical="center" wrapText="1"/>
    </xf>
    <xf numFmtId="49" fontId="37" fillId="0" borderId="0" xfId="0" applyFont="1" applyNumberFormat="1">
      <alignment vertical="top"/>
    </xf>
    <xf numFmtId="49" fontId="97" fillId="0" borderId="0" xfId="0" applyFont="1" applyNumberFormat="1">
      <alignment vertical="top"/>
    </xf>
    <xf numFmtId="49" fontId="87" fillId="0" borderId="19" xfId="0" applyFont="1" applyBorder="1" applyNumberFormat="1">
      <alignment horizontal="left" vertical="center"/>
    </xf>
    <xf numFmtId="49" fontId="37" fillId="0" borderId="19" xfId="0" applyFont="1" applyBorder="1" applyNumberFormat="1">
      <alignment horizontal="left" vertical="center" indent="3"/>
    </xf>
    <xf numFmtId="49" fontId="37" fillId="0" borderId="19" xfId="0" applyFont="1" applyBorder="1" applyNumberFormat="1">
      <alignment horizontal="center" vertical="center" wrapText="1"/>
    </xf>
    <xf numFmtId="49" fontId="37" fillId="0" borderId="0" xfId="0" applyFont="1" applyNumberFormat="1">
      <alignment horizontal="left" vertical="center"/>
    </xf>
    <xf numFmtId="49" fontId="87" fillId="0" borderId="0" xfId="0" applyFont="1" applyNumberFormat="1">
      <alignment horizontal="left" vertical="center"/>
    </xf>
    <xf numFmtId="49" fontId="37" fillId="0" borderId="0" xfId="0" applyFont="1" applyNumberFormat="1">
      <alignment horizontal="left" vertical="center" indent="2"/>
    </xf>
    <xf numFmtId="49" fontId="37" fillId="0" borderId="0" xfId="0" applyFont="1" applyNumberFormat="1">
      <alignment horizontal="center" vertical="center" wrapText="1"/>
    </xf>
    <xf numFmtId="49" fontId="37" fillId="0" borderId="0" xfId="0" applyFont="1" applyNumberFormat="1">
      <alignment horizontal="left" vertical="center" indent="1"/>
    </xf>
    <xf numFmtId="0" fontId="0" fillId="0" borderId="0" xfId="0" applyFont="1" applyNumberFormat="1">
      <alignment vertical="center"/>
    </xf>
    <xf numFmtId="0" fontId="19" fillId="0" borderId="0" xfId="0" applyFont="1" applyNumberFormat="1">
      <alignment horizontal="center" vertical="center" wrapText="1"/>
    </xf>
    <xf numFmtId="49" fontId="19" fillId="0" borderId="0" xfId="0" applyFont="1" applyNumberFormat="1">
      <alignment vertical="center" wrapText="1"/>
    </xf>
    <xf numFmtId="0" fontId="36" fillId="0" borderId="0" xfId="0" applyFont="1" applyNumberFormat="1">
      <alignment horizontal="center" vertical="center" wrapText="1"/>
    </xf>
    <xf numFmtId="0" fontId="19" fillId="34" borderId="12" xfId="0" applyFont="1" applyFill="1" applyBorder="1" applyNumberFormat="1">
      <alignment horizontal="center" vertical="center" wrapText="1"/>
    </xf>
    <xf numFmtId="0" fontId="37" fillId="0" borderId="0" xfId="0" applyFont="1" applyNumberFormat="1">
      <alignment horizontal="center" vertical="center" wrapText="1"/>
    </xf>
    <xf numFmtId="0" fontId="19" fillId="0" borderId="0" xfId="0" applyFont="1" applyNumberFormat="1">
      <alignment horizontal="center" vertical="center" wrapText="1"/>
    </xf>
    <xf numFmtId="0" fontId="19" fillId="0" borderId="0" xfId="0" applyFont="1" applyNumberFormat="1">
      <alignment horizontal="left" vertical="top" wrapText="1"/>
    </xf>
    <xf numFmtId="0" fontId="0" fillId="0" borderId="13" xfId="0" applyFont="1" applyBorder="1" applyNumberFormat="1">
      <alignment horizontal="center" vertical="center" wrapText="1"/>
    </xf>
    <xf numFmtId="0" fontId="70" fillId="34" borderId="19" xfId="0" applyFont="1" applyFill="1" applyBorder="1" applyNumberFormat="1">
      <alignment horizontal="center" vertical="center" wrapText="1"/>
    </xf>
    <xf numFmtId="0" fontId="19" fillId="34" borderId="12" xfId="0" applyFont="1" applyFill="1" applyBorder="1" applyNumberFormat="1">
      <alignment horizontal="left" vertical="center" wrapText="1"/>
    </xf>
    <xf numFmtId="49" fontId="19" fillId="34"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37" fillId="0" borderId="0" xfId="0" applyFont="1" applyNumberFormat="1">
      <alignment horizontal="center" vertical="center"/>
    </xf>
    <xf numFmtId="0" fontId="19" fillId="0" borderId="0" xfId="0" applyFont="1" applyNumberFormat="1">
      <alignment horizontal="right" vertical="center" wrapText="1"/>
    </xf>
    <xf numFmtId="0" fontId="70" fillId="34" borderId="0" xfId="0" applyFont="1" applyFill="1" applyNumberFormat="1">
      <alignment horizontal="center" vertical="center" wrapText="1"/>
    </xf>
    <xf numFmtId="49" fontId="19" fillId="0" borderId="12" xfId="0" applyFont="1" applyBorder="1" applyNumberFormat="1">
      <alignment horizontal="left" vertical="center" wrapText="1"/>
    </xf>
    <xf numFmtId="0" fontId="37" fillId="0" borderId="0" xfId="0" applyFont="1" applyNumberFormat="1">
      <alignment horizontal="left" vertical="center" indent="1"/>
    </xf>
    <xf numFmtId="49" fontId="97" fillId="0" borderId="0" xfId="0" applyFont="1" applyNumberFormat="1">
      <alignment vertical="top"/>
    </xf>
    <xf numFmtId="49" fontId="19" fillId="0" borderId="12" xfId="0" applyFont="1" applyBorder="1" applyNumberFormat="1">
      <alignment vertical="center" wrapText="1"/>
    </xf>
    <xf numFmtId="0" fontId="37" fillId="0" borderId="0" xfId="0" applyFont="1" applyNumberFormat="1">
      <alignment horizontal="center" vertical="center"/>
    </xf>
    <xf numFmtId="0" fontId="19" fillId="39" borderId="12" xfId="0" applyFont="1" applyFill="1" applyBorder="1" applyNumberFormat="1">
      <alignment horizontal="left" vertical="center" wrapText="1" indent="6"/>
    </xf>
    <xf numFmtId="4" fontId="19" fillId="0" borderId="17" xfId="0" applyFont="1" applyBorder="1" applyNumberFormat="1">
      <alignment horizontal="right" vertical="center" wrapText="1"/>
    </xf>
    <xf numFmtId="4" fontId="19" fillId="0" borderId="23" xfId="0" applyFont="1" applyBorder="1" applyNumberFormat="1">
      <alignment horizontal="right" vertical="center" wrapText="1"/>
    </xf>
    <xf numFmtId="0" fontId="0" fillId="0" borderId="0" xfId="0" applyFont="1" applyNumberFormat="1">
      <alignment vertical="center"/>
    </xf>
    <xf numFmtId="49" fontId="19" fillId="0" borderId="0" xfId="0" applyFont="1" applyNumberFormat="1">
      <alignment vertical="center" wrapText="1"/>
    </xf>
    <xf numFmtId="0" fontId="19" fillId="0" borderId="17" xfId="0" applyFont="1" applyBorder="1" applyNumberFormat="1">
      <alignment horizontal="center" vertical="center" wrapText="1"/>
    </xf>
    <xf numFmtId="0" fontId="70" fillId="34" borderId="19" xfId="0" applyFont="1" applyFill="1" applyBorder="1" applyNumberFormat="1">
      <alignment horizontal="center" vertical="center" wrapText="1"/>
    </xf>
    <xf numFmtId="0" fontId="37" fillId="0" borderId="0" xfId="0" applyFont="1" applyNumberFormat="1">
      <alignment horizontal="center" vertical="center" wrapText="1"/>
    </xf>
    <xf numFmtId="0" fontId="19" fillId="0" borderId="0" xfId="0" applyFont="1" applyNumberFormat="1">
      <alignment horizontal="right" vertical="center" wrapText="1"/>
    </xf>
    <xf numFmtId="0" fontId="19" fillId="0" borderId="0" xfId="0" applyFont="1" applyNumberFormat="1">
      <alignment horizontal="center" vertical="center" wrapText="1"/>
    </xf>
    <xf numFmtId="0" fontId="0" fillId="0" borderId="12" xfId="0" applyFont="1" applyBorder="1" applyNumberFormat="1">
      <alignment horizontal="center" vertical="center" wrapText="1"/>
    </xf>
    <xf numFmtId="0" fontId="19" fillId="34" borderId="12" xfId="0" applyFont="1" applyFill="1" applyBorder="1" applyNumberFormat="1">
      <alignment horizontal="left" vertical="center" wrapText="1"/>
    </xf>
    <xf numFmtId="49" fontId="19" fillId="0" borderId="12" xfId="0" applyFont="1" applyBorder="1" applyNumberFormat="1">
      <alignment horizontal="left" vertical="center" wrapText="1"/>
    </xf>
    <xf numFmtId="4" fontId="36" fillId="0" borderId="12" xfId="0" applyFont="1" applyBorder="1" applyNumberFormat="1">
      <alignment horizontal="right" vertical="center" wrapText="1"/>
    </xf>
    <xf numFmtId="172" fontId="36" fillId="0" borderId="12" xfId="0" applyFont="1" applyBorder="1" applyNumberFormat="1">
      <alignment horizontal="right" vertical="center" wrapText="1"/>
    </xf>
    <xf numFmtId="49" fontId="36" fillId="0" borderId="0" xfId="0" applyFont="1" applyNumberFormat="1">
      <alignment vertical="center" wrapText="1"/>
    </xf>
    <xf numFmtId="0" fontId="36" fillId="0" borderId="0" xfId="0" applyFont="1" applyNumberFormat="1">
      <alignment horizontal="left" vertical="center" indent="1"/>
    </xf>
    <xf numFmtId="0" fontId="36" fillId="0" borderId="0" xfId="0" applyFont="1" applyNumberFormat="1">
      <alignment horizontal="center" vertical="center"/>
    </xf>
    <xf numFmtId="0" fontId="36" fillId="0" borderId="0" xfId="0" applyFont="1" applyNumberFormat="1">
      <alignment horizontal="left" vertical="center" wrapText="1"/>
    </xf>
    <xf numFmtId="0" fontId="36" fillId="0" borderId="0" xfId="0" applyFont="1" applyNumberFormat="1">
      <alignment vertical="center" wrapText="1"/>
    </xf>
    <xf numFmtId="49" fontId="36" fillId="0" borderId="12" xfId="0" applyFont="1" applyBorder="1" applyNumberFormat="1">
      <alignment vertical="center" wrapText="1"/>
    </xf>
    <xf numFmtId="0" fontId="36" fillId="0" borderId="0" xfId="0" applyFont="1" applyNumberFormat="1">
      <alignment vertical="center"/>
    </xf>
    <xf numFmtId="0" fontId="36" fillId="0" borderId="0" xfId="0" applyFont="1" applyNumberFormat="1">
      <alignment horizontal="center" vertical="center"/>
    </xf>
    <xf numFmtId="0" fontId="36" fillId="0" borderId="0" xfId="0" applyFont="1" applyNumberFormat="1">
      <alignment vertical="center"/>
    </xf>
    <xf numFmtId="0" fontId="59" fillId="0" borderId="0" xfId="0" applyFont="1" applyNumberFormat="1">
      <alignment vertical="center" wrapText="1"/>
    </xf>
    <xf numFmtId="0" fontId="0" fillId="0" borderId="15" xfId="0" applyFont="1" applyBorder="1" applyNumberFormat="1">
      <alignment vertical="center"/>
    </xf>
    <xf numFmtId="0" fontId="37" fillId="0" borderId="12" xfId="0" applyFont="1" applyBorder="1" applyNumberFormat="1">
      <alignment horizontal="center" vertical="center" wrapText="1"/>
    </xf>
    <xf numFmtId="0" fontId="63" fillId="0" borderId="0" xfId="0" applyFont="1" applyNumberFormat="1">
      <alignment horizontal="left" vertical="center" indent="1"/>
    </xf>
    <xf numFmtId="0" fontId="63" fillId="0" borderId="0" xfId="0" applyFont="1" applyNumberFormat="1">
      <alignment horizontal="left" vertical="center" indent="1"/>
    </xf>
    <xf numFmtId="0" fontId="37" fillId="0" borderId="12" xfId="0" applyFont="1" applyBorder="1" applyNumberFormat="1">
      <alignment vertical="center" wrapText="1"/>
    </xf>
    <xf numFmtId="0" fontId="63" fillId="0" borderId="0" xfId="0" applyFont="1" applyNumberFormat="1">
      <alignment horizontal="center" vertical="center"/>
    </xf>
    <xf numFmtId="0" fontId="63" fillId="0" borderId="0" xfId="0" applyFont="1" applyNumberFormat="1">
      <alignment horizontal="left" vertical="center" wrapText="1"/>
    </xf>
    <xf numFmtId="49" fontId="63" fillId="0" borderId="0" xfId="0" applyFont="1" applyNumberFormat="1">
      <alignment horizontal="left" vertical="center"/>
    </xf>
    <xf numFmtId="0" fontId="19" fillId="0" borderId="0" xfId="0" applyFont="1" applyNumberFormat="1">
      <alignment horizontal="center" vertical="center"/>
    </xf>
    <xf numFmtId="0" fontId="63" fillId="0" borderId="0" xfId="0" applyFont="1" applyNumberFormat="1">
      <alignment horizontal="center" vertical="center"/>
    </xf>
    <xf numFmtId="4" fontId="19" fillId="0" borderId="13" xfId="0" applyFont="1" applyBorder="1" applyNumberFormat="1">
      <alignment horizontal="right" vertical="center" wrapText="1"/>
    </xf>
    <xf numFmtId="0" fontId="37" fillId="0" borderId="12" xfId="0" applyFont="1" applyBorder="1" applyNumberFormat="1">
      <alignment horizontal="left" vertical="center" wrapText="1" indent="4"/>
    </xf>
    <xf numFmtId="0" fontId="37" fillId="0" borderId="12" xfId="0" applyFont="1" applyBorder="1" applyNumberFormat="1">
      <alignment horizontal="left" vertical="center" wrapText="1" indent="6"/>
    </xf>
    <xf numFmtId="0" fontId="37" fillId="0" borderId="12" xfId="0" applyFont="1" applyBorder="1" applyNumberFormat="1">
      <alignment vertical="top" wrapText="1"/>
    </xf>
    <xf numFmtId="49" fontId="87" fillId="0" borderId="14" xfId="0" applyFont="1" applyBorder="1" applyNumberFormat="1">
      <alignment horizontal="left" vertical="center"/>
    </xf>
    <xf numFmtId="49" fontId="37" fillId="0" borderId="15" xfId="0" applyFont="1" applyBorder="1" applyNumberFormat="1">
      <alignment horizontal="left" vertical="center" indent="4"/>
    </xf>
    <xf numFmtId="49" fontId="37" fillId="0" borderId="15" xfId="0" applyFont="1" applyBorder="1" applyNumberFormat="1">
      <alignment horizontal="center" vertical="center" wrapText="1"/>
    </xf>
    <xf numFmtId="49" fontId="37" fillId="0" borderId="13" xfId="0" applyFont="1" applyBorder="1" applyNumberFormat="1">
      <alignment horizontal="center" vertical="center" wrapText="1"/>
    </xf>
    <xf numFmtId="4" fontId="19" fillId="0" borderId="36" xfId="0" applyFont="1" applyBorder="1" applyNumberFormat="1">
      <alignment horizontal="right" vertical="center" wrapText="1"/>
    </xf>
    <xf numFmtId="0" fontId="19" fillId="35" borderId="12" xfId="0" applyFont="1" applyFill="1" applyBorder="1" applyNumberFormat="1">
      <alignment horizontal="left" vertical="center" wrapText="1" indent="7"/>
      <protection locked="0"/>
    </xf>
    <xf numFmtId="0" fontId="19" fillId="36" borderId="15" xfId="0" applyFont="1" applyFill="1" applyBorder="1" applyNumberFormat="1">
      <alignment horizontal="left" vertical="center" wrapText="1" indent="6"/>
    </xf>
    <xf numFmtId="4" fontId="19" fillId="36" borderId="15" xfId="0" applyFont="1" applyFill="1" applyBorder="1" applyNumberFormat="1">
      <alignment horizontal="right" vertical="center" wrapText="1"/>
    </xf>
    <xf numFmtId="4" fontId="37" fillId="36" borderId="15" xfId="0" applyFont="1" applyFill="1" applyBorder="1" applyNumberFormat="1">
      <alignment horizontal="center" vertical="center" wrapText="1"/>
    </xf>
    <xf numFmtId="4" fontId="19" fillId="36" borderId="13" xfId="0" applyFont="1" applyFill="1" applyBorder="1" applyNumberFormat="1">
      <alignment horizontal="right" vertical="center" wrapText="1"/>
    </xf>
    <xf numFmtId="4" fontId="37" fillId="36" borderId="13" xfId="0" applyFont="1" applyFill="1" applyBorder="1" applyNumberFormat="1">
      <alignment horizontal="center" vertical="center" wrapText="1"/>
    </xf>
    <xf numFmtId="172" fontId="19" fillId="36" borderId="13" xfId="0" applyFont="1" applyFill="1" applyBorder="1" applyNumberFormat="1">
      <alignment horizontal="right" vertical="center" wrapText="1"/>
    </xf>
    <xf numFmtId="0" fontId="19" fillId="39" borderId="12" xfId="0" applyFont="1" applyFill="1" applyBorder="1" applyNumberFormat="1">
      <alignment horizontal="left" vertical="center" wrapText="1" indent="1"/>
    </xf>
    <xf numFmtId="0" fontId="37" fillId="0" borderId="12" xfId="0" applyFont="1" applyBorder="1" applyNumberFormat="1">
      <alignment horizontal="left" vertical="center" wrapText="1" indent="5"/>
    </xf>
    <xf numFmtId="49" fontId="63" fillId="0" borderId="24" xfId="0" applyFont="1" applyBorder="1" applyNumberFormat="1">
      <alignment vertical="top"/>
    </xf>
    <xf numFmtId="49" fontId="37" fillId="0" borderId="24" xfId="0" applyFont="1" applyBorder="1" applyNumberFormat="1">
      <alignment vertical="top"/>
    </xf>
    <xf numFmtId="0" fontId="19" fillId="0" borderId="12" xfId="0" applyFont="1" applyBorder="1" applyNumberFormat="1">
      <alignment horizontal="left" vertical="center" wrapText="1" indent="1"/>
    </xf>
    <xf numFmtId="4" fontId="37" fillId="0" borderId="12" xfId="0" applyFont="1" applyBorder="1" applyNumberFormat="1">
      <alignment horizontal="right" vertical="center" wrapText="1"/>
    </xf>
    <xf numFmtId="172" fontId="37" fillId="0" borderId="12" xfId="0" applyFont="1" applyBorder="1" applyNumberFormat="1">
      <alignment horizontal="right" vertical="center" wrapText="1"/>
    </xf>
    <xf numFmtId="172" fontId="19" fillId="35" borderId="14" xfId="0" applyFont="1" applyFill="1" applyBorder="1" applyNumberFormat="1">
      <alignment horizontal="right" vertical="center" wrapText="1"/>
      <protection locked="0"/>
    </xf>
    <xf numFmtId="4" fontId="37" fillId="0" borderId="14" xfId="0" applyFont="1" applyBorder="1" applyNumberFormat="1">
      <alignment horizontal="center" vertical="center" wrapText="1"/>
    </xf>
    <xf numFmtId="4" fontId="19" fillId="35" borderId="13" xfId="0" applyFont="1" applyFill="1" applyBorder="1" applyNumberFormat="1">
      <alignment horizontal="right" vertical="center" wrapText="1"/>
      <protection locked="0"/>
    </xf>
    <xf numFmtId="49" fontId="19" fillId="36" borderId="27" xfId="0" applyFont="1" applyFill="1" applyBorder="1" applyNumberFormat="1">
      <alignment horizontal="center" vertical="center" wrapText="1"/>
    </xf>
    <xf numFmtId="49" fontId="36" fillId="0" borderId="0" xfId="0" applyFont="1" applyNumberFormat="1">
      <alignment vertical="center" wrapText="1"/>
    </xf>
    <xf numFmtId="0" fontId="36" fillId="0" borderId="0" xfId="0" applyFont="1" applyNumberFormat="1">
      <alignment horizontal="center" vertical="center" wrapText="1"/>
    </xf>
    <xf numFmtId="0" fontId="46" fillId="34" borderId="0" xfId="0" applyFont="1" applyFill="1" applyNumberFormat="1">
      <alignment horizontal="center" vertical="center" wrapText="1"/>
    </xf>
    <xf numFmtId="0" fontId="46" fillId="0" borderId="0" xfId="0" applyFont="1" applyNumberFormat="1">
      <alignment vertical="center" wrapText="1"/>
    </xf>
    <xf numFmtId="0" fontId="37" fillId="0" borderId="0" xfId="0" applyFont="1" applyNumberFormat="1">
      <alignment vertical="center"/>
    </xf>
    <xf numFmtId="0" fontId="38" fillId="0" borderId="0" xfId="0" applyFont="1" applyNumberFormat="1">
      <alignment vertical="center"/>
    </xf>
    <xf numFmtId="0" fontId="37" fillId="0" borderId="0" xfId="0" applyFont="1" applyNumberFormat="1">
      <alignment vertical="center"/>
    </xf>
    <xf numFmtId="0" fontId="37" fillId="0" borderId="0" xfId="0" applyFont="1" applyNumberFormat="1">
      <alignment vertical="center"/>
    </xf>
    <xf numFmtId="0" fontId="0" fillId="0" borderId="0" xfId="0" applyFont="1" applyNumberFormat="1">
      <alignment vertical="center"/>
    </xf>
    <xf numFmtId="49" fontId="19" fillId="0" borderId="0" xfId="0" applyFont="1" applyNumberFormat="1">
      <alignment horizontal="center" vertical="center" wrapText="1"/>
    </xf>
    <xf numFmtId="49" fontId="0" fillId="0" borderId="19" xfId="0" applyFont="1" applyBorder="1" applyNumberFormat="1">
      <alignment horizontal="left" vertical="center" wrapText="1"/>
    </xf>
    <xf numFmtId="49" fontId="19" fillId="0" borderId="19" xfId="0" applyFont="1" applyBorder="1" applyNumberFormat="1">
      <alignment horizontal="center" vertical="center" wrapText="1"/>
    </xf>
    <xf numFmtId="0" fontId="36" fillId="0" borderId="0" xfId="0" applyFont="1" applyNumberFormat="1">
      <alignment horizontal="center" vertical="center" wrapText="1"/>
    </xf>
    <xf numFmtId="0" fontId="37" fillId="0" borderId="0" xfId="0" applyFont="1" applyNumberFormat="1">
      <alignment horizontal="center" vertical="center" wrapText="1"/>
    </xf>
    <xf numFmtId="0" fontId="19" fillId="0" borderId="0" xfId="0" applyFont="1" applyNumberFormat="1">
      <alignment horizontal="center" vertical="center" wrapText="1"/>
    </xf>
    <xf numFmtId="49" fontId="19" fillId="0" borderId="12" xfId="0" applyFont="1" applyBorder="1" applyNumberFormat="1">
      <alignment horizontal="left" vertical="center" wrapText="1"/>
    </xf>
    <xf numFmtId="0" fontId="19" fillId="34" borderId="12" xfId="0" applyFont="1" applyFill="1" applyBorder="1" applyNumberFormat="1">
      <alignment horizontal="left" vertical="center" wrapText="1"/>
    </xf>
    <xf numFmtId="0" fontId="37" fillId="0" borderId="0" xfId="0" applyFont="1" applyNumberFormat="1">
      <alignment horizontal="center" vertical="center"/>
    </xf>
    <xf numFmtId="49" fontId="19" fillId="0" borderId="0" xfId="0" applyFont="1" applyNumberFormat="1">
      <alignment horizontal="center" vertical="top"/>
    </xf>
    <xf numFmtId="49" fontId="20" fillId="0" borderId="0" xfId="0" applyFont="1" applyNumberFormat="1">
      <alignment horizontal="center" vertical="center"/>
    </xf>
    <xf numFmtId="0" fontId="0" fillId="0" borderId="0" xfId="0" applyFont="1" applyNumberFormat="1">
      <alignment horizontal="left" vertical="center"/>
    </xf>
    <xf numFmtId="0" fontId="4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29" fillId="36" borderId="29" xfId="0" applyFont="1" applyFill="1" applyBorder="1" applyNumberFormat="1">
      <alignment horizontal="left" vertical="center"/>
    </xf>
    <xf numFmtId="49" fontId="37" fillId="0" borderId="14" xfId="0" applyFont="1" applyBorder="1" applyNumberFormat="1">
      <alignment horizontal="left" vertical="center" wrapText="1"/>
    </xf>
    <xf numFmtId="0" fontId="37" fillId="0" borderId="14" xfId="0" applyFont="1" applyBorder="1" applyNumberFormat="1">
      <alignment horizontal="left" vertical="center"/>
    </xf>
    <xf numFmtId="0" fontId="37" fillId="0" borderId="15" xfId="0" applyFont="1" applyBorder="1" applyNumberFormat="1">
      <alignment horizontal="left" vertical="center"/>
    </xf>
    <xf numFmtId="49" fontId="19" fillId="35" borderId="12" xfId="0" applyFont="1" applyFill="1" applyBorder="1" applyNumberFormat="1">
      <alignment horizontal="left" vertical="center" wrapText="1" indent="6"/>
      <protection locked="0"/>
    </xf>
    <xf numFmtId="4" fontId="19" fillId="0" borderId="37" xfId="0" applyFont="1" applyBorder="1" applyNumberFormat="1">
      <alignment horizontal="right" vertical="center" wrapText="1"/>
    </xf>
    <xf numFmtId="4" fontId="19" fillId="0" borderId="30" xfId="0" applyFont="1" applyBorder="1" applyNumberFormat="1">
      <alignment horizontal="right" vertical="center" wrapText="1"/>
    </xf>
    <xf numFmtId="49" fontId="0" fillId="36" borderId="29" xfId="0" applyFont="1" applyFill="1" applyBorder="1" applyNumberFormat="1">
      <alignment horizontal="center" vertical="center" wrapText="1"/>
    </xf>
    <xf numFmtId="0" fontId="0" fillId="0" borderId="0" xfId="0" applyFont="1" applyNumberFormat="1">
      <alignment vertical="center"/>
    </xf>
    <xf numFmtId="0" fontId="100" fillId="0" borderId="0" xfId="0" applyFont="1" applyNumberFormat="1">
      <alignment vertical="center" wrapText="1"/>
    </xf>
    <xf numFmtId="49" fontId="19" fillId="0" borderId="19" xfId="0" applyFont="1" applyBorder="1" applyNumberFormat="1">
      <alignment horizontal="center" vertical="center" wrapText="1"/>
    </xf>
    <xf numFmtId="49" fontId="19" fillId="0" borderId="0" xfId="0" applyFont="1" applyNumberFormat="1">
      <alignment horizontal="center" vertical="center" wrapText="1"/>
    </xf>
    <xf numFmtId="49" fontId="0" fillId="0" borderId="19" xfId="0" applyFont="1" applyBorder="1" applyNumberFormat="1">
      <alignment horizontal="left" vertical="center" wrapText="1"/>
    </xf>
    <xf numFmtId="49" fontId="19" fillId="0" borderId="0" xfId="0" applyFont="1" applyNumberFormat="1">
      <alignment vertical="center" wrapText="1"/>
    </xf>
    <xf numFmtId="0" fontId="36" fillId="0" borderId="0" xfId="0" applyFont="1" applyNumberFormat="1">
      <alignment horizontal="center" vertical="center" wrapText="1"/>
    </xf>
    <xf numFmtId="0" fontId="19" fillId="34" borderId="12" xfId="0" applyFont="1" applyFill="1" applyBorder="1" applyNumberFormat="1">
      <alignment horizontal="center" vertical="center" wrapText="1"/>
    </xf>
    <xf numFmtId="0" fontId="19" fillId="0" borderId="0" xfId="0" applyFont="1" applyNumberFormat="1">
      <alignment horizontal="left" vertical="top" wrapText="1"/>
    </xf>
    <xf numFmtId="0" fontId="37" fillId="0" borderId="0" xfId="0" applyFont="1" applyNumberFormat="1">
      <alignment horizontal="center" vertical="center" wrapText="1"/>
    </xf>
    <xf numFmtId="0" fontId="70" fillId="34" borderId="19" xfId="0" applyFont="1" applyFill="1" applyBorder="1" applyNumberFormat="1">
      <alignment horizontal="center" vertical="center" wrapText="1"/>
    </xf>
    <xf numFmtId="0" fontId="19" fillId="0" borderId="17" xfId="0" applyFont="1" applyBorder="1" applyNumberFormat="1">
      <alignment horizontal="center" vertical="center" wrapText="1"/>
    </xf>
    <xf numFmtId="0" fontId="19" fillId="0" borderId="0" xfId="0" applyFont="1" applyNumberFormat="1">
      <alignment horizontal="center" vertical="center" wrapText="1"/>
    </xf>
    <xf numFmtId="0" fontId="19" fillId="0" borderId="0" xfId="0" applyFont="1" applyNumberFormat="1">
      <alignment horizontal="right" vertical="center" wrapText="1"/>
    </xf>
    <xf numFmtId="0" fontId="0" fillId="0" borderId="12" xfId="0" applyFont="1" applyBorder="1" applyNumberFormat="1">
      <alignment horizontal="center" vertical="center" wrapText="1"/>
    </xf>
    <xf numFmtId="49" fontId="19" fillId="0" borderId="12" xfId="0" applyFont="1" applyBorder="1" applyNumberFormat="1">
      <alignment horizontal="left" vertical="center" wrapText="1"/>
    </xf>
    <xf numFmtId="0" fontId="19" fillId="34" borderId="12" xfId="0" applyFont="1" applyFill="1" applyBorder="1" applyNumberFormat="1">
      <alignment horizontal="left" vertical="center" wrapText="1"/>
    </xf>
    <xf numFmtId="0" fontId="37" fillId="0" borderId="0" xfId="0" applyFont="1" applyNumberFormat="1">
      <alignment horizontal="center" vertical="center"/>
    </xf>
    <xf numFmtId="49" fontId="19" fillId="39" borderId="12" xfId="0" applyFont="1" applyFill="1" applyBorder="1" applyNumberFormat="1">
      <alignment horizontal="center" vertical="center" wrapText="1"/>
    </xf>
    <xf numFmtId="49" fontId="37" fillId="0" borderId="12" xfId="0" applyFont="1" applyBorder="1" applyNumberFormat="1">
      <alignment horizontal="center" vertical="center" wrapText="1"/>
    </xf>
    <xf numFmtId="0" fontId="36" fillId="0" borderId="0" xfId="0" applyFont="1" applyNumberFormat="1">
      <alignment horizontal="center" vertical="center" wrapText="1"/>
    </xf>
    <xf numFmtId="0" fontId="37" fillId="0" borderId="0" xfId="0" applyFont="1" applyNumberFormat="1">
      <alignment horizontal="center" vertical="center" wrapText="1"/>
    </xf>
    <xf numFmtId="49" fontId="19" fillId="34" borderId="12" xfId="0" applyFont="1" applyFill="1" applyBorder="1" applyNumberFormat="1">
      <alignment horizontal="center" vertical="center" wrapText="1"/>
    </xf>
    <xf numFmtId="0" fontId="37" fillId="0" borderId="0" xfId="0" applyFont="1" applyNumberFormat="1">
      <alignment horizontal="center" vertical="center"/>
    </xf>
    <xf numFmtId="0" fontId="19" fillId="34" borderId="12" xfId="0" applyFont="1" applyFill="1" applyBorder="1" applyNumberFormat="1">
      <alignment horizontal="left" vertical="center" wrapText="1"/>
    </xf>
    <xf numFmtId="49" fontId="19" fillId="38" borderId="12" xfId="0" applyFont="1" applyFill="1" applyBorder="1" applyNumberFormat="1">
      <alignment horizontal="left" vertical="center" wrapText="1" indent="1"/>
      <protection locked="0"/>
    </xf>
    <xf numFmtId="0" fontId="0" fillId="0" borderId="0" xfId="0" applyFont="1" applyNumberFormat="1">
      <alignment vertical="center"/>
    </xf>
    <xf numFmtId="0" fontId="19" fillId="0" borderId="0" xfId="0" applyFont="1" applyNumberFormat="1">
      <alignment horizontal="center" vertical="center" wrapText="1"/>
    </xf>
    <xf numFmtId="49" fontId="19" fillId="39" borderId="12" xfId="0" applyFont="1" applyFill="1" applyBorder="1" applyNumberFormat="1">
      <alignment horizontal="center" vertical="center" wrapText="1"/>
    </xf>
    <xf numFmtId="49" fontId="19" fillId="0" borderId="19" xfId="0" applyFont="1" applyBorder="1" applyNumberFormat="1">
      <alignment horizontal="center" vertical="center" wrapText="1"/>
    </xf>
    <xf numFmtId="49" fontId="19" fillId="0" borderId="0" xfId="0" applyFont="1" applyNumberFormat="1">
      <alignment horizontal="center" vertical="center" wrapText="1"/>
    </xf>
    <xf numFmtId="49" fontId="0" fillId="0" borderId="19" xfId="0" applyFont="1" applyBorder="1" applyNumberFormat="1">
      <alignment horizontal="left" vertical="center" wrapText="1"/>
    </xf>
    <xf numFmtId="49" fontId="19" fillId="0" borderId="0" xfId="0" applyFont="1" applyNumberFormat="1">
      <alignment vertical="center" wrapText="1"/>
    </xf>
    <xf numFmtId="49" fontId="19" fillId="34" borderId="12" xfId="0" applyFont="1" applyFill="1" applyBorder="1" applyNumberFormat="1">
      <alignment horizontal="center" vertical="center" wrapText="1"/>
    </xf>
    <xf numFmtId="0" fontId="37" fillId="34" borderId="0" xfId="0" applyFont="1" applyFill="1" applyNumberFormat="1">
      <alignment horizontal="center" vertical="center" wrapText="1"/>
    </xf>
    <xf numFmtId="0" fontId="0" fillId="34" borderId="12" xfId="0" applyFont="1" applyFill="1" applyBorder="1" applyNumberFormat="1">
      <alignment horizontal="center" vertical="center" wrapText="1"/>
    </xf>
    <xf numFmtId="0" fontId="19" fillId="34" borderId="24" xfId="0" applyFont="1" applyFill="1" applyBorder="1" applyNumberFormat="1">
      <alignment horizontal="center" vertical="center" wrapText="1"/>
    </xf>
    <xf numFmtId="0" fontId="36" fillId="0" borderId="0" xfId="0" applyFont="1" applyNumberFormat="1">
      <alignment horizontal="center" vertical="center" wrapText="1"/>
    </xf>
    <xf numFmtId="0" fontId="19" fillId="34" borderId="12" xfId="0" applyFont="1" applyFill="1" applyBorder="1" applyNumberFormat="1">
      <alignment horizontal="center" vertical="center" wrapText="1"/>
    </xf>
    <xf numFmtId="0" fontId="19" fillId="0" borderId="0" xfId="0" applyFont="1" applyNumberFormat="1">
      <alignment horizontal="left" vertical="top" wrapText="1"/>
    </xf>
    <xf numFmtId="0" fontId="37" fillId="0" borderId="0" xfId="0" applyFont="1" applyNumberFormat="1">
      <alignment horizontal="center" vertical="center" wrapText="1"/>
    </xf>
    <xf numFmtId="0" fontId="70" fillId="34" borderId="19" xfId="0" applyFont="1" applyFill="1" applyBorder="1" applyNumberFormat="1">
      <alignment horizontal="center" vertical="center" wrapText="1"/>
    </xf>
    <xf numFmtId="0" fontId="19" fillId="0" borderId="17" xfId="0" applyFont="1" applyBorder="1" applyNumberFormat="1">
      <alignment horizontal="center" vertical="center" wrapText="1"/>
    </xf>
    <xf numFmtId="0" fontId="19" fillId="0" borderId="12" xfId="0" applyFont="1" applyBorder="1" applyNumberFormat="1">
      <alignment horizontal="center" vertical="center" wrapText="1"/>
    </xf>
    <xf numFmtId="49" fontId="37" fillId="0" borderId="12" xfId="0" applyFont="1" applyBorder="1" applyNumberFormat="1">
      <alignment horizontal="center" vertical="center" wrapText="1"/>
    </xf>
    <xf numFmtId="49" fontId="19" fillId="34" borderId="12" xfId="0" applyFont="1" applyFill="1" applyBorder="1" applyNumberFormat="1">
      <alignment horizontal="center" vertical="center" wrapText="1"/>
    </xf>
    <xf numFmtId="0" fontId="19" fillId="0" borderId="0" xfId="0" applyFont="1" applyNumberFormat="1">
      <alignment horizontal="center" vertical="center" wrapText="1"/>
    </xf>
    <xf numFmtId="0" fontId="19" fillId="0" borderId="0" xfId="0" applyFont="1" applyNumberFormat="1">
      <alignment horizontal="right" vertical="center" wrapText="1"/>
    </xf>
    <xf numFmtId="0" fontId="0" fillId="0" borderId="12" xfId="0" applyFont="1" applyBorder="1" applyNumberFormat="1">
      <alignment horizontal="center" vertical="center" wrapText="1"/>
    </xf>
    <xf numFmtId="49" fontId="19" fillId="0" borderId="12" xfId="0" applyFont="1" applyBorder="1" applyNumberFormat="1">
      <alignment horizontal="left" vertical="center" wrapText="1"/>
    </xf>
    <xf numFmtId="49" fontId="19" fillId="39" borderId="12" xfId="0" applyFont="1" applyFill="1" applyBorder="1" applyNumberFormat="1">
      <alignment horizontal="left" vertical="center" wrapText="1"/>
    </xf>
    <xf numFmtId="49" fontId="19" fillId="38" borderId="12" xfId="0" applyFont="1" applyFill="1" applyBorder="1" applyNumberFormat="1">
      <alignment horizontal="left" vertical="center" wrapText="1" indent="1"/>
      <protection locked="0"/>
    </xf>
    <xf numFmtId="0" fontId="19" fillId="34" borderId="12" xfId="0" applyFont="1" applyFill="1" applyBorder="1" applyNumberFormat="1">
      <alignment horizontal="left" vertical="center" wrapText="1"/>
    </xf>
    <xf numFmtId="0" fontId="37" fillId="0" borderId="0" xfId="0" applyFont="1" applyNumberFormat="1">
      <alignment horizontal="center" vertical="center"/>
    </xf>
    <xf numFmtId="0" fontId="25" fillId="0" borderId="0" xfId="0" applyFont="1" applyNumberFormat="1">
      <alignment horizontal="center" vertical="center" wrapText="1"/>
    </xf>
    <xf numFmtId="172" fontId="19" fillId="36" borderId="15" xfId="0" applyFont="1" applyFill="1" applyBorder="1" applyNumberFormat="1">
      <alignment horizontal="right" vertical="center" wrapText="1"/>
    </xf>
    <xf numFmtId="0" fontId="101" fillId="0" borderId="0" xfId="0" applyFont="1" applyNumberFormat="1">
      <alignment vertical="center" wrapText="1"/>
    </xf>
    <xf numFmtId="0" fontId="101" fillId="34" borderId="0" xfId="0" applyFont="1" applyFill="1" applyNumberFormat="1">
      <alignment horizontal="center" vertical="center" wrapText="1"/>
    </xf>
    <xf numFmtId="0" fontId="37" fillId="34" borderId="12" xfId="0" applyFont="1" applyFill="1" applyBorder="1" applyNumberFormat="1">
      <alignment horizontal="left" vertical="center" wrapText="1" indent="3"/>
    </xf>
    <xf numFmtId="49" fontId="29" fillId="36" borderId="27" xfId="0" applyFont="1" applyFill="1" applyBorder="1" applyNumberFormat="1">
      <alignment horizontal="left" vertical="center"/>
    </xf>
    <xf numFmtId="0" fontId="101" fillId="0" borderId="0" xfId="0" applyFont="1" applyNumberFormat="1">
      <alignment horizontal="center" vertical="center" wrapText="1"/>
    </xf>
    <xf numFmtId="49" fontId="37" fillId="0" borderId="0" xfId="0" applyFont="1" applyNumberFormat="1">
      <alignment horizontal="left" vertical="center" wrapText="1" indent="1"/>
    </xf>
    <xf numFmtId="0" fontId="37" fillId="0" borderId="0" xfId="0" applyFont="1" applyNumberFormat="1">
      <alignment horizontal="left" vertical="center" wrapText="1" indent="4"/>
    </xf>
    <xf numFmtId="0" fontId="37" fillId="0" borderId="0" xfId="0" applyFont="1" applyNumberFormat="1">
      <alignment horizontal="left" vertical="center" wrapText="1" indent="1"/>
    </xf>
    <xf numFmtId="49" fontId="19" fillId="36" borderId="14" xfId="0" applyFont="1" applyFill="1" applyBorder="1" applyNumberFormat="1">
      <alignment horizontal="center" vertical="center" wrapText="1"/>
    </xf>
    <xf numFmtId="0" fontId="37" fillId="0" borderId="24" xfId="0" applyFont="1" applyBorder="1" applyNumberFormat="1">
      <alignment horizontal="left" vertical="center" wrapText="1" indent="1"/>
    </xf>
    <xf numFmtId="0" fontId="36" fillId="0" borderId="0" xfId="0" applyFont="1" applyNumberFormat="1">
      <alignment horizontal="left" vertical="center"/>
    </xf>
    <xf numFmtId="49" fontId="36" fillId="0" borderId="0" xfId="0" applyFont="1" applyNumberFormat="1">
      <alignment horizontal="left" vertical="center"/>
    </xf>
    <xf numFmtId="0" fontId="36" fillId="0" borderId="0" xfId="0" applyFont="1" applyNumberFormat="1">
      <alignment horizontal="left" vertical="center"/>
    </xf>
    <xf numFmtId="0" fontId="59" fillId="0" borderId="0" xfId="0" applyFont="1" applyNumberFormat="1">
      <alignment horizontal="left" vertical="center"/>
    </xf>
    <xf numFmtId="0" fontId="37" fillId="0" borderId="0" xfId="0" applyFont="1" applyNumberFormat="1">
      <alignment horizontal="left" vertical="center"/>
    </xf>
    <xf numFmtId="49" fontId="19" fillId="0" borderId="0" xfId="0" applyFont="1" applyNumberFormat="1">
      <alignment horizontal="center" vertical="center" wrapText="1"/>
    </xf>
    <xf numFmtId="49" fontId="19" fillId="0" borderId="19" xfId="0" applyFont="1" applyBorder="1" applyNumberFormat="1">
      <alignment horizontal="center" vertical="center" wrapText="1"/>
    </xf>
    <xf numFmtId="49" fontId="19" fillId="0" borderId="19" xfId="0" applyFont="1" applyBorder="1" applyNumberFormat="1">
      <alignment horizontal="left" vertical="center" wrapText="1"/>
    </xf>
    <xf numFmtId="0" fontId="25" fillId="0" borderId="0" xfId="0" applyFont="1" applyNumberFormat="1">
      <alignment horizontal="center" vertical="center" wrapText="1"/>
    </xf>
    <xf numFmtId="0" fontId="25" fillId="34" borderId="0" xfId="0" applyFont="1" applyFill="1" applyNumberFormat="1">
      <alignment horizontal="center" vertical="center" wrapText="1"/>
    </xf>
    <xf numFmtId="49" fontId="36" fillId="0" borderId="0" xfId="0" applyFont="1" applyNumberFormat="1">
      <alignment horizontal="left" vertical="center"/>
    </xf>
    <xf numFmtId="49" fontId="36" fillId="0" borderId="0" xfId="0" applyFont="1" applyNumberFormat="1">
      <alignment horizontal="left" vertical="center"/>
    </xf>
    <xf numFmtId="49" fontId="36" fillId="0" borderId="0" xfId="0" applyFont="1" applyNumberFormat="1">
      <alignment horizontal="left" vertical="top"/>
    </xf>
    <xf numFmtId="49" fontId="19" fillId="34" borderId="12" xfId="0" applyFont="1" applyFill="1" applyBorder="1" applyNumberFormat="1">
      <alignment horizontal="center" vertical="center"/>
    </xf>
    <xf numFmtId="0" fontId="19" fillId="0" borderId="12" xfId="0" applyFont="1" applyBorder="1" applyNumberFormat="1">
      <alignment horizontal="center" vertical="center" wrapText="1"/>
    </xf>
    <xf numFmtId="0" fontId="19" fillId="34" borderId="12" xfId="0" applyFont="1" applyFill="1" applyBorder="1" applyNumberFormat="1">
      <alignment horizontal="left" vertical="center" wrapText="1" indent="1"/>
    </xf>
    <xf numFmtId="49" fontId="19" fillId="0" borderId="12" xfId="0" applyFont="1" applyBorder="1" applyNumberFormat="1">
      <alignment horizontal="center" vertical="center"/>
    </xf>
    <xf numFmtId="0" fontId="19" fillId="0" borderId="12" xfId="0" applyFont="1" applyBorder="1" applyNumberFormat="1">
      <alignment horizontal="left" vertical="center" wrapText="1" indent="1"/>
    </xf>
    <xf numFmtId="0" fontId="19" fillId="0" borderId="12" xfId="0" applyFont="1" applyBorder="1" applyNumberFormat="1">
      <alignment vertical="center" wrapText="1"/>
    </xf>
    <xf numFmtId="49" fontId="19" fillId="38" borderId="12" xfId="0" applyFont="1" applyFill="1" applyBorder="1" applyNumberFormat="1">
      <alignment horizontal="left" vertical="center" wrapText="1"/>
      <protection locked="0"/>
    </xf>
    <xf numFmtId="0" fontId="19" fillId="34" borderId="12" xfId="0" applyFont="1" applyFill="1" applyBorder="1" applyNumberFormat="1">
      <alignment horizontal="left" vertical="center" wrapText="1"/>
    </xf>
    <xf numFmtId="0" fontId="37" fillId="34" borderId="12" xfId="0" applyFont="1" applyFill="1" applyBorder="1" applyNumberFormat="1">
      <alignment horizontal="center" vertical="center"/>
    </xf>
    <xf numFmtId="0" fontId="63" fillId="34" borderId="0" xfId="0" applyFont="1" applyFill="1" applyNumberFormat="1">
      <alignment vertical="center" wrapText="1"/>
    </xf>
    <xf numFmtId="0" fontId="57" fillId="34" borderId="0" xfId="0" applyFont="1" applyFill="1" applyNumberFormat="1"/>
    <xf numFmtId="49" fontId="19" fillId="35" borderId="12" xfId="0" applyFont="1" applyFill="1" applyBorder="1" applyNumberFormat="1">
      <alignment horizontal="left" vertical="center" wrapText="1"/>
      <protection locked="0"/>
    </xf>
    <xf numFmtId="0" fontId="74" fillId="34" borderId="0" xfId="0" applyFont="1" applyFill="1" applyNumberFormat="1"/>
    <xf numFmtId="0" fontId="58" fillId="34" borderId="0" xfId="0" applyFont="1" applyFill="1" applyNumberFormat="1"/>
    <xf numFmtId="14" fontId="19" fillId="38" borderId="23" xfId="0" applyFont="1" applyFill="1" applyBorder="1" applyNumberFormat="1">
      <alignment horizontal="left" vertical="center" wrapText="1" indent="1"/>
      <protection locked="0"/>
    </xf>
    <xf numFmtId="0" fontId="102" fillId="0" borderId="0" xfId="0" applyFont="1" applyNumberFormat="1">
      <alignment vertical="center"/>
    </xf>
    <xf numFmtId="0" fontId="102" fillId="0" borderId="0" xfId="0" applyFont="1" applyNumberFormat="1">
      <alignment vertical="center" wrapText="1"/>
    </xf>
    <xf numFmtId="171" fontId="19" fillId="0" borderId="23" xfId="0" applyFont="1" applyBorder="1" applyNumberFormat="1">
      <alignment horizontal="center" vertical="center" wrapText="1"/>
    </xf>
    <xf numFmtId="14" fontId="19" fillId="38" borderId="12" xfId="0" applyFont="1" applyFill="1" applyBorder="1" applyNumberFormat="1">
      <alignment horizontal="left" vertical="center" wrapText="1" indent="1"/>
      <protection locked="0"/>
    </xf>
    <xf numFmtId="0" fontId="19" fillId="33" borderId="23" xfId="0" applyFont="1" applyFill="1" applyBorder="1" applyNumberFormat="1">
      <alignment horizontal="left" vertical="center" wrapText="1" indent="1"/>
    </xf>
    <xf numFmtId="171" fontId="19" fillId="0" borderId="17" xfId="0" applyFont="1" applyBorder="1" applyNumberFormat="1">
      <alignment horizontal="center" vertical="center" wrapText="1"/>
    </xf>
    <xf numFmtId="49" fontId="39" fillId="36" borderId="30" xfId="0" applyFont="1" applyFill="1" applyBorder="1" applyNumberFormat="1">
      <alignment horizontal="right" vertical="center" wrapText="1"/>
    </xf>
    <xf numFmtId="49" fontId="0" fillId="36" borderId="27" xfId="0" applyFont="1" applyFill="1" applyBorder="1" applyNumberFormat="1">
      <alignment horizontal="right" vertical="center" wrapText="1"/>
    </xf>
    <xf numFmtId="49" fontId="0" fillId="36" borderId="12" xfId="0" applyFont="1" applyFill="1" applyBorder="1" applyNumberFormat="1">
      <alignment horizontal="right" vertical="center" wrapText="1"/>
    </xf>
    <xf numFmtId="49" fontId="39" fillId="36" borderId="27" xfId="0" applyFont="1" applyFill="1" applyBorder="1" applyNumberFormat="1">
      <alignment horizontal="right" vertical="center" wrapText="1"/>
    </xf>
    <xf numFmtId="49" fontId="43" fillId="38" borderId="23" xfId="0" applyFont="1" applyFill="1" applyBorder="1" applyNumberFormat="1">
      <alignment horizontal="left" vertical="center" wrapText="1"/>
      <protection locked="0"/>
    </xf>
    <xf numFmtId="49" fontId="43" fillId="38" borderId="30" xfId="0" applyFont="1" applyFill="1" applyBorder="1" applyNumberFormat="1">
      <alignment horizontal="left" vertical="center" wrapText="1"/>
      <protection locked="0"/>
    </xf>
    <xf numFmtId="49" fontId="43" fillId="36" borderId="27" xfId="0" applyFont="1" applyFill="1" applyBorder="1" applyNumberFormat="1">
      <alignment horizontal="left" vertical="center" wrapText="1"/>
    </xf>
    <xf numFmtId="49" fontId="43" fillId="36" borderId="23" xfId="0" applyFont="1" applyFill="1" applyBorder="1" applyNumberFormat="1">
      <alignment horizontal="left" vertical="center" wrapText="1"/>
    </xf>
    <xf numFmtId="0" fontId="37" fillId="0" borderId="27" xfId="0" applyFont="1" applyBorder="1" applyNumberFormat="1">
      <alignment horizontal="center" vertical="center" wrapText="1"/>
    </xf>
    <xf numFmtId="0" fontId="37" fillId="0" borderId="0" xfId="0" applyFont="1" applyNumberFormat="1">
      <alignment horizontal="center" vertical="center"/>
    </xf>
    <xf numFmtId="0" fontId="37" fillId="0" borderId="0" xfId="0" applyFont="1" applyNumberFormat="1">
      <alignment horizontal="center" vertical="center"/>
    </xf>
    <xf numFmtId="0" fontId="45" fillId="0" borderId="0" xfId="0" applyFont="1" applyNumberFormat="1">
      <alignment horizontal="center" vertical="center"/>
    </xf>
    <xf numFmtId="0" fontId="31" fillId="0" borderId="0" xfId="0" applyFont="1" applyNumberFormat="1">
      <alignment horizontal="center" vertical="center" wrapText="1"/>
    </xf>
    <xf numFmtId="14" fontId="19" fillId="39" borderId="12" xfId="0" applyFont="1" applyFill="1" applyBorder="1" applyNumberFormat="1">
      <alignment horizontal="left" vertical="center" wrapText="1"/>
    </xf>
    <xf numFmtId="171" fontId="19" fillId="0" borderId="37" xfId="0" applyFont="1" applyBorder="1" applyNumberFormat="1">
      <alignment horizontal="center" vertical="center" wrapText="1"/>
    </xf>
    <xf numFmtId="0" fontId="19" fillId="38" borderId="12" xfId="0" applyFont="1" applyFill="1" applyBorder="1" applyNumberFormat="1">
      <alignment horizontal="center" vertical="center" wrapText="1"/>
      <protection locked="0"/>
    </xf>
    <xf numFmtId="0" fontId="36" fillId="34" borderId="0" xfId="0" applyFont="1" applyFill="1" applyNumberFormat="1"/>
    <xf numFmtId="171" fontId="34" fillId="0" borderId="58" xfId="0" applyFont="1" applyBorder="1" applyNumberFormat="1">
      <alignment horizontal="center" vertical="center" wrapText="1"/>
    </xf>
    <xf numFmtId="171" fontId="34" fillId="0" borderId="58" xfId="0" applyFont="1" applyBorder="1" applyNumberFormat="1">
      <alignment horizontal="center" vertical="center" wrapText="1"/>
    </xf>
    <xf numFmtId="49" fontId="43" fillId="38" borderId="27" xfId="0" applyFont="1" applyFill="1" applyBorder="1" applyNumberFormat="1">
      <alignment horizontal="left" vertical="center" wrapText="1"/>
      <protection locked="0"/>
    </xf>
    <xf numFmtId="0" fontId="19" fillId="0" borderId="15" xfId="0" applyFont="1" applyBorder="1" applyNumberFormat="1">
      <alignment horizontal="right" vertical="center" wrapText="1" indent="1"/>
    </xf>
    <xf numFmtId="0" fontId="19" fillId="33" borderId="14" xfId="0" applyFont="1" applyFill="1" applyBorder="1" applyNumberFormat="1">
      <alignment horizontal="left" vertical="top" wrapText="1"/>
    </xf>
    <xf numFmtId="49" fontId="37" fillId="0" borderId="0" xfId="0" applyFont="1" applyNumberFormat="1">
      <alignment horizontal="center" vertical="center"/>
    </xf>
    <xf numFmtId="49" fontId="57" fillId="0" borderId="0" xfId="0" applyFont="1" applyNumberFormat="1">
      <alignment vertical="top"/>
    </xf>
    <xf numFmtId="0" fontId="31" fillId="0" borderId="0" xfId="0" applyFont="1" applyNumberFormat="1">
      <alignment vertical="center"/>
    </xf>
    <xf numFmtId="0" fontId="19" fillId="0" borderId="36" xfId="0" applyFont="1" applyBorder="1" applyNumberFormat="1">
      <alignment horizontal="center" vertical="center" wrapText="1"/>
    </xf>
    <xf numFmtId="0" fontId="19" fillId="0" borderId="37"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22" xfId="0" applyFont="1" applyBorder="1" applyNumberFormat="1">
      <alignment horizontal="center" vertical="center" wrapText="1"/>
    </xf>
    <xf numFmtId="49" fontId="19" fillId="0" borderId="36" xfId="0" applyFont="1" applyBorder="1" applyNumberFormat="1">
      <alignment horizontal="left" vertical="center" wrapText="1"/>
    </xf>
    <xf numFmtId="49" fontId="19" fillId="0" borderId="36" xfId="0" applyFont="1" applyBorder="1" applyNumberFormat="1">
      <alignment horizontal="center" vertical="center" wrapText="1"/>
    </xf>
    <xf numFmtId="49" fontId="19" fillId="0" borderId="17" xfId="0" applyFont="1" applyBorder="1" applyNumberFormat="1">
      <alignment horizontal="center" vertical="center" wrapText="1"/>
    </xf>
    <xf numFmtId="0" fontId="19" fillId="0" borderId="36" xfId="0" applyFont="1" applyBorder="1" applyNumberFormat="1">
      <alignment horizontal="left" vertical="center" wrapText="1"/>
    </xf>
    <xf numFmtId="49" fontId="19" fillId="0" borderId="36" xfId="0" applyFont="1" applyBorder="1" applyNumberFormat="1">
      <alignment vertical="center" wrapText="1"/>
    </xf>
    <xf numFmtId="0" fontId="19" fillId="0" borderId="23" xfId="0" applyFont="1" applyBorder="1" applyNumberFormat="1">
      <alignment horizontal="left" vertical="center" wrapText="1"/>
    </xf>
    <xf numFmtId="0" fontId="29" fillId="0" borderId="23" xfId="0" applyFont="1" applyBorder="1" applyNumberFormat="1">
      <alignment horizontal="left" vertical="center"/>
    </xf>
    <xf numFmtId="0" fontId="29" fillId="36" borderId="14" xfId="0" applyFont="1" applyFill="1" applyBorder="1" applyNumberFormat="1">
      <alignment horizontal="left" vertical="center"/>
    </xf>
    <xf numFmtId="0" fontId="29" fillId="0" borderId="36" xfId="0" applyFont="1" applyBorder="1" applyNumberFormat="1">
      <alignment horizontal="left" vertical="center"/>
    </xf>
    <xf numFmtId="0" fontId="29" fillId="36" borderId="37" xfId="0" applyFont="1" applyFill="1" applyBorder="1" applyNumberFormat="1">
      <alignment horizontal="left" vertical="center"/>
    </xf>
    <xf numFmtId="49" fontId="57" fillId="36" borderId="14" xfId="0" applyFont="1" applyFill="1" applyBorder="1" applyNumberFormat="1">
      <alignment vertical="top"/>
    </xf>
    <xf numFmtId="49" fontId="57" fillId="36" borderId="15" xfId="0" applyFont="1" applyFill="1" applyBorder="1" applyNumberFormat="1">
      <alignment vertical="top"/>
    </xf>
    <xf numFmtId="49" fontId="19" fillId="39" borderId="17" xfId="0" applyFont="1" applyFill="1" applyBorder="1" applyNumberFormat="1">
      <alignment vertical="center" wrapText="1"/>
    </xf>
    <xf numFmtId="0" fontId="19" fillId="0" borderId="37" xfId="0" applyFont="1" applyBorder="1" applyNumberFormat="1">
      <alignment horizontal="center" vertical="center" wrapText="1"/>
    </xf>
    <xf numFmtId="49" fontId="0" fillId="0" borderId="0" xfId="0" applyFont="1" applyNumberFormat="1">
      <alignment vertical="top"/>
    </xf>
    <xf numFmtId="49" fontId="36" fillId="0" borderId="0" xfId="0" applyFont="1" applyNumberFormat="1">
      <alignment horizontal="center" vertical="center"/>
    </xf>
    <xf numFmtId="0" fontId="103" fillId="0" borderId="0" xfId="0" applyFont="1" applyNumberFormat="1">
      <alignment vertical="center" wrapText="1"/>
    </xf>
    <xf numFmtId="0" fontId="104" fillId="0" borderId="0" xfId="0" applyFont="1" applyNumberFormat="1">
      <alignment vertical="center" wrapText="1"/>
    </xf>
    <xf numFmtId="0" fontId="19" fillId="0" borderId="17" xfId="0" applyFont="1" applyBorder="1" applyNumberFormat="1">
      <alignment horizontal="center" vertical="center" wrapText="1"/>
    </xf>
    <xf numFmtId="49" fontId="19" fillId="0" borderId="17" xfId="0" applyFont="1" applyBorder="1" applyNumberFormat="1">
      <alignment horizontal="left" vertical="center" wrapText="1"/>
    </xf>
    <xf numFmtId="49" fontId="19" fillId="0" borderId="17" xfId="0" applyFont="1" applyBorder="1" applyNumberFormat="1">
      <alignment horizontal="left" vertical="center" wrapText="1"/>
    </xf>
    <xf numFmtId="49" fontId="19" fillId="0" borderId="17" xfId="0" applyFont="1" applyBorder="1" applyNumberFormat="1">
      <alignment horizontal="center" vertical="center" wrapText="1"/>
    </xf>
    <xf numFmtId="0" fontId="19" fillId="0" borderId="17" xfId="0" applyFont="1" applyBorder="1" applyNumberFormat="1">
      <alignment horizontal="left" vertical="center" wrapText="1"/>
    </xf>
    <xf numFmtId="0" fontId="19" fillId="0" borderId="0" xfId="0" applyFont="1" applyNumberFormat="1">
      <alignment horizontal="left" vertical="center" wrapText="1"/>
    </xf>
    <xf numFmtId="49" fontId="19" fillId="0" borderId="19" xfId="0" applyFont="1" applyBorder="1" applyNumberFormat="1">
      <alignment vertical="center" wrapText="1"/>
    </xf>
    <xf numFmtId="49" fontId="19" fillId="0" borderId="19" xfId="0" applyFont="1" applyBorder="1" applyNumberFormat="1">
      <alignment horizontal="left" vertical="center" wrapText="1"/>
    </xf>
    <xf numFmtId="49" fontId="25" fillId="0" borderId="19" xfId="0" applyFont="1" applyBorder="1" applyNumberFormat="1">
      <alignment vertical="center" wrapText="1"/>
    </xf>
    <xf numFmtId="49" fontId="19" fillId="0" borderId="19" xfId="0" applyFont="1" applyBorder="1" applyNumberFormat="1">
      <alignment horizontal="center" vertical="center" wrapText="1"/>
    </xf>
    <xf numFmtId="0" fontId="19" fillId="0" borderId="19" xfId="0" applyFont="1" applyBorder="1" applyNumberFormat="1">
      <alignment horizontal="left" vertical="center" wrapText="1"/>
    </xf>
    <xf numFmtId="49" fontId="19" fillId="0" borderId="19" xfId="0" applyFont="1" applyBorder="1" applyNumberFormat="1">
      <alignment vertical="center" wrapText="1"/>
    </xf>
    <xf numFmtId="49" fontId="19" fillId="0" borderId="0" xfId="0" applyFont="1" applyNumberFormat="1">
      <alignment vertical="center" wrapText="1"/>
    </xf>
    <xf numFmtId="49" fontId="19" fillId="0" borderId="0" xfId="0" applyFont="1" applyNumberFormat="1">
      <alignment horizontal="left" vertical="center" wrapText="1"/>
    </xf>
    <xf numFmtId="49" fontId="25" fillId="0" borderId="0" xfId="0" applyFont="1" applyNumberFormat="1">
      <alignment vertical="center" wrapText="1"/>
    </xf>
    <xf numFmtId="49" fontId="19" fillId="0" borderId="0" xfId="0" applyFont="1" applyNumberFormat="1">
      <alignment horizontal="center" vertical="center" wrapText="1"/>
    </xf>
    <xf numFmtId="0" fontId="19" fillId="0" borderId="0" xfId="0" applyFont="1" applyNumberFormat="1">
      <alignment horizontal="left" vertical="center" wrapText="1"/>
    </xf>
    <xf numFmtId="0" fontId="29" fillId="0" borderId="0" xfId="0" applyFont="1" applyNumberFormat="1">
      <alignment horizontal="left" vertical="center"/>
    </xf>
    <xf numFmtId="49" fontId="25" fillId="0" borderId="0" xfId="0" applyFont="1" applyNumberFormat="1">
      <alignment horizontal="center" vertical="center" wrapText="1"/>
    </xf>
    <xf numFmtId="0" fontId="29" fillId="0" borderId="0" xfId="0" applyFont="1" applyNumberFormat="1">
      <alignment vertical="center"/>
    </xf>
    <xf numFmtId="49" fontId="57" fillId="0" borderId="30" xfId="0" applyFont="1" applyBorder="1" applyNumberFormat="1">
      <alignment vertical="top"/>
    </xf>
    <xf numFmtId="49" fontId="19" fillId="0" borderId="37" xfId="0" applyFont="1" applyBorder="1" applyNumberFormat="1">
      <alignment vertical="center" wrapText="1"/>
    </xf>
    <xf numFmtId="49" fontId="19" fillId="0" borderId="22" xfId="0" applyFont="1" applyBorder="1" applyNumberFormat="1">
      <alignment vertical="center" wrapText="1"/>
    </xf>
    <xf numFmtId="0" fontId="29" fillId="0" borderId="22" xfId="0" applyFont="1" applyBorder="1" applyNumberFormat="1">
      <alignment horizontal="left" vertical="center"/>
    </xf>
    <xf numFmtId="49" fontId="57" fillId="0" borderId="27" xfId="0" applyFont="1" applyBorder="1" applyNumberFormat="1">
      <alignment vertical="top"/>
    </xf>
    <xf numFmtId="49" fontId="19" fillId="0" borderId="36" xfId="0" applyFont="1" applyBorder="1" applyNumberFormat="1">
      <alignment horizontal="center" vertical="center" wrapText="1"/>
    </xf>
    <xf numFmtId="0" fontId="29" fillId="36"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19" fillId="0" borderId="0" xfId="0" applyFont="1" applyNumberFormat="1">
      <alignment vertical="center" wrapText="1"/>
    </xf>
    <xf numFmtId="0" fontId="20" fillId="0" borderId="0" xfId="0" applyFont="1" applyNumberFormat="1">
      <alignment vertical="center" wrapText="1"/>
    </xf>
    <xf numFmtId="0" fontId="31" fillId="0" borderId="0" xfId="0" applyFont="1" applyNumberFormat="1">
      <alignment vertical="center" wrapText="1"/>
    </xf>
    <xf numFmtId="0" fontId="19" fillId="0" borderId="0" xfId="0" applyFont="1" applyNumberFormat="1">
      <alignment horizontal="left" vertical="center" wrapText="1"/>
    </xf>
    <xf numFmtId="0" fontId="48" fillId="0" borderId="0" xfId="0" applyFont="1" applyNumberFormat="1">
      <alignment vertical="center" wrapText="1"/>
    </xf>
    <xf numFmtId="0" fontId="50" fillId="0" borderId="0" xfId="0" applyFont="1" applyNumberFormat="1">
      <alignment vertical="center" wrapText="1"/>
    </xf>
    <xf numFmtId="0" fontId="78" fillId="0" borderId="0" xfId="0" applyFont="1" applyNumberFormat="1">
      <alignment vertical="center" wrapText="1"/>
    </xf>
    <xf numFmtId="0" fontId="37" fillId="0" borderId="0" xfId="0" applyFont="1" applyNumberFormat="1">
      <alignment vertical="center" wrapText="1"/>
    </xf>
    <xf numFmtId="0" fontId="54" fillId="0" borderId="0" xfId="0" applyFont="1" applyNumberFormat="1">
      <alignment vertical="center" wrapText="1"/>
    </xf>
    <xf numFmtId="49" fontId="19" fillId="0" borderId="12" xfId="0" applyFont="1" applyBorder="1" applyNumberFormat="1">
      <alignment horizontal="center" vertical="center" wrapText="1"/>
    </xf>
    <xf numFmtId="0" fontId="25" fillId="34" borderId="12" xfId="0" applyFont="1" applyFill="1" applyBorder="1" applyNumberFormat="1">
      <alignment horizontal="center" vertical="center" wrapText="1"/>
    </xf>
    <xf numFmtId="0" fontId="19" fillId="0" borderId="0" xfId="0" applyFont="1" applyNumberFormat="1">
      <alignment vertical="center" wrapText="1"/>
    </xf>
    <xf numFmtId="0" fontId="25" fillId="34" borderId="0" xfId="0" applyFont="1" applyFill="1" applyNumberFormat="1">
      <alignment horizontal="center" vertical="center" wrapText="1"/>
    </xf>
    <xf numFmtId="49" fontId="19" fillId="0" borderId="12" xfId="0" applyFont="1" applyBorder="1" applyNumberFormat="1">
      <alignment horizontal="center" vertical="center" wrapText="1"/>
    </xf>
    <xf numFmtId="3" fontId="19" fillId="38" borderId="12" xfId="0" applyFont="1" applyFill="1" applyBorder="1" applyNumberFormat="1">
      <alignment horizontal="right" vertical="center" wrapText="1"/>
      <protection locked="0"/>
    </xf>
    <xf numFmtId="0" fontId="37" fillId="0" borderId="0" xfId="0" applyFont="1" applyNumberFormat="1">
      <alignment vertical="center" wrapText="1"/>
    </xf>
    <xf numFmtId="49" fontId="19" fillId="38" borderId="12" xfId="0" applyFont="1" applyFill="1" applyBorder="1" applyNumberFormat="1">
      <alignment horizontal="left" vertical="center" wrapText="1"/>
      <protection locked="0"/>
    </xf>
    <xf numFmtId="0" fontId="37" fillId="0" borderId="0" xfId="0" applyFont="1" applyNumberFormat="1">
      <alignment vertical="center"/>
    </xf>
    <xf numFmtId="0" fontId="25" fillId="34" borderId="12" xfId="0" applyFont="1" applyFill="1" applyBorder="1" applyNumberFormat="1">
      <alignment horizontal="center" vertical="center" wrapText="1"/>
    </xf>
    <xf numFmtId="0" fontId="36" fillId="0" borderId="22" xfId="0" applyFont="1" applyBorder="1" applyNumberFormat="1">
      <alignment vertical="center"/>
    </xf>
    <xf numFmtId="0" fontId="36" fillId="0" borderId="22" xfId="0" applyFont="1" applyBorder="1" applyNumberFormat="1">
      <alignment vertical="center"/>
    </xf>
    <xf numFmtId="0" fontId="19" fillId="0" borderId="17" xfId="0" applyFont="1" applyBorder="1" applyNumberFormat="1">
      <alignment horizontal="left" vertical="center" wrapText="1" indent="1"/>
    </xf>
    <xf numFmtId="49" fontId="19" fillId="0" borderId="59" xfId="0" applyFont="1" applyBorder="1" applyNumberFormat="1">
      <alignment horizontal="center" vertical="center" wrapText="1"/>
    </xf>
    <xf numFmtId="49" fontId="19" fillId="0" borderId="28" xfId="0" applyFont="1" applyBorder="1" applyNumberFormat="1">
      <alignment horizontal="center" vertical="center" wrapText="1"/>
    </xf>
    <xf numFmtId="0" fontId="19" fillId="0" borderId="0" xfId="0" applyFont="1" applyNumberFormat="1">
      <alignment vertical="center" wrapText="1"/>
    </xf>
    <xf numFmtId="0" fontId="20" fillId="0" borderId="0" xfId="0" applyFont="1" applyNumberFormat="1">
      <alignment vertical="center" wrapText="1"/>
    </xf>
    <xf numFmtId="0" fontId="25" fillId="0" borderId="0" xfId="0" applyFont="1" applyNumberFormat="1">
      <alignment horizontal="center" vertical="center" wrapText="1"/>
    </xf>
    <xf numFmtId="0" fontId="19" fillId="0" borderId="12" xfId="0" applyFont="1" applyBorder="1" applyNumberFormat="1">
      <alignment horizontal="center" vertical="center" wrapText="1"/>
    </xf>
    <xf numFmtId="0" fontId="19" fillId="0" borderId="0" xfId="0" applyFont="1" applyNumberFormat="1">
      <alignment vertical="center" wrapText="1"/>
    </xf>
    <xf numFmtId="0" fontId="37" fillId="0" borderId="0" xfId="0" applyFont="1" applyNumberFormat="1">
      <alignment vertical="center" wrapText="1"/>
    </xf>
    <xf numFmtId="0" fontId="19" fillId="0" borderId="12" xfId="0" applyFont="1" applyBorder="1" applyNumberFormat="1">
      <alignment horizontal="center" vertical="center" wrapText="1"/>
    </xf>
    <xf numFmtId="49" fontId="19" fillId="0" borderId="0" xfId="0" applyFont="1" applyNumberFormat="1">
      <alignment horizontal="center" vertical="center" wrapText="1"/>
    </xf>
    <xf numFmtId="0" fontId="19" fillId="0" borderId="12" xfId="0" applyFont="1" applyBorder="1" applyNumberFormat="1">
      <alignment horizontal="center" vertical="center" wrapText="1"/>
    </xf>
    <xf numFmtId="0" fontId="44" fillId="0" borderId="0" xfId="0" applyFont="1" applyNumberFormat="1">
      <alignment vertical="center"/>
    </xf>
    <xf numFmtId="0" fontId="63" fillId="0" borderId="0" xfId="0" applyFont="1" applyNumberFormat="1">
      <alignment vertical="center" wrapText="1"/>
    </xf>
    <xf numFmtId="0" fontId="37" fillId="0" borderId="0" xfId="0" applyFont="1" applyNumberFormat="1">
      <alignment vertical="center" wrapText="1"/>
    </xf>
    <xf numFmtId="0" fontId="19" fillId="0" borderId="13"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5" xfId="0" applyFont="1" applyBorder="1" applyNumberFormat="1">
      <alignment horizontal="right" vertical="center" wrapText="1" indent="1"/>
    </xf>
    <xf numFmtId="0" fontId="19" fillId="0" borderId="12" xfId="0" applyFont="1" applyBorder="1" applyNumberFormat="1">
      <alignment horizontal="center" vertical="center" wrapText="1"/>
    </xf>
    <xf numFmtId="0" fontId="19" fillId="0" borderId="0" xfId="0" applyFont="1" applyNumberFormat="1">
      <alignment horizontal="left" vertical="top" wrapText="1"/>
    </xf>
    <xf numFmtId="0" fontId="19" fillId="0" borderId="12" xfId="0" applyFont="1" applyBorder="1" applyNumberFormat="1">
      <alignment horizontal="center" vertical="center" wrapText="1"/>
    </xf>
    <xf numFmtId="49" fontId="19" fillId="39" borderId="12" xfId="0" applyFont="1" applyFill="1" applyBorder="1" applyNumberFormat="1">
      <alignment horizontal="left" vertical="center" wrapText="1"/>
    </xf>
    <xf numFmtId="0" fontId="19" fillId="0" borderId="12" xfId="0" applyFont="1" applyBorder="1" applyNumberFormat="1">
      <alignment horizontal="left" vertical="center" wrapText="1" indent="2"/>
    </xf>
    <xf numFmtId="0" fontId="37" fillId="0" borderId="17" xfId="0" applyFont="1" applyBorder="1" applyNumberFormat="1">
      <alignment horizontal="center" vertical="center" wrapText="1"/>
    </xf>
    <xf numFmtId="0" fontId="19" fillId="33" borderId="14" xfId="0" applyFont="1" applyFill="1" applyBorder="1" applyNumberFormat="1">
      <alignment horizontal="left" vertical="top" wrapText="1"/>
    </xf>
    <xf numFmtId="0" fontId="19" fillId="0" borderId="12" xfId="0" applyFont="1" applyBorder="1" applyNumberFormat="1">
      <alignment horizontal="center" vertical="center" wrapText="1"/>
    </xf>
    <xf numFmtId="0" fontId="19" fillId="0" borderId="13"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5" xfId="0" applyFont="1" applyBorder="1" applyNumberFormat="1">
      <alignment horizontal="right" vertical="center" wrapText="1" inden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33" borderId="14" xfId="0" applyFont="1" applyFill="1" applyBorder="1" applyNumberFormat="1">
      <alignment horizontal="left" vertical="top" wrapText="1"/>
    </xf>
    <xf numFmtId="0" fontId="19" fillId="0" borderId="12" xfId="0" applyFont="1" applyBorder="1" applyNumberFormat="1">
      <alignment horizontal="center" vertical="center" wrapText="1"/>
    </xf>
    <xf numFmtId="49" fontId="0" fillId="0" borderId="12" xfId="0" applyFont="1" applyBorder="1" applyNumberFormat="1">
      <alignment vertical="center" wrapText="1"/>
    </xf>
    <xf numFmtId="0" fontId="37" fillId="0" borderId="14" xfId="0" applyFont="1" applyBorder="1" applyNumberFormat="1">
      <alignment vertical="center" wrapText="1"/>
    </xf>
    <xf numFmtId="0" fontId="37" fillId="0" borderId="14" xfId="0" applyFont="1" applyBorder="1" applyNumberFormat="1">
      <alignment horizontal="left" vertical="top" wrapText="1"/>
    </xf>
    <xf numFmtId="49" fontId="19" fillId="0" borderId="60" xfId="0" applyFont="1" applyBorder="1" applyNumberFormat="1">
      <alignment horizontal="center" vertical="center" wrapText="1"/>
    </xf>
    <xf numFmtId="0" fontId="19" fillId="0" borderId="17" xfId="0" applyFont="1" applyBorder="1" applyNumberFormat="1">
      <alignment horizontal="left" vertical="center" wrapText="1"/>
    </xf>
    <xf numFmtId="49" fontId="29" fillId="36"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19" fillId="0" borderId="0" xfId="0" applyFont="1" applyNumberFormat="1">
      <alignment vertical="center" wrapText="1"/>
    </xf>
    <xf numFmtId="0" fontId="0" fillId="0" borderId="12" xfId="0" applyFont="1" applyBorder="1" applyNumberFormat="1">
      <alignment horizontal="center" vertical="center" wrapText="1"/>
    </xf>
    <xf numFmtId="49" fontId="19" fillId="39"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4" borderId="12" xfId="0" applyFont="1" applyFill="1" applyBorder="1" applyNumberFormat="1">
      <alignment horizontal="center" vertical="center" wrapText="1"/>
    </xf>
    <xf numFmtId="49" fontId="19" fillId="39" borderId="12" xfId="0" applyFont="1" applyFill="1" applyBorder="1" applyNumberFormat="1">
      <alignment horizontal="left" vertical="center" wrapText="1"/>
    </xf>
    <xf numFmtId="49" fontId="19" fillId="0" borderId="61" xfId="0" applyFont="1" applyBorder="1" applyNumberFormat="1">
      <alignment horizontal="center" vertical="center" wrapText="1"/>
    </xf>
    <xf numFmtId="4" fontId="19" fillId="38" borderId="17" xfId="0" applyFont="1" applyFill="1" applyBorder="1" applyNumberFormat="1">
      <alignment horizontal="right" vertical="center" wrapText="1"/>
      <protection locked="0"/>
    </xf>
    <xf numFmtId="49" fontId="29" fillId="0" borderId="19" xfId="0" applyFont="1" applyBorder="1" applyNumberFormat="1">
      <alignment horizontal="left" vertical="center"/>
    </xf>
    <xf numFmtId="49" fontId="29" fillId="0" borderId="19" xfId="0" applyFont="1" applyBorder="1" applyNumberFormat="1">
      <alignment horizontal="left" vertical="center" indent="2"/>
    </xf>
    <xf numFmtId="49" fontId="33" fillId="0" borderId="19" xfId="0" applyFont="1" applyBorder="1" applyNumberFormat="1">
      <alignment horizontal="center" vertical="top"/>
    </xf>
    <xf numFmtId="0" fontId="19" fillId="0" borderId="19" xfId="0" applyFont="1" applyBorder="1" applyNumberFormat="1">
      <alignment horizontal="left" vertical="top" wrapText="1"/>
    </xf>
    <xf numFmtId="0" fontId="19" fillId="0" borderId="0" xfId="0" applyFont="1" applyNumberFormat="1">
      <alignment horizontal="right" vertical="top" wrapText="1"/>
    </xf>
    <xf numFmtId="49" fontId="0" fillId="38" borderId="12" xfId="0" applyFont="1" applyFill="1" applyBorder="1" applyNumberFormat="1">
      <alignment horizontal="left" vertical="center" wrapText="1" indent="1"/>
      <protection locked="0"/>
    </xf>
    <xf numFmtId="49" fontId="36" fillId="0" borderId="0" xfId="0" applyFont="1" applyNumberFormat="1">
      <alignment vertical="top"/>
    </xf>
    <xf numFmtId="49" fontId="19" fillId="39" borderId="12" xfId="0" applyFont="1" applyFill="1" applyBorder="1" applyNumberFormat="1">
      <alignment horizontal="left" vertical="center" wrapText="1"/>
    </xf>
    <xf numFmtId="49" fontId="19" fillId="39" borderId="14" xfId="0" applyFont="1" applyFill="1" applyBorder="1" applyNumberFormat="1">
      <alignment horizontal="left" vertical="center" wrapText="1"/>
    </xf>
    <xf numFmtId="0" fontId="19" fillId="34" borderId="0" xfId="0" applyFont="1" applyFill="1" applyNumberFormat="1"/>
    <xf numFmtId="0" fontId="19" fillId="0" borderId="0" xfId="0" applyFont="1" applyNumberFormat="1">
      <alignment vertical="top" wrapText="1"/>
    </xf>
    <xf numFmtId="0" fontId="25" fillId="34" borderId="0" xfId="0" applyFont="1" applyFill="1" applyNumberFormat="1">
      <alignment horizontal="center" vertical="center" wrapText="1"/>
    </xf>
    <xf numFmtId="0" fontId="0" fillId="34"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20" fillId="46" borderId="0" xfId="0" applyFont="1" applyFill="1" applyNumberFormat="1">
      <alignment horizontal="center" vertical="center"/>
    </xf>
    <xf numFmtId="0" fontId="0" fillId="47" borderId="0" xfId="0" applyFont="1" applyFill="1" applyNumberFormat="1">
      <alignment horizontal="left" vertical="center"/>
    </xf>
    <xf numFmtId="49" fontId="0" fillId="0" borderId="0" xfId="0" applyFont="1" applyNumberFormat="1">
      <alignment vertical="center"/>
    </xf>
    <xf numFmtId="0" fontId="0" fillId="47" borderId="0" xfId="0" applyFont="1" applyFill="1" applyNumberFormat="1">
      <alignment horizontal="right" vertical="center"/>
    </xf>
    <xf numFmtId="0" fontId="44" fillId="47" borderId="0" xfId="0" applyFont="1" applyFill="1" applyNumberFormat="1">
      <alignment horizontal="left" vertical="center"/>
    </xf>
    <xf numFmtId="0" fontId="0" fillId="0" borderId="0" xfId="0" applyFont="1" applyNumberFormat="1">
      <alignment horizontal="right" vertical="top"/>
    </xf>
    <xf numFmtId="0" fontId="0" fillId="47" borderId="10" xfId="0" applyFont="1" applyFill="1" applyBorder="1" applyNumberFormat="1">
      <alignment horizontal="center"/>
    </xf>
    <xf numFmtId="0" fontId="0" fillId="0" borderId="10" xfId="0" applyFont="1" applyBorder="1" applyNumberFormat="1">
      <alignment horizontal="center"/>
    </xf>
    <xf numFmtId="0" fontId="105" fillId="0" borderId="0" xfId="0" applyFont="1" applyNumberFormat="1">
      <alignment wrapText="1"/>
    </xf>
    <xf numFmtId="49" fontId="56" fillId="0" borderId="0" xfId="0" applyFont="1" applyNumberFormat="1">
      <alignment wrapText="1"/>
    </xf>
    <xf numFmtId="49" fontId="56" fillId="0" borderId="0" xfId="0" applyFont="1" applyNumberFormat="1">
      <alignment vertical="center" wrapText="1"/>
    </xf>
    <xf numFmtId="49" fontId="106" fillId="0" borderId="0" xfId="0" applyFont="1" applyNumberFormat="1">
      <alignment wrapText="1"/>
    </xf>
    <xf numFmtId="0" fontId="27" fillId="0" borderId="0" xfId="0" applyFont="1" applyNumberFormat="1"/>
    <xf numFmtId="0" fontId="92" fillId="0" borderId="0" xfId="0" applyFont="1" applyNumberFormat="1">
      <alignment horizontal="left" vertical="center" wrapText="1"/>
    </xf>
    <xf numFmtId="49" fontId="107" fillId="0" borderId="0" xfId="0" applyFont="1" applyNumberFormat="1">
      <alignment wrapText="1"/>
    </xf>
    <xf numFmtId="0" fontId="35" fillId="0" borderId="0" xfId="0" applyFont="1" applyNumberFormat="1">
      <alignment horizontal="left" vertical="top" wrapText="1"/>
    </xf>
    <xf numFmtId="49" fontId="19" fillId="0" borderId="0" xfId="0" applyFont="1" applyNumberFormat="1">
      <alignment vertical="top" wrapText="1"/>
    </xf>
    <xf numFmtId="0" fontId="56" fillId="0" borderId="0" xfId="0" applyFont="1" applyNumberFormat="1">
      <alignment wrapText="1"/>
    </xf>
    <xf numFmtId="0" fontId="108" fillId="0" borderId="0" xfId="0" applyFont="1" applyNumberFormat="1">
      <alignment horizontal="left" vertical="center" wrapText="1"/>
    </xf>
    <xf numFmtId="0" fontId="109" fillId="0" borderId="0" xfId="0" applyFont="1" applyNumberFormat="1">
      <alignment vertical="center" wrapText="1"/>
    </xf>
    <xf numFmtId="0" fontId="56" fillId="0" borderId="38" xfId="0" applyFont="1" applyBorder="1" applyNumberFormat="1">
      <alignment wrapText="1"/>
    </xf>
    <xf numFmtId="0" fontId="56" fillId="0" borderId="0" xfId="0" applyFont="1" applyNumberFormat="1"/>
    <xf numFmtId="0" fontId="108" fillId="0" borderId="0" xfId="0" applyFont="1" applyNumberFormat="1"/>
    <xf numFmtId="0" fontId="110" fillId="0" borderId="0" xfId="0" applyFont="1" applyNumberFormat="1">
      <alignment wrapText="1"/>
    </xf>
    <xf numFmtId="0" fontId="0" fillId="35" borderId="62" xfId="0" applyFont="1" applyFill="1" applyBorder="1" applyNumberFormat="1">
      <alignment horizontal="center" vertical="center" wrapText="1"/>
    </xf>
    <xf numFmtId="0" fontId="0" fillId="52" borderId="62" xfId="0" applyFont="1" applyFill="1" applyBorder="1" applyNumberFormat="1">
      <alignment horizontal="center" vertical="center" wrapText="1"/>
    </xf>
    <xf numFmtId="0" fontId="0" fillId="33" borderId="62" xfId="0" applyFont="1" applyFill="1" applyBorder="1" applyNumberFormat="1">
      <alignment horizontal="center" vertical="center" wrapText="1"/>
    </xf>
    <xf numFmtId="0" fontId="0" fillId="38" borderId="62" xfId="0" applyFont="1" applyFill="1" applyBorder="1" applyNumberFormat="1">
      <alignment horizontal="center" vertical="center" wrapText="1"/>
    </xf>
    <xf numFmtId="0" fontId="108" fillId="0" borderId="38" xfId="0" applyFont="1" applyBorder="1" applyNumberFormat="1">
      <alignment horizontal="left" vertical="center" wrapText="1"/>
    </xf>
    <xf numFmtId="0" fontId="108" fillId="0" borderId="63" xfId="0" applyFont="1" applyBorder="1" applyNumberFormat="1">
      <alignment horizontal="left" vertical="center" wrapText="1"/>
    </xf>
    <xf numFmtId="0" fontId="110" fillId="0" borderId="0" xfId="0" applyFont="1" applyNumberFormat="1"/>
    <xf numFmtId="0" fontId="110" fillId="0" borderId="38" xfId="0" applyFont="1" applyBorder="1" applyNumberFormat="1">
      <alignment wrapText="1"/>
    </xf>
    <xf numFmtId="0" fontId="56" fillId="0" borderId="64" xfId="0" applyFont="1" applyBorder="1" applyNumberFormat="1">
      <alignment wrapText="1"/>
    </xf>
    <xf numFmtId="0" fontId="56" fillId="0" borderId="39" xfId="0" applyFont="1" applyBorder="1" applyNumberFormat="1">
      <alignment wrapText="1"/>
    </xf>
    <xf numFmtId="0" fontId="56" fillId="0" borderId="39" xfId="0" applyFont="1" applyBorder="1" applyNumberFormat="1">
      <alignment vertical="center" wrapText="1"/>
    </xf>
    <xf numFmtId="0" fontId="106" fillId="0" borderId="0" xfId="0" applyFont="1" applyNumberFormat="1"/>
    <xf numFmtId="0" fontId="24" fillId="0" borderId="24" xfId="0" applyFont="1" applyBorder="1" applyNumberFormat="1">
      <alignment horizontal="center" vertical="center" wrapText="1"/>
    </xf>
    <xf numFmtId="49" fontId="19" fillId="0" borderId="13" xfId="0" applyFont="1" applyBorder="1" applyNumberFormat="1">
      <alignment horizontal="center" vertical="center" wrapText="1"/>
    </xf>
    <xf numFmtId="49" fontId="111" fillId="0" borderId="0" xfId="0" applyFont="1" applyNumberFormat="1">
      <alignment horizontal="center" vertical="center" wrapText="1"/>
    </xf>
    <xf numFmtId="49" fontId="19" fillId="47" borderId="0" xfId="0" applyFont="1" applyFill="1" applyNumberFormat="1">
      <alignment horizontal="center" vertical="center"/>
    </xf>
    <xf numFmtId="174" fontId="0" fillId="38"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174" fontId="0" fillId="38" borderId="12" xfId="0" applyFont="1" applyFill="1" applyBorder="1" applyNumberFormat="1">
      <alignment horizontal="center" vertical="center" wrapText="1"/>
      <protection locked="0"/>
    </xf>
    <xf numFmtId="174" fontId="37" fillId="0" borderId="0" xfId="0" applyFont="1" applyNumberFormat="1">
      <alignment horizontal="center" vertical="center" wrapText="1"/>
    </xf>
    <xf numFmtId="174" fontId="37" fillId="0" borderId="12" xfId="0" applyFont="1" applyBorder="1" applyNumberFormat="1">
      <alignment horizontal="center" vertical="center" wrapText="1"/>
    </xf>
    <xf numFmtId="174" fontId="0" fillId="38" borderId="12" xfId="0" applyFont="1" applyFill="1" applyBorder="1" applyNumberFormat="1">
      <alignment horizontal="left" vertical="center" wrapText="1"/>
      <protection locked="0"/>
    </xf>
    <xf numFmtId="174" fontId="0" fillId="35" borderId="12" xfId="0" applyFont="1" applyFill="1" applyBorder="1" applyNumberFormat="1">
      <alignment horizontal="left" vertical="center" wrapText="1" indent="1"/>
      <protection locked="0"/>
    </xf>
    <xf numFmtId="174" fontId="0" fillId="38" borderId="13" xfId="0" applyFont="1" applyFill="1" applyBorder="1" applyNumberFormat="1">
      <alignment horizontal="left" vertical="center" wrapText="1"/>
      <protection locked="0"/>
    </xf>
    <xf numFmtId="0" fontId="19" fillId="0" borderId="0" xfId="0" applyFont="1" applyNumberFormat="1">
      <alignment horizontal="left" vertical="top" indent="1"/>
    </xf>
    <xf numFmtId="0" fontId="19" fillId="33"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19" fillId="33" borderId="30" xfId="0" applyFont="1" applyFill="1" applyBorder="1" applyNumberFormat="1">
      <alignment horizontal="left" vertical="top"/>
    </xf>
    <xf numFmtId="0" fontId="19" fillId="0" borderId="12" xfId="0" applyFont="1" applyBorder="1" applyNumberFormat="1">
      <alignment horizontal="left" vertical="top"/>
    </xf>
    <xf numFmtId="49" fontId="19" fillId="0" borderId="0" xfId="0" applyFont="1" applyNumberFormat="1">
      <alignment horizontal="left" vertical="top"/>
    </xf>
    <xf numFmtId="0" fontId="0" fillId="33" borderId="36" xfId="0" applyFont="1" applyFill="1" applyBorder="1" applyNumberFormat="1">
      <alignment horizontal="left" vertical="top" wrapText="1" indent="1"/>
    </xf>
    <xf numFmtId="49" fontId="19" fillId="39" borderId="36" xfId="0" applyFont="1" applyFill="1" applyBorder="1" applyNumberFormat="1">
      <alignment horizontal="center" vertical="top" wrapText="1"/>
    </xf>
    <xf numFmtId="49" fontId="0" fillId="38" borderId="36" xfId="0" applyFont="1" applyFill="1" applyBorder="1" applyNumberFormat="1">
      <alignment horizontal="center" vertical="top" wrapText="1"/>
      <protection locked="0"/>
    </xf>
    <xf numFmtId="49" fontId="0" fillId="35" borderId="36" xfId="0" applyFont="1" applyFill="1" applyBorder="1" applyNumberFormat="1">
      <alignment horizontal="center" vertical="top" wrapText="1"/>
      <protection locked="0"/>
    </xf>
    <xf numFmtId="49" fontId="19" fillId="39" borderId="36" xfId="0" applyFont="1" applyFill="1" applyBorder="1" applyNumberFormat="1">
      <alignment horizontal="left" vertical="top" wrapText="1"/>
    </xf>
    <xf numFmtId="49" fontId="19" fillId="38" borderId="36" xfId="0" applyFont="1" applyFill="1" applyBorder="1" applyNumberFormat="1">
      <alignment horizontal="left" vertical="top" wrapText="1"/>
      <protection locked="0"/>
    </xf>
    <xf numFmtId="49" fontId="0" fillId="33" borderId="36" xfId="0" applyFont="1" applyFill="1" applyBorder="1" applyNumberFormat="1">
      <alignment horizontal="center" vertical="top" wrapText="1"/>
    </xf>
    <xf numFmtId="0" fontId="19" fillId="33" borderId="36" xfId="0" applyFont="1" applyFill="1" applyBorder="1" applyNumberFormat="1">
      <alignment horizontal="center" vertical="top" wrapText="1"/>
    </xf>
    <xf numFmtId="0" fontId="19" fillId="35" borderId="36" xfId="0" applyFont="1" applyFill="1" applyBorder="1" applyNumberFormat="1">
      <alignment horizontal="left" vertical="top" wrapText="1"/>
      <protection locked="0"/>
    </xf>
    <xf numFmtId="0" fontId="29" fillId="0" borderId="36" xfId="0" applyFont="1" applyBorder="1" applyNumberFormat="1">
      <alignment horizontal="left" vertical="center"/>
    </xf>
    <xf numFmtId="0" fontId="29" fillId="35" borderId="36" xfId="0" applyFont="1" applyFill="1" applyBorder="1" applyNumberFormat="1">
      <alignment horizontal="left" vertical="center"/>
      <protection locked="0"/>
    </xf>
    <xf numFmtId="0" fontId="29" fillId="38" borderId="36" xfId="0" applyFont="1" applyFill="1" applyBorder="1" applyNumberFormat="1">
      <alignment horizontal="left" vertical="center"/>
      <protection locked="0"/>
    </xf>
    <xf numFmtId="14" fontId="19" fillId="39" borderId="36" xfId="0" applyFont="1" applyFill="1" applyBorder="1" applyNumberFormat="1">
      <alignment horizontal="left" vertical="center" wrapText="1" indent="1"/>
    </xf>
    <xf numFmtId="49" fontId="19" fillId="39" borderId="0" xfId="0" applyFont="1" applyFill="1" applyNumberFormat="1">
      <alignment horizontal="center" vertical="center" wrapText="1"/>
    </xf>
    <xf numFmtId="0" fontId="19" fillId="0" borderId="12" xfId="0" applyFont="1" applyBorder="1" applyNumberFormat="1">
      <alignment horizontal="center" vertical="center" wrapText="1"/>
    </xf>
    <xf numFmtId="0" fontId="0" fillId="34" borderId="12" xfId="0" applyFont="1" applyFill="1" applyBorder="1" applyNumberFormat="1">
      <alignment vertical="top" wrapText="1"/>
    </xf>
    <xf numFmtId="0" fontId="36" fillId="0" borderId="12" xfId="0" applyFont="1" applyBorder="1" applyNumberFormat="1">
      <alignment vertical="top" wrapText="1"/>
    </xf>
    <xf numFmtId="49" fontId="19" fillId="39" borderId="17" xfId="0" applyFont="1" applyFill="1" applyBorder="1" applyNumberFormat="1">
      <alignment vertical="center" wrapText="1"/>
    </xf>
    <xf numFmtId="49" fontId="19" fillId="39" borderId="36" xfId="0" applyFont="1" applyFill="1" applyBorder="1" applyNumberFormat="1">
      <alignment vertical="center" wrapText="1"/>
    </xf>
    <xf numFmtId="49" fontId="19" fillId="39" borderId="23" xfId="0" applyFont="1" applyFill="1" applyBorder="1" applyNumberFormat="1">
      <alignment vertical="center" wrapText="1"/>
    </xf>
    <xf numFmtId="49" fontId="19" fillId="35" borderId="12" xfId="0" applyFont="1" applyFill="1" applyBorder="1" applyNumberFormat="1">
      <alignment horizontal="left" vertical="center" wrapText="1" indent="1"/>
      <protection locked="0"/>
    </xf>
    <xf numFmtId="0" fontId="0" fillId="38"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19"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19" fillId="0" borderId="0" xfId="0" applyFont="1" applyNumberFormat="1">
      <alignment horizontal="left" vertical="center" indent="1"/>
    </xf>
    <xf numFmtId="174" fontId="0" fillId="38" borderId="14" xfId="0" applyFont="1" applyFill="1" applyBorder="1" applyNumberFormat="1">
      <alignment horizontal="left" vertical="center" wrapText="1"/>
      <protection locked="0"/>
    </xf>
    <xf numFmtId="174" fontId="0" fillId="0" borderId="11" xfId="0" applyFont="1" applyBorder="1" applyNumberFormat="1">
      <alignment horizontal="left" vertical="center" wrapText="1" indent="1"/>
    </xf>
    <xf numFmtId="49" fontId="19" fillId="34" borderId="26" xfId="0" applyFont="1" applyFill="1" applyBorder="1" applyNumberFormat="1">
      <alignment horizontal="right" vertical="center" wrapText="1" indent="1"/>
    </xf>
    <xf numFmtId="49" fontId="36" fillId="0" borderId="0" xfId="0" applyFont="1" applyNumberFormat="1">
      <alignment vertical="center" wrapText="1"/>
    </xf>
    <xf numFmtId="49" fontId="0" fillId="35" borderId="12" xfId="0" applyFont="1" applyFill="1" applyBorder="1" applyNumberFormat="1">
      <alignment horizontal="left" vertical="center" wrapText="1"/>
      <protection locked="0"/>
    </xf>
    <xf numFmtId="4" fontId="0" fillId="38" borderId="12" xfId="0" applyFont="1" applyFill="1" applyBorder="1" applyNumberFormat="1">
      <alignment horizontal="right" vertical="center" wrapText="1"/>
      <protection locked="0"/>
    </xf>
    <xf numFmtId="49" fontId="19" fillId="0" borderId="0" xfId="0" applyFont="1" applyNumberFormat="1">
      <alignment vertical="top" wrapText="1"/>
    </xf>
    <xf numFmtId="49" fontId="19" fillId="0" borderId="0" xfId="0" applyFont="1" applyNumberFormat="1">
      <alignment vertical="top"/>
    </xf>
    <xf numFmtId="49" fontId="19" fillId="0" borderId="0" xfId="0" applyFont="1" applyNumberFormat="1">
      <alignment vertical="top"/>
    </xf>
    <xf numFmtId="49" fontId="19" fillId="0" borderId="12" xfId="0" applyFont="1" applyBorder="1" applyNumberFormat="1">
      <alignment horizontal="center" vertical="center" wrapText="1"/>
    </xf>
    <xf numFmtId="49" fontId="19" fillId="0" borderId="19" xfId="0" applyFont="1" applyBorder="1" applyNumberFormat="1">
      <alignment horizontal="center" vertical="center" wrapText="1"/>
    </xf>
    <xf numFmtId="0" fontId="19" fillId="39" borderId="36" xfId="0" applyFont="1" applyFill="1" applyBorder="1" applyNumberFormat="1">
      <alignment horizontal="center" vertical="top" wrapText="1"/>
    </xf>
    <xf numFmtId="49" fontId="19" fillId="0" borderId="19" xfId="0" applyFont="1" applyBorder="1" applyNumberFormat="1">
      <alignment horizontal="left" vertical="center" wrapText="1"/>
    </xf>
    <xf numFmtId="49" fontId="19" fillId="0" borderId="0" xfId="0" applyFont="1" applyNumberFormat="1">
      <alignment horizontal="center" vertical="center" wrapText="1"/>
    </xf>
    <xf numFmtId="49" fontId="19" fillId="39" borderId="36" xfId="0" applyFont="1" applyFill="1" applyBorder="1" applyNumberFormat="1">
      <alignment horizontal="center" vertical="center" wrapText="1"/>
    </xf>
    <xf numFmtId="0" fontId="29" fillId="0" borderId="0" xfId="0" applyFont="1" applyNumberFormat="1">
      <alignment horizontal="left" vertical="center"/>
    </xf>
    <xf numFmtId="49" fontId="19" fillId="0" borderId="19" xfId="0" applyFont="1" applyBorder="1" applyNumberFormat="1">
      <alignment horizontal="left" vertical="center" wrapText="1"/>
    </xf>
    <xf numFmtId="49" fontId="19" fillId="0" borderId="0" xfId="0" applyFont="1" applyNumberFormat="1">
      <alignment horizontal="left" vertical="center" wrapText="1"/>
    </xf>
    <xf numFmtId="49" fontId="19" fillId="34" borderId="0" xfId="0" applyFont="1" applyFill="1" applyNumberFormat="1">
      <alignment horizontal="center" vertical="center" wrapText="1"/>
    </xf>
    <xf numFmtId="0" fontId="19" fillId="0" borderId="12" xfId="0" applyFont="1" applyBorder="1" applyNumberFormat="1">
      <alignment horizontal="center" vertical="center" wrapText="1"/>
    </xf>
    <xf numFmtId="0" fontId="37" fillId="0" borderId="0" xfId="0" applyFont="1" applyNumberFormat="1">
      <alignment horizontal="center" vertical="center" wrapText="1"/>
    </xf>
    <xf numFmtId="0" fontId="34" fillId="0" borderId="12" xfId="0" applyFont="1" applyBorder="1" applyNumberFormat="1">
      <alignment horizontal="center" vertical="center"/>
    </xf>
    <xf numFmtId="49" fontId="0" fillId="38" borderId="12" xfId="0" applyFont="1" applyFill="1" applyBorder="1" applyNumberFormat="1">
      <alignment horizontal="left" vertical="center" wrapText="1"/>
      <protection locked="0"/>
    </xf>
    <xf numFmtId="0" fontId="36" fillId="0" borderId="0" xfId="0" applyFont="1" applyNumberFormat="1">
      <alignment horizontal="center" vertical="top"/>
    </xf>
    <xf numFmtId="49" fontId="19" fillId="0" borderId="36" xfId="0" applyFont="1" applyBorder="1" applyNumberFormat="1">
      <alignment horizontal="center" vertical="top" wrapText="1"/>
    </xf>
    <xf numFmtId="0" fontId="19" fillId="0" borderId="12" xfId="0" applyFont="1" applyBorder="1" applyNumberFormat="1">
      <alignment horizontal="left" vertical="center" wrapText="1"/>
    </xf>
    <xf numFmtId="0" fontId="24" fillId="0" borderId="12" xfId="0" applyFont="1" applyBorder="1" applyNumberFormat="1">
      <alignment horizontal="center" vertical="center" wrapText="1"/>
    </xf>
    <xf numFmtId="49" fontId="29" fillId="36" borderId="51" xfId="0" applyFont="1" applyFill="1" applyBorder="1" applyNumberFormat="1">
      <alignment horizontal="left" vertical="center" indent="1"/>
    </xf>
    <xf numFmtId="49" fontId="19" fillId="35" borderId="12" xfId="0" applyFont="1" applyFill="1" applyBorder="1" applyNumberFormat="1">
      <alignment horizontal="left" vertical="center" wrapText="1"/>
      <protection locked="0"/>
    </xf>
    <xf numFmtId="49" fontId="37" fillId="0" borderId="12" xfId="0" applyFont="1" applyBorder="1" applyNumberFormat="1">
      <alignment horizontal="center" vertical="center" wrapText="1"/>
    </xf>
    <xf numFmtId="174" fontId="0" fillId="38" borderId="12" xfId="0" applyFont="1" applyFill="1" applyBorder="1" applyNumberFormat="1">
      <alignment horizontal="center" vertical="center" wrapText="1"/>
      <protection locked="0"/>
    </xf>
    <xf numFmtId="49" fontId="0" fillId="38" borderId="12" xfId="0" applyFont="1" applyFill="1" applyBorder="1" applyNumberFormat="1">
      <alignment horizontal="center" vertical="center" wrapText="1"/>
      <protection locked="0"/>
    </xf>
    <xf numFmtId="0" fontId="19" fillId="0" borderId="12" xfId="0" applyFont="1" applyBorder="1" applyNumberFormat="1">
      <alignment horizontal="center" vertical="center" wrapText="1"/>
    </xf>
    <xf numFmtId="0" fontId="36" fillId="0" borderId="0" xfId="0" applyFont="1" applyNumberFormat="1">
      <alignment horizontal="center" vertical="center" wrapText="1"/>
    </xf>
    <xf numFmtId="0" fontId="0" fillId="0" borderId="12" xfId="0" applyFont="1" applyBorder="1" applyNumberFormat="1">
      <alignment horizontal="left" vertical="center" wrapText="1"/>
    </xf>
    <xf numFmtId="0" fontId="19" fillId="0" borderId="36" xfId="0" applyFont="1" applyBorder="1" applyNumberFormat="1">
      <alignment horizontal="center" vertical="center" wrapText="1"/>
    </xf>
    <xf numFmtId="0" fontId="19" fillId="34" borderId="14" xfId="0" applyFont="1" applyFill="1" applyBorder="1" applyNumberFormat="1">
      <alignment horizontal="center" vertical="center" wrapText="1"/>
    </xf>
    <xf numFmtId="49" fontId="0" fillId="34" borderId="12" xfId="0" applyFont="1" applyFill="1" applyBorder="1" applyNumberFormat="1">
      <alignment horizontal="center" vertical="center" wrapText="1"/>
    </xf>
    <xf numFmtId="49" fontId="19" fillId="0" borderId="12" xfId="0" applyFont="1" applyBorder="1" applyNumberFormat="1">
      <alignment horizontal="center" vertical="center" wrapText="1"/>
    </xf>
    <xf numFmtId="49" fontId="19" fillId="39" borderId="14" xfId="0" applyFont="1" applyFill="1" applyBorder="1" applyNumberFormat="1">
      <alignment horizontal="left" vertical="center" wrapText="1"/>
    </xf>
    <xf numFmtId="0" fontId="19" fillId="0" borderId="23" xfId="0" applyFont="1" applyBorder="1" applyNumberFormat="1">
      <alignment horizontal="center" vertical="center" wrapText="1"/>
    </xf>
    <xf numFmtId="0" fontId="34" fillId="0" borderId="13" xfId="0" applyFont="1" applyBorder="1" applyNumberFormat="1">
      <alignment horizontal="center" vertical="center"/>
    </xf>
    <xf numFmtId="49" fontId="0" fillId="37" borderId="0" xfId="0" applyFont="1" applyFill="1" applyNumberFormat="1">
      <alignment vertical="top"/>
    </xf>
    <xf numFmtId="0" fontId="25" fillId="34" borderId="0" xfId="0" applyFont="1" applyFill="1" applyNumberFormat="1">
      <alignment horizontal="center" vertical="center" wrapText="1"/>
    </xf>
    <xf numFmtId="0" fontId="25" fillId="34" borderId="0" xfId="0" applyFont="1" applyFill="1" applyNumberFormat="1">
      <alignment horizontal="center"/>
    </xf>
    <xf numFmtId="0" fontId="25" fillId="0" borderId="0" xfId="0" applyFont="1" applyNumberFormat="1">
      <alignment horizontal="center" vertical="center" wrapText="1"/>
    </xf>
    <xf numFmtId="0" fontId="31"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19" fillId="0" borderId="0" xfId="0" applyFont="1" applyNumberFormat="1">
      <alignment vertical="top"/>
    </xf>
    <xf numFmtId="0" fontId="25" fillId="34" borderId="0" xfId="0" applyFont="1" applyFill="1" applyNumberFormat="1">
      <alignment vertical="top" wrapText="1"/>
    </xf>
    <xf numFmtId="49" fontId="112" fillId="38" borderId="12" xfId="0" applyFont="1" applyFill="1" applyBorder="1" applyNumberFormat="1">
      <alignment horizontal="left" vertical="center" wrapText="1"/>
      <protection locked="0"/>
    </xf>
    <xf numFmtId="49" fontId="25" fillId="0" borderId="0" xfId="0" applyFont="1" applyNumberFormat="1">
      <alignment horizontal="center" vertical="center" wrapText="1"/>
    </xf>
    <xf numFmtId="0" fontId="25" fillId="0" borderId="24" xfId="0" applyFont="1" applyBorder="1" applyNumberFormat="1">
      <alignment horizontal="center" vertical="center" wrapText="1"/>
    </xf>
    <xf numFmtId="49" fontId="113" fillId="0" borderId="0" xfId="0" applyFont="1" applyNumberFormat="1">
      <alignment horizontal="center" vertical="top" wrapText="1"/>
    </xf>
    <xf numFmtId="49" fontId="0" fillId="33" borderId="36" xfId="0" applyFont="1" applyFill="1" applyBorder="1" applyNumberFormat="1">
      <alignment vertical="top"/>
    </xf>
    <xf numFmtId="49" fontId="0" fillId="0" borderId="36" xfId="0" applyFont="1" applyBorder="1" applyNumberFormat="1">
      <alignment vertical="top"/>
    </xf>
    <xf numFmtId="49" fontId="0" fillId="38" borderId="36" xfId="0" applyFont="1" applyFill="1" applyBorder="1" applyNumberFormat="1">
      <alignment vertical="top"/>
      <protection locked="0"/>
    </xf>
    <xf numFmtId="49" fontId="0" fillId="38" borderId="17" xfId="0" applyFont="1" applyFill="1" applyBorder="1" applyNumberFormat="1">
      <alignment vertical="top"/>
      <protection locked="0"/>
    </xf>
    <xf numFmtId="49" fontId="0" fillId="38" borderId="23" xfId="0" applyFont="1" applyFill="1" applyBorder="1" applyNumberFormat="1">
      <alignment vertical="top"/>
      <protection locked="0"/>
    </xf>
    <xf numFmtId="49" fontId="11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25" fillId="0" borderId="0" xfId="0" applyFont="1" applyNumberFormat="1">
      <alignment horizontal="center" vertical="center" wrapText="1"/>
    </xf>
    <xf numFmtId="49" fontId="0" fillId="38"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6" borderId="15" xfId="0" applyFont="1" applyFill="1" applyBorder="1" applyNumberFormat="1">
      <alignment vertical="center"/>
    </xf>
    <xf numFmtId="49" fontId="0" fillId="0" borderId="36" xfId="0" applyFont="1" applyBorder="1" applyNumberFormat="1">
      <alignment horizontal="left" vertical="top"/>
    </xf>
    <xf numFmtId="49" fontId="0" fillId="39" borderId="36" xfId="0" applyFont="1" applyFill="1" applyBorder="1" applyNumberFormat="1">
      <alignment horizontal="left" vertical="top"/>
    </xf>
    <xf numFmtId="49" fontId="0" fillId="35" borderId="36" xfId="0" applyFont="1" applyFill="1" applyBorder="1" applyNumberFormat="1">
      <alignment horizontal="left" vertical="top"/>
      <protection locked="0"/>
    </xf>
    <xf numFmtId="49" fontId="0" fillId="39" borderId="36" xfId="0" applyFont="1" applyFill="1" applyBorder="1" applyNumberFormat="1">
      <alignment horizontal="left" vertical="center" wrapText="1"/>
      <protection locked="0"/>
    </xf>
    <xf numFmtId="49" fontId="0" fillId="0" borderId="0" xfId="0" applyFont="1" applyNumberFormat="1">
      <alignment vertical="top"/>
    </xf>
    <xf numFmtId="49" fontId="0" fillId="35"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25" fillId="0" borderId="36" xfId="0" applyFont="1" applyBorder="1" applyNumberFormat="1">
      <alignment vertical="center" wrapText="1"/>
    </xf>
    <xf numFmtId="49" fontId="25" fillId="0" borderId="36" xfId="0" applyFont="1" applyBorder="1" applyNumberFormat="1">
      <alignment horizontal="center" vertical="center" wrapText="1"/>
    </xf>
    <xf numFmtId="49" fontId="25" fillId="0" borderId="19" xfId="0" applyFont="1" applyBorder="1" applyNumberFormat="1">
      <alignment vertical="center" wrapText="1"/>
    </xf>
    <xf numFmtId="49" fontId="25" fillId="0" borderId="0" xfId="0" applyFont="1" applyNumberFormat="1">
      <alignment vertical="center" wrapText="1"/>
    </xf>
    <xf numFmtId="49" fontId="25" fillId="0" borderId="0" xfId="0" applyFont="1" applyNumberFormat="1">
      <alignment horizontal="center" vertical="center" wrapText="1"/>
    </xf>
    <xf numFmtId="0" fontId="19" fillId="38" borderId="12" xfId="0" applyFont="1" applyFill="1" applyBorder="1" applyNumberFormat="1">
      <alignment horizontal="left" vertical="center" wrapText="1"/>
      <protection locked="0"/>
    </xf>
    <xf numFmtId="0" fontId="19" fillId="34" borderId="23" xfId="0" applyFont="1" applyFill="1" applyBorder="1" applyNumberFormat="1">
      <alignment horizontal="center" vertical="center" wrapText="1"/>
    </xf>
    <xf numFmtId="0" fontId="19"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19" fillId="39" borderId="12" xfId="0" applyFont="1" applyFill="1" applyBorder="1" applyNumberFormat="1">
      <alignment horizontal="left" vertical="center" wrapText="1"/>
    </xf>
    <xf numFmtId="49" fontId="0" fillId="34"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19" fillId="39"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34" fillId="53" borderId="0" xfId="0" applyFont="1" applyFill="1" applyNumberFormat="1">
      <alignment vertical="center" wrapText="1"/>
    </xf>
    <xf numFmtId="0" fontId="36" fillId="0" borderId="0" xfId="0" applyFont="1" applyNumberFormat="1">
      <alignment vertical="top" wrapText="1"/>
    </xf>
    <xf numFmtId="49" fontId="20" fillId="0" borderId="0" xfId="0" applyFont="1" applyNumberFormat="1">
      <alignment horizontal="center" vertical="top" wrapText="1"/>
    </xf>
    <xf numFmtId="49" fontId="19" fillId="0" borderId="0" xfId="0" applyFont="1" applyNumberFormat="1">
      <alignment horizontal="center" vertical="top" wrapText="1"/>
    </xf>
    <xf numFmtId="49" fontId="19" fillId="34" borderId="0" xfId="0" applyFont="1" applyFill="1" applyNumberFormat="1">
      <alignment horizontal="center" vertical="top" wrapText="1"/>
    </xf>
    <xf numFmtId="0" fontId="0" fillId="0" borderId="36" xfId="0" applyFont="1" applyBorder="1" applyNumberFormat="1">
      <alignment horizontal="center" vertical="center" wrapText="1"/>
    </xf>
    <xf numFmtId="0" fontId="19" fillId="0" borderId="13" xfId="0" applyFont="1" applyBorder="1" applyNumberFormat="1">
      <alignment horizontal="center" vertical="center" wrapText="1"/>
    </xf>
    <xf numFmtId="0" fontId="19" fillId="0" borderId="13"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2" xfId="0" applyFont="1" applyBorder="1" applyNumberFormat="1">
      <alignment horizontal="left" vertical="center" wrapText="1"/>
    </xf>
    <xf numFmtId="0" fontId="19" fillId="0" borderId="12" xfId="0" applyFont="1" applyBorder="1" applyNumberFormat="1">
      <alignment horizontal="center" vertical="center" wrapText="1"/>
    </xf>
    <xf numFmtId="0" fontId="36" fillId="0" borderId="0" xfId="0" applyFont="1" applyNumberFormat="1">
      <alignment horizontal="center" vertical="center" wrapText="1"/>
    </xf>
    <xf numFmtId="0" fontId="36" fillId="0" borderId="12" xfId="0" applyFont="1" applyBorder="1" applyNumberFormat="1">
      <alignment horizontal="center" vertical="center" wrapText="1"/>
    </xf>
    <xf numFmtId="0" fontId="19" fillId="38" borderId="12" xfId="0" applyFont="1" applyFill="1" applyBorder="1" applyNumberFormat="1">
      <alignment horizontal="center" vertical="center" wrapText="1"/>
      <protection locked="0"/>
    </xf>
    <xf numFmtId="49" fontId="19" fillId="33"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19" fillId="39" borderId="12" xfId="0" applyFont="1" applyFill="1" applyBorder="1" applyNumberFormat="1">
      <alignment horizontal="left" vertical="center" wrapText="1" indent="1"/>
    </xf>
    <xf numFmtId="0" fontId="35" fillId="45" borderId="62" xfId="0" applyFont="1" applyFill="1" applyBorder="1" applyNumberFormat="1">
      <alignment horizontal="right" vertical="center" wrapText="1" indent="1"/>
    </xf>
    <xf numFmtId="0" fontId="35" fillId="45" borderId="65" xfId="0" applyFont="1" applyFill="1" applyBorder="1" applyNumberFormat="1">
      <alignment horizontal="right" vertical="center" wrapText="1" indent="1"/>
    </xf>
    <xf numFmtId="0" fontId="35" fillId="45" borderId="38" xfId="0" applyFont="1" applyFill="1" applyBorder="1" applyNumberFormat="1">
      <alignment horizontal="right" vertical="center" wrapText="1" indent="1"/>
    </xf>
    <xf numFmtId="0" fontId="35" fillId="45" borderId="0" xfId="0" applyFont="1" applyFill="1" applyNumberFormat="1">
      <alignment horizontal="right" vertical="center" wrapText="1" indent="1"/>
    </xf>
    <xf numFmtId="0" fontId="110" fillId="0" borderId="0" xfId="0" applyFont="1" applyNumberFormat="1">
      <alignment vertical="center" wrapText="1"/>
    </xf>
    <xf numFmtId="0" fontId="35" fillId="45" borderId="66" xfId="0" applyFont="1" applyFill="1" applyBorder="1" applyNumberFormat="1">
      <alignment horizontal="right" vertical="center" wrapText="1" indent="1"/>
    </xf>
    <xf numFmtId="0" fontId="35" fillId="45" borderId="64" xfId="0" applyFont="1" applyFill="1" applyBorder="1" applyNumberFormat="1">
      <alignment horizontal="right" vertical="center" wrapText="1" indent="1"/>
    </xf>
    <xf numFmtId="0" fontId="35" fillId="45" borderId="39" xfId="0" applyFont="1" applyFill="1" applyBorder="1" applyNumberFormat="1">
      <alignment horizontal="right" vertical="center" wrapText="1" indent="1"/>
    </xf>
    <xf numFmtId="0" fontId="110" fillId="0" borderId="0" xfId="0" applyFont="1" applyNumberFormat="1">
      <alignment vertical="top" wrapText="1"/>
    </xf>
    <xf numFmtId="49" fontId="56" fillId="0" borderId="0" xfId="0" applyFont="1" applyNumberFormat="1">
      <alignment vertical="top" wrapText="1"/>
    </xf>
    <xf numFmtId="0" fontId="92" fillId="0" borderId="0" xfId="0" applyFont="1" applyNumberFormat="1">
      <alignment vertical="center" wrapText="1"/>
    </xf>
    <xf numFmtId="0" fontId="92" fillId="0" borderId="0" xfId="0" applyFont="1" applyNumberFormat="1">
      <alignment vertical="center"/>
    </xf>
    <xf numFmtId="0" fontId="35" fillId="54" borderId="67" xfId="0" applyFont="1" applyFill="1" applyBorder="1" applyNumberFormat="1">
      <alignment horizontal="center" vertical="center" wrapText="1"/>
    </xf>
    <xf numFmtId="0" fontId="35" fillId="54" borderId="68" xfId="0" applyFont="1" applyFill="1" applyBorder="1" applyNumberFormat="1">
      <alignment horizontal="center" vertical="center" wrapText="1"/>
    </xf>
    <xf numFmtId="0" fontId="35" fillId="54" borderId="69" xfId="0" applyFont="1" applyFill="1" applyBorder="1" applyNumberFormat="1">
      <alignment horizontal="center" vertical="center" wrapText="1"/>
    </xf>
    <xf numFmtId="0" fontId="110" fillId="0" borderId="38" xfId="0" applyFont="1" applyBorder="1" applyNumberFormat="1">
      <alignment vertical="center" wrapText="1"/>
    </xf>
    <xf numFmtId="0" fontId="110" fillId="0" borderId="38" xfId="0" applyFont="1" applyBorder="1" applyNumberFormat="1">
      <alignment horizontal="left" vertical="center" wrapText="1"/>
    </xf>
    <xf numFmtId="0" fontId="110" fillId="0" borderId="0" xfId="0" applyFont="1" applyNumberFormat="1">
      <alignment horizontal="left" vertical="center" wrapText="1"/>
    </xf>
    <xf numFmtId="0" fontId="19" fillId="0" borderId="13" xfId="0" applyFont="1" applyBorder="1" applyNumberFormat="1">
      <alignment horizontal="center" vertical="center" wrapText="1"/>
    </xf>
    <xf numFmtId="0" fontId="19" fillId="0" borderId="14" xfId="0" applyFont="1" applyBorder="1" applyNumberFormat="1">
      <alignment horizontal="center" vertical="center" wrapText="1"/>
    </xf>
    <xf numFmtId="0" fontId="86" fillId="0" borderId="0" xfId="0" applyFont="1" applyNumberFormat="1">
      <alignment horizontal="left" vertical="center" wrapText="1"/>
    </xf>
    <xf numFmtId="14" fontId="83" fillId="0" borderId="12" xfId="0" applyFont="1" applyBorder="1" applyNumberFormat="1">
      <alignment horizontal="center" vertical="center" wrapText="1"/>
    </xf>
    <xf numFmtId="0" fontId="19" fillId="0" borderId="0" xfId="0" applyFont="1" applyNumberFormat="1">
      <alignment horizontal="center" vertical="center" wrapText="1"/>
    </xf>
    <xf numFmtId="0" fontId="19" fillId="0" borderId="15" xfId="0" applyFont="1" applyBorder="1" applyNumberFormat="1">
      <alignment horizontal="left" vertical="center" wrapText="1" indent="1"/>
    </xf>
    <xf numFmtId="0" fontId="19" fillId="0" borderId="14" xfId="0" applyFont="1" applyBorder="1" applyNumberFormat="1">
      <alignment horizontal="center" vertical="center" wrapText="1"/>
    </xf>
    <xf numFmtId="0" fontId="19" fillId="0" borderId="15" xfId="0" applyFont="1" applyBorder="1" applyNumberFormat="1">
      <alignment horizontal="center" vertical="center" wrapText="1"/>
    </xf>
    <xf numFmtId="0" fontId="19" fillId="0" borderId="13" xfId="0" applyFont="1" applyBorder="1" applyNumberFormat="1">
      <alignment horizontal="center" vertical="center" wrapText="1"/>
    </xf>
    <xf numFmtId="4" fontId="19" fillId="0" borderId="12" xfId="0" applyFont="1" applyBorder="1" applyNumberFormat="1">
      <alignment horizontal="center" vertical="center" wrapText="1"/>
    </xf>
    <xf numFmtId="49" fontId="24" fillId="0" borderId="70" xfId="0" applyFont="1" applyBorder="1" applyNumberFormat="1">
      <alignment horizontal="center" vertical="center" wrapText="1"/>
    </xf>
    <xf numFmtId="49" fontId="24" fillId="0" borderId="71" xfId="0" applyFont="1" applyBorder="1" applyNumberFormat="1">
      <alignment horizontal="center" vertical="center" wrapText="1"/>
    </xf>
    <xf numFmtId="49" fontId="24" fillId="0" borderId="14" xfId="0" applyFont="1" applyBorder="1" applyNumberFormat="1">
      <alignment horizontal="center" vertical="center" wrapText="1"/>
    </xf>
    <xf numFmtId="49" fontId="24" fillId="0" borderId="13" xfId="0" applyFont="1" applyBorder="1" applyNumberFormat="1">
      <alignment horizontal="center" vertical="center" wrapText="1"/>
    </xf>
    <xf numFmtId="0" fontId="19" fillId="0" borderId="20" xfId="0" applyFont="1" applyBorder="1" applyNumberFormat="1">
      <alignment horizontal="left" vertical="center" wrapText="1" indent="1"/>
    </xf>
    <xf numFmtId="0" fontId="19" fillId="0" borderId="17" xfId="0" applyFont="1" applyBorder="1" applyNumberFormat="1">
      <alignment horizontal="left" vertical="center" wrapText="1" indent="1"/>
    </xf>
    <xf numFmtId="0" fontId="19" fillId="0" borderId="37" xfId="0" applyFont="1" applyBorder="1" applyNumberFormat="1">
      <alignment horizontal="left" vertical="center" wrapText="1" indent="1"/>
    </xf>
    <xf numFmtId="0" fontId="19" fillId="0" borderId="29" xfId="0" applyFont="1" applyBorder="1" applyNumberFormat="1">
      <alignment horizontal="left" vertical="center" indent="1"/>
    </xf>
    <xf numFmtId="0" fontId="19" fillId="0" borderId="23" xfId="0" applyFont="1" applyBorder="1" applyNumberFormat="1">
      <alignment horizontal="left" vertical="center" indent="1"/>
    </xf>
    <xf numFmtId="0" fontId="19" fillId="0" borderId="30" xfId="0" applyFont="1" applyBorder="1" applyNumberFormat="1">
      <alignment horizontal="left" vertical="center" indent="1"/>
    </xf>
    <xf numFmtId="0" fontId="19" fillId="0" borderId="0" xfId="0" applyFont="1" applyNumberFormat="1">
      <alignment horizontal="center" vertical="center" wrapText="1"/>
    </xf>
    <xf numFmtId="0" fontId="19" fillId="41" borderId="0" xfId="0" applyFont="1" applyFill="1" applyNumberFormat="1">
      <alignment horizontal="center" vertical="center" wrapText="1"/>
    </xf>
    <xf numFmtId="0" fontId="19" fillId="0" borderId="12" xfId="0" applyFont="1" applyBorder="1" applyNumberFormat="1">
      <alignment horizontal="center" vertical="center" wrapText="1"/>
    </xf>
    <xf numFmtId="0" fontId="65" fillId="0" borderId="37" xfId="0" applyFont="1" applyBorder="1" applyNumberFormat="1">
      <alignment horizontal="center" vertical="center" wrapText="1"/>
    </xf>
    <xf numFmtId="0" fontId="6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65" fillId="0" borderId="12" xfId="0" applyFont="1" applyBorder="1" applyNumberFormat="1">
      <alignment horizontal="center" vertical="center" wrapText="1"/>
    </xf>
    <xf numFmtId="0" fontId="19" fillId="0" borderId="72" xfId="0" applyFont="1" applyBorder="1" applyNumberFormat="1">
      <alignment horizontal="center" vertical="center" wrapText="1"/>
    </xf>
    <xf numFmtId="0" fontId="19" fillId="0" borderId="73" xfId="0" applyFont="1" applyBorder="1" applyNumberFormat="1">
      <alignment horizontal="center" vertical="center" wrapText="1"/>
    </xf>
    <xf numFmtId="0" fontId="19" fillId="39" borderId="17" xfId="0" applyFont="1" applyFill="1" applyBorder="1" applyNumberFormat="1">
      <alignment horizontal="left" vertical="center" wrapText="1" indent="1"/>
      <protection locked="0"/>
    </xf>
    <xf numFmtId="0" fontId="19" fillId="39" borderId="23" xfId="0" applyFont="1" applyFill="1" applyBorder="1" applyNumberFormat="1">
      <alignment horizontal="left" vertical="center" wrapText="1" indent="1"/>
      <protection locked="0"/>
    </xf>
    <xf numFmtId="49" fontId="19" fillId="39" borderId="12" xfId="0" applyFont="1" applyFill="1" applyBorder="1" applyNumberFormat="1">
      <alignment horizontal="center" vertical="center" wrapText="1"/>
    </xf>
    <xf numFmtId="49" fontId="19" fillId="0" borderId="12" xfId="0" applyFont="1" applyBorder="1" applyNumberFormat="1">
      <alignment horizontal="center" vertical="center" wrapText="1"/>
    </xf>
    <xf numFmtId="0" fontId="19" fillId="39" borderId="17" xfId="0" applyFont="1" applyFill="1" applyBorder="1" applyNumberFormat="1">
      <alignment horizontal="left" vertical="center" wrapText="1" indent="2"/>
    </xf>
    <xf numFmtId="0" fontId="19" fillId="39" borderId="36" xfId="0" applyFont="1" applyFill="1" applyBorder="1" applyNumberFormat="1">
      <alignment horizontal="left" vertical="center" wrapText="1" indent="2"/>
    </xf>
    <xf numFmtId="0" fontId="19" fillId="39" borderId="23" xfId="0" applyFont="1" applyFill="1" applyBorder="1" applyNumberFormat="1">
      <alignment horizontal="left" vertical="center" wrapText="1" indent="2"/>
    </xf>
    <xf numFmtId="49" fontId="19" fillId="39" borderId="23" xfId="0" applyFont="1" applyFill="1" applyBorder="1" applyNumberFormat="1">
      <alignment horizontal="center" vertical="center" wrapText="1"/>
    </xf>
    <xf numFmtId="14" fontId="71" fillId="0" borderId="74" xfId="0" applyFont="1" applyBorder="1" applyNumberFormat="1">
      <alignment horizontal="center" vertical="center" wrapText="1"/>
    </xf>
    <xf numFmtId="0" fontId="19" fillId="0" borderId="74" xfId="0" applyFont="1" applyBorder="1" applyNumberFormat="1">
      <alignment horizontal="center" vertical="center" wrapText="1"/>
    </xf>
    <xf numFmtId="49" fontId="19" fillId="0" borderId="19" xfId="0" applyFont="1" applyBorder="1" applyNumberFormat="1">
      <alignment horizontal="center" vertical="center" wrapText="1"/>
    </xf>
    <xf numFmtId="49" fontId="19" fillId="0" borderId="0" xfId="0" applyFont="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0" fontId="19" fillId="0" borderId="12" xfId="0" applyFont="1" applyBorder="1" applyNumberFormat="1">
      <alignment horizontal="left" vertical="top" wrapText="1"/>
    </xf>
    <xf numFmtId="49" fontId="0" fillId="0" borderId="12" xfId="0" applyFont="1" applyBorder="1" applyNumberFormat="1">
      <alignment horizontal="left" vertical="top"/>
    </xf>
    <xf numFmtId="0" fontId="19" fillId="39" borderId="17" xfId="0" applyFont="1" applyFill="1" applyBorder="1" applyNumberFormat="1">
      <alignment horizontal="center" vertical="top" wrapText="1"/>
    </xf>
    <xf numFmtId="0" fontId="19" fillId="39" borderId="36" xfId="0" applyFont="1" applyFill="1" applyBorder="1" applyNumberFormat="1">
      <alignment horizontal="center" vertical="top" wrapText="1"/>
    </xf>
    <xf numFmtId="0" fontId="19" fillId="39"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19" fillId="0" borderId="19" xfId="0" applyFont="1" applyBorder="1" applyNumberFormat="1">
      <alignment horizontal="left" vertical="center" wrapText="1"/>
    </xf>
    <xf numFmtId="49" fontId="19" fillId="0" borderId="0" xfId="0" applyFont="1" applyNumberFormat="1">
      <alignment horizontal="left" vertical="center" wrapText="1"/>
    </xf>
    <xf numFmtId="49" fontId="0" fillId="0" borderId="0" xfId="0" applyFont="1" applyNumberFormat="1">
      <alignment horizontal="left" vertical="top"/>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19" fillId="0" borderId="17" xfId="0" applyFont="1" applyBorder="1" applyNumberFormat="1">
      <alignment horizontal="left" vertical="top" wrapText="1"/>
    </xf>
    <xf numFmtId="0" fontId="19" fillId="0" borderId="36" xfId="0" applyFont="1" applyBorder="1" applyNumberFormat="1">
      <alignment horizontal="left" vertical="top" wrapText="1"/>
    </xf>
    <xf numFmtId="0" fontId="19" fillId="0" borderId="23" xfId="0" applyFont="1" applyBorder="1" applyNumberFormat="1">
      <alignment horizontal="left" vertical="top" wrapText="1"/>
    </xf>
    <xf numFmtId="49" fontId="37" fillId="34" borderId="27" xfId="0" applyFont="1" applyFill="1" applyBorder="1" applyNumberFormat="1">
      <alignment horizontal="center" vertical="center" wrapText="1"/>
    </xf>
    <xf numFmtId="0" fontId="19" fillId="0" borderId="20" xfId="0" applyFont="1" applyBorder="1" applyNumberFormat="1">
      <alignment horizontal="left" vertical="top" wrapText="1" indent="1"/>
    </xf>
    <xf numFmtId="0" fontId="19" fillId="0" borderId="17" xfId="0" applyFont="1" applyBorder="1" applyNumberFormat="1">
      <alignment horizontal="left" vertical="top" wrapText="1" indent="1"/>
    </xf>
    <xf numFmtId="0" fontId="19" fillId="0" borderId="37" xfId="0" applyFont="1" applyBorder="1" applyNumberFormat="1">
      <alignment horizontal="left" vertical="top" wrapText="1" indent="1"/>
    </xf>
    <xf numFmtId="0" fontId="63" fillId="0" borderId="24" xfId="0" applyFont="1" applyBorder="1" applyNumberFormat="1">
      <alignment horizontal="left" vertical="center" wrapText="1" indent="1"/>
    </xf>
    <xf numFmtId="0" fontId="63" fillId="0" borderId="36" xfId="0" applyFont="1" applyBorder="1" applyNumberFormat="1">
      <alignment horizontal="left" vertical="center" wrapText="1" indent="1"/>
    </xf>
    <xf numFmtId="0" fontId="63" fillId="0" borderId="22" xfId="0" applyFont="1" applyBorder="1" applyNumberFormat="1">
      <alignment horizontal="left" vertical="center" wrapText="1" indent="1"/>
    </xf>
    <xf numFmtId="0" fontId="19" fillId="0" borderId="27" xfId="0" applyFont="1" applyBorder="1" applyNumberFormat="1">
      <alignment horizontal="left" vertical="center" indent="1"/>
    </xf>
    <xf numFmtId="0" fontId="0" fillId="0" borderId="12" xfId="0" applyFont="1" applyBorder="1" applyNumberFormat="1">
      <alignment horizontal="center" vertical="center" wrapText="1"/>
    </xf>
    <xf numFmtId="0" fontId="19" fillId="0" borderId="19" xfId="0" applyFont="1" applyBorder="1" applyNumberFormat="1">
      <alignment horizontal="left" vertical="center" wrapText="1" indent="1"/>
    </xf>
    <xf numFmtId="0" fontId="19" fillId="0" borderId="17" xfId="0" applyFont="1" applyBorder="1" applyNumberFormat="1">
      <alignment horizontal="center" vertical="center" wrapText="1"/>
    </xf>
    <xf numFmtId="0" fontId="19" fillId="0" borderId="37" xfId="0" applyFont="1" applyBorder="1" applyNumberFormat="1">
      <alignment horizontal="center" vertical="center" wrapText="1"/>
    </xf>
    <xf numFmtId="0" fontId="19" fillId="0" borderId="20" xfId="0" applyFont="1" applyBorder="1" applyNumberFormat="1">
      <alignment horizontal="center" vertical="center" wrapText="1"/>
    </xf>
    <xf numFmtId="0" fontId="19" fillId="0" borderId="22" xfId="0" applyFont="1" applyBorder="1" applyNumberFormat="1">
      <alignment horizontal="center" vertical="center" wrapText="1"/>
    </xf>
    <xf numFmtId="0" fontId="19" fillId="0" borderId="24"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5"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36" xfId="0" applyFont="1" applyBorder="1" applyNumberFormat="1">
      <alignment horizontal="center" vertical="center" wrapText="1"/>
    </xf>
    <xf numFmtId="0" fontId="19" fillId="0" borderId="30" xfId="0" applyFont="1" applyBorder="1" applyNumberFormat="1">
      <alignment horizontal="center" vertical="center" wrapText="1"/>
    </xf>
    <xf numFmtId="0" fontId="19" fillId="0" borderId="29" xfId="0" applyFont="1" applyBorder="1" applyNumberFormat="1">
      <alignment horizontal="center" vertical="center" wrapText="1"/>
    </xf>
    <xf numFmtId="49" fontId="19" fillId="0" borderId="12" xfId="0" applyFont="1" applyBorder="1" applyNumberFormat="1">
      <alignment horizontal="center" vertical="center"/>
    </xf>
    <xf numFmtId="49" fontId="19" fillId="0" borderId="17" xfId="0" applyFont="1" applyBorder="1" applyNumberFormat="1">
      <alignment horizontal="center" vertical="center"/>
    </xf>
    <xf numFmtId="0" fontId="19" fillId="0" borderId="12" xfId="0" applyFont="1" applyBorder="1" applyNumberFormat="1">
      <alignment horizontal="left" vertical="center" wrapText="1"/>
    </xf>
    <xf numFmtId="0" fontId="19" fillId="0" borderId="17" xfId="0" applyFont="1" applyBorder="1" applyNumberFormat="1">
      <alignment horizontal="left" vertical="center" wrapText="1"/>
    </xf>
    <xf numFmtId="0" fontId="19" fillId="0" borderId="37" xfId="0" applyFont="1" applyBorder="1" applyNumberFormat="1">
      <alignment horizontal="left" vertical="center" wrapText="1"/>
    </xf>
    <xf numFmtId="49" fontId="19" fillId="39" borderId="17" xfId="0" applyFont="1" applyFill="1" applyBorder="1" applyNumberFormat="1">
      <alignment horizontal="center" vertical="center" wrapText="1"/>
    </xf>
    <xf numFmtId="49" fontId="19" fillId="39" borderId="36" xfId="0" applyFont="1" applyFill="1" applyBorder="1" applyNumberFormat="1">
      <alignment horizontal="center" vertical="center" wrapText="1"/>
    </xf>
    <xf numFmtId="0" fontId="19" fillId="0" borderId="19" xfId="0" applyFont="1" applyBorder="1" applyNumberFormat="1">
      <alignment horizontal="center" vertical="center"/>
    </xf>
    <xf numFmtId="0" fontId="19" fillId="0" borderId="0" xfId="0" applyFont="1" applyNumberFormat="1">
      <alignment horizontal="center" vertical="center"/>
    </xf>
    <xf numFmtId="0" fontId="29" fillId="0" borderId="27" xfId="0" applyFont="1" applyBorder="1" applyNumberFormat="1">
      <alignment horizontal="left" vertical="center"/>
    </xf>
    <xf numFmtId="0" fontId="29" fillId="0" borderId="29" xfId="0" applyFont="1" applyBorder="1" applyNumberFormat="1">
      <alignment horizontal="left" vertical="center"/>
    </xf>
    <xf numFmtId="0" fontId="29" fillId="0" borderId="0" xfId="0" applyFont="1" applyNumberFormat="1">
      <alignment horizontal="left" vertical="center"/>
    </xf>
    <xf numFmtId="0" fontId="29" fillId="0" borderId="24" xfId="0" applyFont="1" applyBorder="1" applyNumberFormat="1">
      <alignment horizontal="left" vertical="center"/>
    </xf>
    <xf numFmtId="0" fontId="19" fillId="0" borderId="14" xfId="0" applyFont="1" applyBorder="1" applyNumberFormat="1">
      <alignment horizontal="left" vertical="center" wrapText="1"/>
    </xf>
    <xf numFmtId="0" fontId="19" fillId="0" borderId="27" xfId="0" applyFont="1" applyBorder="1" applyNumberFormat="1">
      <alignment horizontal="left" vertical="center" wrapText="1" indent="1"/>
    </xf>
    <xf numFmtId="49" fontId="19" fillId="34" borderId="0" xfId="0" applyFont="1" applyFill="1" applyNumberFormat="1">
      <alignment horizontal="center" vertical="center" wrapText="1"/>
    </xf>
    <xf numFmtId="0" fontId="34" fillId="0" borderId="0" xfId="0" applyFont="1" applyNumberFormat="1">
      <alignment horizontal="right" vertical="top" wrapText="1"/>
    </xf>
    <xf numFmtId="49" fontId="0" fillId="34" borderId="12" xfId="0" applyFont="1" applyFill="1" applyBorder="1" applyNumberFormat="1">
      <alignment horizontal="center" vertical="center" wrapText="1"/>
    </xf>
    <xf numFmtId="49" fontId="19" fillId="34" borderId="12" xfId="0" applyFont="1" applyFill="1" applyBorder="1" applyNumberFormat="1">
      <alignment horizontal="center" vertical="center" wrapText="1"/>
    </xf>
    <xf numFmtId="0" fontId="19" fillId="34" borderId="0" xfId="0" applyFont="1" applyFill="1" applyNumberFormat="1">
      <alignment horizontal="center" vertical="center" wrapText="1"/>
    </xf>
    <xf numFmtId="0" fontId="34" fillId="0" borderId="0" xfId="0" applyFont="1" applyNumberFormat="1">
      <alignment horizontal="left" vertical="top" wrapText="1" indent="1"/>
    </xf>
    <xf numFmtId="0" fontId="83" fillId="34" borderId="0" xfId="0" applyFont="1" applyFill="1" applyNumberFormat="1">
      <alignment horizontal="left" vertical="center" wrapText="1"/>
    </xf>
    <xf numFmtId="0" fontId="0" fillId="34" borderId="12" xfId="0" applyFont="1" applyFill="1" applyBorder="1" applyNumberFormat="1">
      <alignment horizontal="center" vertical="center" wrapText="1"/>
    </xf>
    <xf numFmtId="0" fontId="19" fillId="34" borderId="12" xfId="0" applyFont="1" applyFill="1" applyBorder="1" applyNumberFormat="1">
      <alignment horizontal="center" vertical="center" wrapText="1"/>
    </xf>
    <xf numFmtId="0" fontId="19" fillId="34" borderId="24" xfId="0" applyFont="1" applyFill="1" applyBorder="1" applyNumberFormat="1">
      <alignment horizontal="center" vertical="center" wrapText="1"/>
    </xf>
    <xf numFmtId="0" fontId="19" fillId="34" borderId="17" xfId="0" applyFont="1" applyFill="1" applyBorder="1" applyNumberFormat="1">
      <alignment horizontal="left" vertical="top" wrapText="1"/>
    </xf>
    <xf numFmtId="0" fontId="19" fillId="34" borderId="36" xfId="0" applyFont="1" applyFill="1" applyBorder="1" applyNumberFormat="1">
      <alignment horizontal="left" vertical="top" wrapText="1"/>
    </xf>
    <xf numFmtId="0" fontId="19" fillId="34" borderId="23" xfId="0" applyFont="1" applyFill="1" applyBorder="1" applyNumberFormat="1">
      <alignment horizontal="left" vertical="top"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19" fillId="0" borderId="29" xfId="0" applyFont="1" applyBorder="1" applyNumberFormat="1">
      <alignment horizontal="left" vertical="center" wrapText="1" indent="1"/>
    </xf>
    <xf numFmtId="0" fontId="19" fillId="0" borderId="23" xfId="0" applyFont="1" applyBorder="1" applyNumberFormat="1">
      <alignment horizontal="left" vertical="center" wrapText="1" indent="1"/>
    </xf>
    <xf numFmtId="0" fontId="19" fillId="0" borderId="30" xfId="0" applyFont="1" applyBorder="1" applyNumberFormat="1">
      <alignment horizontal="left" vertical="center" wrapText="1" indent="1"/>
    </xf>
    <xf numFmtId="0" fontId="36" fillId="0" borderId="0" xfId="0" applyFont="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19" fillId="0" borderId="19" xfId="0" applyFont="1" applyBorder="1" applyNumberFormat="1">
      <alignment horizontal="left" vertical="top" wrapText="1" inden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19" fillId="39" borderId="19" xfId="0" applyFont="1" applyFill="1" applyBorder="1" applyNumberFormat="1">
      <alignment horizontal="left" vertical="center" wrapText="1"/>
    </xf>
    <xf numFmtId="0" fontId="19" fillId="39" borderId="27" xfId="0" applyFont="1" applyFill="1" applyBorder="1" applyNumberFormat="1">
      <alignment horizontal="left" vertical="center" wrapText="1"/>
    </xf>
    <xf numFmtId="0" fontId="19" fillId="0" borderId="23" xfId="0" applyFont="1" applyBorder="1" applyNumberFormat="1">
      <alignment horizontal="center" vertical="center" wrapText="1"/>
    </xf>
    <xf numFmtId="0" fontId="19" fillId="0" borderId="20" xfId="0" applyFont="1" applyBorder="1" applyNumberFormat="1">
      <alignment horizontal="left" vertical="center" wrapText="1" indent="1"/>
    </xf>
    <xf numFmtId="0" fontId="19" fillId="0" borderId="17" xfId="0" applyFont="1" applyBorder="1" applyNumberFormat="1">
      <alignment horizontal="left" vertical="center" wrapText="1" indent="1"/>
    </xf>
    <xf numFmtId="0" fontId="19"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19" fillId="39" borderId="14" xfId="0" applyFont="1" applyFill="1" applyBorder="1" applyNumberFormat="1">
      <alignment horizontal="left" vertical="center" wrapText="1"/>
    </xf>
    <xf numFmtId="0" fontId="19" fillId="39" borderId="15" xfId="0" applyFont="1" applyFill="1" applyBorder="1" applyNumberFormat="1">
      <alignment horizontal="left" vertical="center" wrapText="1"/>
    </xf>
    <xf numFmtId="0" fontId="19" fillId="39" borderId="13" xfId="0" applyFont="1" applyFill="1" applyBorder="1" applyNumberFormat="1">
      <alignment horizontal="left" vertical="center" wrapText="1"/>
    </xf>
    <xf numFmtId="0" fontId="0" fillId="34" borderId="12" xfId="0" applyFont="1" applyFill="1" applyBorder="1" applyNumberFormat="1">
      <alignment horizontal="right" vertical="center" wrapText="1" indent="1"/>
    </xf>
    <xf numFmtId="174" fontId="19" fillId="33" borderId="12" xfId="0" applyFont="1" applyFill="1" applyBorder="1" applyNumberFormat="1">
      <alignment horizontal="left" vertical="center" wrapText="1" indent="1"/>
    </xf>
    <xf numFmtId="0" fontId="19" fillId="33" borderId="12" xfId="0" applyFont="1" applyFill="1" applyBorder="1" applyNumberFormat="1">
      <alignment horizontal="left" vertical="center" wrapText="1" indent="1"/>
    </xf>
    <xf numFmtId="0" fontId="19" fillId="33" borderId="14" xfId="0" applyFont="1" applyFill="1" applyBorder="1" applyNumberFormat="1">
      <alignment horizontal="left" vertical="center" wrapText="1"/>
    </xf>
    <xf numFmtId="0" fontId="19" fillId="33" borderId="15" xfId="0" applyFont="1" applyFill="1" applyBorder="1" applyNumberFormat="1">
      <alignment horizontal="left" vertical="center" wrapText="1"/>
    </xf>
    <xf numFmtId="0" fontId="19" fillId="33" borderId="13" xfId="0" applyFont="1" applyFill="1" applyBorder="1" applyNumberFormat="1">
      <alignment horizontal="left" vertical="center" wrapText="1"/>
    </xf>
    <xf numFmtId="49" fontId="36" fillId="0" borderId="12" xfId="0" applyFont="1" applyBorder="1" applyNumberFormat="1">
      <alignment horizontal="center" vertical="center" wrapText="1"/>
    </xf>
    <xf numFmtId="174" fontId="36" fillId="0" borderId="12" xfId="0" applyFont="1" applyBorder="1" applyNumberFormat="1">
      <alignment horizontal="center" vertical="center" wrapText="1"/>
    </xf>
    <xf numFmtId="0" fontId="19" fillId="0" borderId="0" xfId="0" applyFont="1" applyNumberFormat="1">
      <alignment horizontal="left" vertical="top" wrapText="1"/>
    </xf>
    <xf numFmtId="0" fontId="36" fillId="0" borderId="12" xfId="0" applyFont="1" applyBorder="1" applyNumberFormat="1">
      <alignment horizontal="center" vertical="center"/>
    </xf>
    <xf numFmtId="0" fontId="36" fillId="0" borderId="14" xfId="0" applyFont="1" applyBorder="1" applyNumberFormat="1">
      <alignment horizontal="center" vertical="center"/>
    </xf>
    <xf numFmtId="0" fontId="36" fillId="0" borderId="12" xfId="0" applyFont="1" applyBorder="1" applyNumberFormat="1">
      <alignment horizontal="center" vertical="center" wrapText="1"/>
    </xf>
    <xf numFmtId="0" fontId="36" fillId="0" borderId="14" xfId="0" applyFont="1" applyBorder="1" applyNumberFormat="1">
      <alignment horizontal="center" vertical="center" wrapText="1"/>
    </xf>
    <xf numFmtId="0" fontId="37" fillId="0" borderId="0" xfId="0" applyFont="1" applyNumberFormat="1">
      <alignment horizontal="center" vertical="center" wrapText="1"/>
    </xf>
    <xf numFmtId="174" fontId="0" fillId="38" borderId="12" xfId="0" applyFont="1" applyFill="1" applyBorder="1" applyNumberFormat="1">
      <alignment horizontal="center" vertical="center" wrapText="1"/>
      <protection locked="0"/>
    </xf>
    <xf numFmtId="49" fontId="0" fillId="38" borderId="12" xfId="0" applyFont="1" applyFill="1" applyBorder="1" applyNumberFormat="1">
      <alignment horizontal="center" vertical="center" wrapText="1"/>
      <protection locked="0"/>
    </xf>
    <xf numFmtId="174" fontId="0" fillId="38" borderId="17" xfId="0" applyFont="1" applyFill="1" applyBorder="1" applyNumberFormat="1">
      <alignment horizontal="center" vertical="center" wrapText="1"/>
      <protection locked="0"/>
    </xf>
    <xf numFmtId="49" fontId="0" fillId="38" borderId="23" xfId="0" applyFont="1" applyFill="1" applyBorder="1" applyNumberFormat="1">
      <alignment horizontal="center" vertical="center" wrapText="1"/>
      <protection locked="0"/>
    </xf>
    <xf numFmtId="0" fontId="36" fillId="0" borderId="17" xfId="0" applyFont="1" applyBorder="1" applyNumberFormat="1">
      <alignment horizontal="center" vertical="center" wrapText="1"/>
    </xf>
    <xf numFmtId="0" fontId="36" fillId="0" borderId="23" xfId="0" applyFont="1" applyBorder="1" applyNumberFormat="1">
      <alignment horizontal="center" vertical="center" wrapText="1"/>
    </xf>
    <xf numFmtId="0" fontId="19" fillId="0" borderId="14" xfId="0" applyFont="1" applyBorder="1" applyNumberFormat="1">
      <alignment horizontal="center" vertical="center" wrapText="1"/>
    </xf>
    <xf numFmtId="0" fontId="19" fillId="0" borderId="15" xfId="0" applyFont="1" applyBorder="1" applyNumberFormat="1">
      <alignment horizontal="center" vertical="center" wrapText="1"/>
    </xf>
    <xf numFmtId="0" fontId="19"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70" fillId="34" borderId="19" xfId="0" applyFont="1" applyFill="1" applyBorder="1" applyNumberFormat="1">
      <alignment horizontal="center" vertical="center" wrapText="1"/>
    </xf>
    <xf numFmtId="0" fontId="25" fillId="0" borderId="27" xfId="0" applyFont="1" applyBorder="1" applyNumberFormat="1">
      <alignment horizontal="center" vertical="center" wrapText="1"/>
    </xf>
    <xf numFmtId="0" fontId="19" fillId="34" borderId="12" xfId="0" applyFont="1" applyFill="1" applyBorder="1" applyNumberFormat="1">
      <alignment horizontal="left" vertical="center" wrapText="1"/>
    </xf>
    <xf numFmtId="0" fontId="0" fillId="34" borderId="14" xfId="0" applyFont="1" applyFill="1" applyBorder="1" applyNumberFormat="1">
      <alignment horizontal="center" vertical="center" wrapText="1"/>
    </xf>
    <xf numFmtId="0" fontId="0" fillId="34" borderId="15" xfId="0" applyFont="1" applyFill="1" applyBorder="1" applyNumberFormat="1">
      <alignment horizontal="center" vertical="center" wrapText="1"/>
    </xf>
    <xf numFmtId="0" fontId="0" fillId="34" borderId="13" xfId="0" applyFont="1" applyFill="1" applyBorder="1" applyNumberFormat="1">
      <alignment horizontal="center" vertical="center" wrapText="1"/>
    </xf>
    <xf numFmtId="0" fontId="19" fillId="34" borderId="17" xfId="0" applyFont="1" applyFill="1" applyBorder="1" applyNumberFormat="1">
      <alignment horizontal="center" vertical="center" wrapText="1"/>
    </xf>
    <xf numFmtId="0" fontId="19" fillId="34" borderId="36" xfId="0" applyFont="1" applyFill="1" applyBorder="1" applyNumberFormat="1">
      <alignment horizontal="center" vertical="center" wrapText="1"/>
    </xf>
    <xf numFmtId="0" fontId="19" fillId="34" borderId="23" xfId="0" applyFont="1" applyFill="1" applyBorder="1" applyNumberFormat="1">
      <alignment horizontal="center" vertical="center" wrapText="1"/>
    </xf>
    <xf numFmtId="49" fontId="29" fillId="36" borderId="17" xfId="0" applyFont="1" applyFill="1" applyBorder="1" applyNumberFormat="1">
      <alignment horizontal="center" vertical="center" textRotation="90" wrapText="1"/>
    </xf>
    <xf numFmtId="49" fontId="29" fillId="36" borderId="36" xfId="0" applyFont="1" applyFill="1" applyBorder="1" applyNumberFormat="1">
      <alignment horizontal="center" vertical="center" textRotation="90" wrapText="1"/>
    </xf>
    <xf numFmtId="49" fontId="29" fillId="36" borderId="23" xfId="0" applyFont="1" applyFill="1" applyBorder="1" applyNumberFormat="1">
      <alignment horizontal="center" vertical="center" textRotation="90" wrapText="1"/>
    </xf>
    <xf numFmtId="0" fontId="19" fillId="0" borderId="17" xfId="0" applyFont="1" applyBorder="1" applyNumberFormat="1">
      <alignment horizontal="center" vertical="center" wrapText="1"/>
    </xf>
    <xf numFmtId="0" fontId="19" fillId="0" borderId="23" xfId="0" applyFont="1" applyBorder="1" applyNumberFormat="1">
      <alignment horizontal="center" vertical="center" wrapText="1"/>
    </xf>
    <xf numFmtId="0" fontId="34" fillId="0" borderId="17" xfId="0" applyFont="1" applyBorder="1" applyNumberFormat="1">
      <alignment horizontal="left" vertical="top" wrapText="1"/>
    </xf>
    <xf numFmtId="0" fontId="34" fillId="0" borderId="36" xfId="0" applyFont="1" applyBorder="1" applyNumberFormat="1">
      <alignment horizontal="left" vertical="top" wrapText="1"/>
    </xf>
    <xf numFmtId="0" fontId="34" fillId="0" borderId="23" xfId="0" applyFont="1" applyBorder="1" applyNumberFormat="1">
      <alignment horizontal="left" vertical="top" wrapText="1"/>
    </xf>
    <xf numFmtId="0" fontId="19" fillId="0" borderId="19" xfId="0" applyFont="1" applyBorder="1" applyNumberFormat="1">
      <alignment horizontal="left" vertical="top" wrapText="1" indent="1"/>
    </xf>
    <xf numFmtId="0" fontId="19" fillId="0" borderId="27" xfId="0" applyFont="1" applyBorder="1" applyNumberFormat="1">
      <alignment horizontal="left" vertical="center" wrapText="1" indent="1"/>
    </xf>
    <xf numFmtId="0" fontId="37" fillId="0" borderId="17" xfId="0" applyFont="1" applyBorder="1" applyNumberFormat="1">
      <alignment horizontal="center" vertical="center" wrapText="1"/>
    </xf>
    <xf numFmtId="0" fontId="37" fillId="0" borderId="23" xfId="0" applyFont="1" applyBorder="1" applyNumberFormat="1">
      <alignment horizontal="center" vertical="center" wrapText="1"/>
    </xf>
    <xf numFmtId="0" fontId="19" fillId="0" borderId="37" xfId="0" applyFont="1" applyBorder="1" applyNumberFormat="1">
      <alignment horizontal="center" vertical="center" wrapText="1"/>
    </xf>
    <xf numFmtId="0" fontId="19" fillId="0" borderId="30" xfId="0" applyFont="1" applyBorder="1" applyNumberFormat="1">
      <alignment horizontal="center" vertical="center" wrapText="1"/>
    </xf>
    <xf numFmtId="0" fontId="0" fillId="34" borderId="19" xfId="0" applyFont="1" applyFill="1" applyBorder="1" applyNumberFormat="1">
      <alignment horizontal="center" vertical="center" wrapText="1"/>
    </xf>
    <xf numFmtId="0" fontId="37" fillId="0" borderId="14" xfId="0" applyFont="1" applyBorder="1" applyNumberFormat="1">
      <alignment horizontal="left" vertical="center" wrapText="1"/>
    </xf>
    <xf numFmtId="0" fontId="37" fillId="0" borderId="15" xfId="0" applyFont="1" applyBorder="1" applyNumberFormat="1">
      <alignment horizontal="left" vertical="center" wrapText="1"/>
    </xf>
    <xf numFmtId="0" fontId="37" fillId="0" borderId="13" xfId="0" applyFont="1" applyBorder="1" applyNumberFormat="1">
      <alignment horizontal="left" vertical="center" wrapText="1"/>
    </xf>
    <xf numFmtId="0" fontId="0" fillId="0" borderId="0" xfId="0" applyFont="1" applyNumberFormat="1">
      <alignment horizontal="left" vertical="top" wrapText="1"/>
    </xf>
    <xf numFmtId="0" fontId="19" fillId="0" borderId="19" xfId="0" applyFont="1" applyBorder="1" applyNumberFormat="1">
      <alignment horizontal="left" vertical="center" wrapText="1" indent="1"/>
    </xf>
    <xf numFmtId="49" fontId="0" fillId="38" borderId="12" xfId="0" applyFont="1" applyFill="1" applyBorder="1" applyNumberFormat="1">
      <alignment horizontal="center" vertical="center" wrapText="1"/>
      <protection locked="0"/>
    </xf>
    <xf numFmtId="0" fontId="19"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19" fillId="0" borderId="19" xfId="0" applyFont="1" applyBorder="1" applyNumberFormat="1">
      <alignment horizontal="center" vertical="center" wrapText="1"/>
    </xf>
    <xf numFmtId="0" fontId="19" fillId="0" borderId="20" xfId="0" applyFont="1" applyBorder="1" applyNumberFormat="1">
      <alignment horizontal="center" vertical="center" wrapText="1"/>
    </xf>
    <xf numFmtId="0" fontId="19" fillId="0" borderId="27" xfId="0" applyFont="1" applyBorder="1" applyNumberFormat="1">
      <alignment horizontal="center" vertical="center" wrapText="1"/>
    </xf>
    <xf numFmtId="0" fontId="19" fillId="0" borderId="29" xfId="0" applyFont="1" applyBorder="1" applyNumberFormat="1">
      <alignment horizontal="center" vertical="center" wrapText="1"/>
    </xf>
    <xf numFmtId="0" fontId="19" fillId="0" borderId="22" xfId="0" applyFont="1" applyBorder="1" applyNumberFormat="1">
      <alignment horizontal="center" vertical="center" wrapText="1"/>
    </xf>
    <xf numFmtId="0" fontId="19" fillId="0" borderId="12" xfId="0" applyFont="1" applyBorder="1" applyNumberFormat="1">
      <alignment horizontal="center" vertical="center"/>
    </xf>
    <xf numFmtId="0" fontId="19" fillId="0" borderId="14" xfId="0" applyFont="1" applyBorder="1" applyNumberFormat="1">
      <alignment horizontal="center" vertical="center"/>
    </xf>
    <xf numFmtId="0" fontId="19" fillId="0" borderId="12" xfId="0" applyFont="1" applyBorder="1" applyNumberFormat="1">
      <alignment horizontal="center" vertical="center"/>
    </xf>
    <xf numFmtId="0" fontId="19" fillId="0" borderId="14" xfId="0" applyFont="1" applyBorder="1" applyNumberFormat="1">
      <alignment horizontal="center" vertical="center"/>
    </xf>
    <xf numFmtId="0" fontId="19" fillId="39" borderId="20" xfId="0" applyFont="1" applyFill="1" applyBorder="1" applyNumberFormat="1">
      <alignment horizontal="left" vertical="center" wrapText="1"/>
    </xf>
    <xf numFmtId="49" fontId="19" fillId="0" borderId="12" xfId="0" applyFont="1" applyBorder="1" applyNumberFormat="1">
      <alignment horizontal="left" vertical="center" wrapText="1" indent="1"/>
    </xf>
    <xf numFmtId="0" fontId="0" fillId="34" borderId="37" xfId="0" applyFont="1" applyFill="1" applyBorder="1" applyNumberFormat="1">
      <alignment horizontal="center" vertical="center" wrapText="1"/>
    </xf>
    <xf numFmtId="0" fontId="0" fillId="34" borderId="20" xfId="0" applyFont="1" applyFill="1" applyBorder="1" applyNumberFormat="1">
      <alignment horizontal="center" vertical="center" wrapText="1"/>
    </xf>
    <xf numFmtId="0" fontId="0" fillId="34" borderId="22" xfId="0" applyFont="1" applyFill="1" applyBorder="1" applyNumberFormat="1">
      <alignment horizontal="center" vertical="center" wrapText="1"/>
    </xf>
    <xf numFmtId="0" fontId="0" fillId="34" borderId="0" xfId="0" applyFont="1" applyFill="1" applyNumberFormat="1">
      <alignment horizontal="center" vertical="center" wrapText="1"/>
    </xf>
    <xf numFmtId="0" fontId="0" fillId="34" borderId="30" xfId="0" applyFont="1" applyFill="1" applyBorder="1" applyNumberFormat="1">
      <alignment horizontal="center" vertical="center" wrapText="1"/>
    </xf>
    <xf numFmtId="0" fontId="0" fillId="34" borderId="27" xfId="0" applyFont="1" applyFill="1" applyBorder="1" applyNumberFormat="1">
      <alignment horizontal="center" vertical="center" wrapText="1"/>
    </xf>
    <xf numFmtId="0" fontId="0" fillId="34" borderId="29" xfId="0" applyFont="1" applyFill="1" applyBorder="1" applyNumberFormat="1">
      <alignment horizontal="center" vertical="center" wrapText="1"/>
    </xf>
    <xf numFmtId="0" fontId="25" fillId="0" borderId="12" xfId="0" applyFont="1" applyBorder="1" applyNumberFormat="1">
      <alignment horizontal="center" vertical="center" wrapText="1"/>
    </xf>
    <xf numFmtId="49" fontId="19" fillId="38" borderId="17" xfId="0" applyFont="1" applyFill="1" applyBorder="1" applyNumberFormat="1">
      <alignment horizontal="left" vertical="center" wrapText="1" indent="6"/>
      <protection locked="0"/>
    </xf>
    <xf numFmtId="49" fontId="19" fillId="38" borderId="36" xfId="0" applyFont="1" applyFill="1" applyBorder="1" applyNumberFormat="1">
      <alignment horizontal="left" vertical="center" wrapText="1" indent="6"/>
      <protection locked="0"/>
    </xf>
    <xf numFmtId="49" fontId="19" fillId="38" borderId="23" xfId="0" applyFont="1" applyFill="1" applyBorder="1" applyNumberFormat="1">
      <alignment horizontal="left" vertical="center" wrapText="1" indent="6"/>
      <protection locked="0"/>
    </xf>
    <xf numFmtId="0" fontId="19" fillId="34" borderId="17" xfId="0" applyFont="1" applyFill="1" applyBorder="1" applyNumberFormat="1">
      <alignment horizontal="left" vertical="center" wrapText="1"/>
    </xf>
    <xf numFmtId="0" fontId="19" fillId="34" borderId="36" xfId="0" applyFont="1" applyFill="1" applyBorder="1" applyNumberFormat="1">
      <alignment horizontal="left" vertical="center" wrapText="1"/>
    </xf>
    <xf numFmtId="0" fontId="19" fillId="34" borderId="23" xfId="0" applyFont="1" applyFill="1" applyBorder="1" applyNumberFormat="1">
      <alignment horizontal="left" vertical="center" wrapText="1"/>
    </xf>
    <xf numFmtId="0" fontId="37" fillId="0" borderId="24" xfId="0" applyFont="1" applyBorder="1" applyNumberFormat="1">
      <alignment horizontal="center" vertical="top" wrapText="1"/>
    </xf>
    <xf numFmtId="0" fontId="0" fillId="34" borderId="24" xfId="0" applyFont="1" applyFill="1" applyBorder="1" applyNumberFormat="1">
      <alignment horizontal="center" vertical="center" wrapText="1"/>
    </xf>
    <xf numFmtId="0" fontId="19" fillId="34" borderId="37" xfId="0" applyFont="1" applyFill="1" applyBorder="1" applyNumberFormat="1">
      <alignment horizontal="center" vertical="center" wrapText="1"/>
    </xf>
    <xf numFmtId="0" fontId="19" fillId="34" borderId="22" xfId="0" applyFont="1" applyFill="1" applyBorder="1" applyNumberFormat="1">
      <alignment horizontal="center" vertical="center" wrapText="1"/>
    </xf>
    <xf numFmtId="0" fontId="19" fillId="34" borderId="30" xfId="0" applyFont="1" applyFill="1" applyBorder="1" applyNumberFormat="1">
      <alignment horizontal="center" vertical="center" wrapText="1"/>
    </xf>
    <xf numFmtId="0" fontId="19" fillId="38" borderId="12" xfId="0" applyFont="1" applyFill="1" applyBorder="1" applyNumberFormat="1">
      <alignment horizontal="center" vertical="center" wrapText="1"/>
      <protection locked="0"/>
    </xf>
    <xf numFmtId="49" fontId="19" fillId="39" borderId="12" xfId="0" applyFont="1" applyFill="1" applyBorder="1" applyNumberFormat="1">
      <alignment horizontal="left" vertical="center" wrapText="1" indent="1"/>
    </xf>
    <xf numFmtId="0" fontId="19" fillId="35" borderId="14" xfId="0" applyFont="1" applyFill="1" applyBorder="1" applyNumberFormat="1">
      <alignment horizontal="left" vertical="center" wrapText="1"/>
      <protection locked="0"/>
    </xf>
    <xf numFmtId="0" fontId="19" fillId="35" borderId="15" xfId="0" applyFont="1" applyFill="1" applyBorder="1" applyNumberFormat="1">
      <alignment horizontal="left" vertical="center" wrapText="1"/>
      <protection locked="0"/>
    </xf>
    <xf numFmtId="0" fontId="19" fillId="35" borderId="13" xfId="0" applyFont="1" applyFill="1" applyBorder="1" applyNumberFormat="1">
      <alignment horizontal="left" vertical="center" wrapText="1"/>
      <protection locked="0"/>
    </xf>
    <xf numFmtId="49" fontId="19" fillId="35" borderId="14" xfId="0" applyFont="1" applyFill="1" applyBorder="1" applyNumberFormat="1">
      <alignment horizontal="left" vertical="center" wrapText="1"/>
      <protection locked="0"/>
    </xf>
    <xf numFmtId="49" fontId="19" fillId="35" borderId="15" xfId="0" applyFont="1" applyFill="1" applyBorder="1" applyNumberFormat="1">
      <alignment horizontal="left" vertical="center" wrapText="1"/>
      <protection locked="0"/>
    </xf>
    <xf numFmtId="49" fontId="19" fillId="35" borderId="13" xfId="0" applyFont="1" applyFill="1" applyBorder="1" applyNumberFormat="1">
      <alignment horizontal="left" vertical="center" wrapText="1"/>
      <protection locked="0"/>
    </xf>
    <xf numFmtId="0" fontId="34" fillId="0" borderId="12" xfId="0" applyFont="1" applyBorder="1" applyNumberFormat="1">
      <alignment horizontal="left" vertical="top" wrapText="1"/>
    </xf>
    <xf numFmtId="49" fontId="19" fillId="39" borderId="12" xfId="0" applyFont="1" applyFill="1" applyBorder="1" applyNumberFormat="1">
      <alignment horizontal="left" vertical="center" wrapText="1" indent="1"/>
      <protection locked="0"/>
    </xf>
    <xf numFmtId="4" fontId="19" fillId="38" borderId="12" xfId="0" applyFont="1" applyFill="1" applyBorder="1" applyNumberFormat="1">
      <alignment horizontal="left" vertical="center" wrapText="1" indent="1"/>
      <protection locked="0"/>
    </xf>
    <xf numFmtId="49" fontId="19" fillId="35" borderId="17" xfId="0" applyFont="1" applyFill="1" applyBorder="1" applyNumberFormat="1">
      <alignment horizontal="left" vertical="center" wrapText="1" indent="6"/>
      <protection locked="0"/>
    </xf>
    <xf numFmtId="49" fontId="19" fillId="35" borderId="36" xfId="0" applyFont="1" applyFill="1" applyBorder="1" applyNumberFormat="1">
      <alignment horizontal="left" vertical="center" wrapText="1" indent="6"/>
      <protection locked="0"/>
    </xf>
    <xf numFmtId="49" fontId="19" fillId="35" borderId="23" xfId="0" applyFont="1" applyFill="1" applyBorder="1" applyNumberFormat="1">
      <alignment horizontal="left" vertical="center" wrapText="1" indent="6"/>
      <protection locked="0"/>
    </xf>
    <xf numFmtId="4" fontId="19" fillId="38" borderId="12" xfId="0" applyFont="1" applyFill="1" applyBorder="1" applyNumberFormat="1">
      <alignment horizontal="center" vertical="center" wrapText="1"/>
      <protection locked="0"/>
    </xf>
    <xf numFmtId="49" fontId="19" fillId="39" borderId="20" xfId="0" applyFont="1" applyFill="1" applyBorder="1" applyNumberFormat="1">
      <alignment horizontal="center" vertical="center" wrapText="1"/>
    </xf>
    <xf numFmtId="49" fontId="19" fillId="39" borderId="29" xfId="0" applyFont="1" applyFill="1" applyBorder="1" applyNumberFormat="1">
      <alignment horizontal="center" vertical="center" wrapText="1"/>
    </xf>
    <xf numFmtId="0" fontId="37" fillId="0" borderId="19" xfId="0" applyFont="1" applyBorder="1" applyNumberFormat="1">
      <alignment horizontal="left" vertical="center" wrapText="1"/>
    </xf>
    <xf numFmtId="49" fontId="81" fillId="45" borderId="0" xfId="0" applyFont="1" applyFill="1" applyNumberFormat="1">
      <alignment horizontal="center" vertical="center" textRotation="90" wrapText="1"/>
    </xf>
    <xf numFmtId="0" fontId="63" fillId="0" borderId="0" xfId="0" applyFont="1" applyNumberFormat="1">
      <alignment horizontal="center" vertical="center" wrapText="1"/>
    </xf>
    <xf numFmtId="49" fontId="81" fillId="45" borderId="0" xfId="0" applyFont="1" applyFill="1" applyNumberFormat="1">
      <alignment horizontal="center" vertical="center" textRotation="90" wrapText="1"/>
    </xf>
    <xf numFmtId="0" fontId="19" fillId="0" borderId="15" xfId="0" applyFont="1" applyBorder="1" applyNumberFormat="1">
      <alignment horizontal="right" vertical="center" wrapText="1" indent="1"/>
    </xf>
    <xf numFmtId="0" fontId="19" fillId="0" borderId="13" xfId="0" applyFont="1" applyBorder="1" applyNumberFormat="1">
      <alignment horizontal="right" vertical="center" wrapText="1" indent="1"/>
    </xf>
    <xf numFmtId="0" fontId="19" fillId="0" borderId="14" xfId="0" applyFont="1" applyBorder="1" applyNumberFormat="1">
      <alignment horizontal="right" vertical="center" wrapText="1"/>
    </xf>
    <xf numFmtId="0" fontId="19" fillId="0" borderId="15" xfId="0" applyFont="1" applyBorder="1" applyNumberFormat="1">
      <alignment horizontal="right" vertical="center" wrapText="1"/>
    </xf>
    <xf numFmtId="49" fontId="37" fillId="0" borderId="17" xfId="0" applyFont="1" applyBorder="1" applyNumberFormat="1">
      <alignment horizontal="center" vertical="center" wrapText="1"/>
    </xf>
    <xf numFmtId="49" fontId="37" fillId="0" borderId="36" xfId="0" applyFont="1" applyBorder="1" applyNumberFormat="1">
      <alignment horizontal="center" vertical="center" wrapText="1"/>
    </xf>
    <xf numFmtId="49" fontId="37" fillId="0" borderId="23" xfId="0" applyFont="1" applyBorder="1" applyNumberFormat="1">
      <alignment horizontal="center" vertical="center" wrapText="1"/>
    </xf>
    <xf numFmtId="0" fontId="0" fillId="33" borderId="12" xfId="0" applyFont="1" applyFill="1" applyBorder="1" applyNumberFormat="1">
      <alignment horizontal="left" vertical="center" wrapText="1" indent="1"/>
    </xf>
    <xf numFmtId="0" fontId="34" fillId="0" borderId="0" xfId="0" applyFont="1" applyNumberFormat="1">
      <alignment horizontal="left" vertical="top" wrapText="1"/>
    </xf>
    <xf numFmtId="0" fontId="19" fillId="0" borderId="23" xfId="0" applyFont="1" applyBorder="1" applyNumberFormat="1">
      <alignment horizontal="left" vertical="center" wrapText="1"/>
    </xf>
    <xf numFmtId="0" fontId="37" fillId="0" borderId="0" xfId="0" applyFont="1" applyNumberFormat="1">
      <alignment horizontal="center" vertical="center" wrapText="1"/>
    </xf>
    <xf numFmtId="0" fontId="36" fillId="0" borderId="0" xfId="0" applyFont="1" applyNumberFormat="1">
      <alignment horizontal="center" vertical="top"/>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37" fillId="0" borderId="15" xfId="0" applyFont="1" applyBorder="1" applyNumberFormat="1">
      <alignment horizontal="right" vertical="center" wrapText="1" indent="1"/>
    </xf>
    <xf numFmtId="0" fontId="37" fillId="0" borderId="13" xfId="0" applyFont="1" applyBorder="1" applyNumberFormat="1">
      <alignment horizontal="right" vertical="center" wrapText="1" indent="1"/>
    </xf>
    <xf numFmtId="0" fontId="19" fillId="33" borderId="14" xfId="0" applyFont="1" applyFill="1" applyBorder="1" applyNumberFormat="1">
      <alignment horizontal="left" vertical="top" wrapText="1"/>
    </xf>
    <xf numFmtId="0" fontId="19" fillId="33" borderId="13" xfId="0" applyFont="1" applyFill="1" applyBorder="1" applyNumberFormat="1">
      <alignment horizontal="left" vertical="top" wrapText="1"/>
    </xf>
    <xf numFmtId="49" fontId="19" fillId="55" borderId="0" xfId="0" applyFont="1" applyFill="1" applyNumberFormat="1">
      <alignment horizontal="center" vertical="center" textRotation="90" wrapText="1"/>
    </xf>
    <xf numFmtId="0" fontId="19" fillId="0" borderId="0" xfId="0" applyFont="1" applyNumberFormat="1">
      <alignment horizontal="left" vertical="top" wrapText="1"/>
    </xf>
    <xf numFmtId="49" fontId="19" fillId="0" borderId="0" xfId="0" applyFont="1" applyNumberFormat="1">
      <alignment vertical="center" wrapText="1"/>
    </xf>
    <xf numFmtId="0" fontId="25" fillId="0" borderId="24" xfId="0" applyFont="1" applyBorder="1" applyNumberFormat="1">
      <alignment horizontal="center" vertical="center" wrapText="1"/>
    </xf>
    <xf numFmtId="0" fontId="19" fillId="33" borderId="14" xfId="0" applyFont="1" applyFill="1" applyBorder="1" applyNumberFormat="1">
      <alignment horizontal="left" vertical="top" wrapText="1" indent="1"/>
    </xf>
    <xf numFmtId="0" fontId="19" fillId="33" borderId="13" xfId="0" applyFont="1" applyFill="1" applyBorder="1" applyNumberFormat="1">
      <alignment horizontal="left" vertical="top" wrapText="1" indent="1"/>
    </xf>
    <xf numFmtId="49" fontId="0" fillId="0" borderId="12" xfId="0" applyFont="1" applyBorder="1" applyNumberFormat="1">
      <alignment horizontal="center" vertical="center" wrapText="1"/>
    </xf>
    <xf numFmtId="49" fontId="19" fillId="0" borderId="14" xfId="0" applyFont="1" applyBorder="1" applyNumberFormat="1">
      <alignment horizontal="center" vertical="center" wrapText="1"/>
    </xf>
    <xf numFmtId="49" fontId="37" fillId="0" borderId="12" xfId="0" applyFont="1" applyBorder="1" applyNumberFormat="1">
      <alignment horizontal="center" vertical="center" wrapText="1"/>
    </xf>
    <xf numFmtId="49" fontId="19" fillId="0" borderId="12" xfId="0" applyFont="1" applyBorder="1" applyNumberFormat="1">
      <alignment horizontal="left" vertical="center" wrapText="1"/>
    </xf>
    <xf numFmtId="0" fontId="0" fillId="34" borderId="14" xfId="0" applyFont="1" applyFill="1" applyBorder="1" applyNumberFormat="1">
      <alignment horizontal="center" vertical="center" wrapText="1"/>
    </xf>
    <xf numFmtId="0" fontId="0" fillId="34" borderId="15" xfId="0" applyFont="1" applyFill="1" applyBorder="1" applyNumberFormat="1">
      <alignment horizontal="center" vertical="center" wrapText="1"/>
    </xf>
    <xf numFmtId="0" fontId="0" fillId="34" borderId="13"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0" borderId="12" xfId="0" applyFont="1" applyBorder="1" applyNumberFormat="1">
      <alignment horizontal="center" vertical="center" wrapText="1"/>
    </xf>
    <xf numFmtId="0" fontId="19" fillId="0" borderId="0" xfId="0" applyFont="1" applyNumberFormat="1">
      <alignment horizontal="left" vertical="center" wrapText="1"/>
    </xf>
    <xf numFmtId="0" fontId="19" fillId="34" borderId="12" xfId="0" applyFont="1" applyFill="1" applyBorder="1" applyNumberFormat="1">
      <alignment horizontal="center" vertical="center" wrapText="1"/>
    </xf>
    <xf numFmtId="0" fontId="19" fillId="34" borderId="37" xfId="0" applyFont="1" applyFill="1" applyBorder="1" applyNumberFormat="1">
      <alignment horizontal="center" vertical="center" wrapText="1"/>
    </xf>
    <xf numFmtId="0" fontId="19" fillId="34" borderId="20" xfId="0" applyFont="1" applyFill="1" applyBorder="1" applyNumberFormat="1">
      <alignment horizontal="center" vertical="center" wrapText="1"/>
    </xf>
    <xf numFmtId="0" fontId="19" fillId="34" borderId="22" xfId="0" applyFont="1" applyFill="1" applyBorder="1" applyNumberFormat="1">
      <alignment horizontal="center" vertical="center" wrapText="1"/>
    </xf>
    <xf numFmtId="0" fontId="19" fillId="34" borderId="24" xfId="0" applyFont="1" applyFill="1" applyBorder="1" applyNumberFormat="1">
      <alignment horizontal="center" vertical="center" wrapText="1"/>
    </xf>
    <xf numFmtId="0" fontId="19" fillId="34" borderId="30" xfId="0" applyFont="1" applyFill="1" applyBorder="1" applyNumberFormat="1">
      <alignment horizontal="center" vertical="center" wrapText="1"/>
    </xf>
    <xf numFmtId="0" fontId="19" fillId="34" borderId="29" xfId="0" applyFont="1" applyFill="1" applyBorder="1" applyNumberFormat="1">
      <alignment horizontal="center" vertical="center" wrapText="1"/>
    </xf>
    <xf numFmtId="0" fontId="19" fillId="0" borderId="62" xfId="0" applyFont="1" applyBorder="1" applyNumberFormat="1">
      <alignment horizontal="center" vertical="center"/>
    </xf>
    <xf numFmtId="0" fontId="19" fillId="0" borderId="63" xfId="0" applyFont="1" applyBorder="1" applyNumberFormat="1">
      <alignment horizontal="center" vertical="center"/>
    </xf>
    <xf numFmtId="0" fontId="19" fillId="0" borderId="65" xfId="0" applyFont="1" applyBorder="1" applyNumberFormat="1">
      <alignment horizontal="center" vertical="center"/>
    </xf>
    <xf numFmtId="0" fontId="19" fillId="0" borderId="75" xfId="0" applyFont="1" applyBorder="1" applyNumberFormat="1">
      <alignment horizontal="center" vertical="center"/>
    </xf>
    <xf numFmtId="0" fontId="19"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3" borderId="12" xfId="0" applyFont="1" applyFill="1" applyBorder="1" applyNumberFormat="1">
      <alignment horizontal="center" vertical="center" wrapText="1"/>
    </xf>
    <xf numFmtId="49" fontId="0" fillId="0" borderId="12" xfId="0" applyFont="1" applyBorder="1" applyNumberFormat="1">
      <alignment horizontal="center" vertical="center"/>
    </xf>
    <xf numFmtId="0" fontId="19" fillId="34" borderId="20" xfId="0" applyFont="1" applyFill="1" applyBorder="1" applyNumberFormat="1">
      <alignment horizontal="center" vertical="center" wrapText="1"/>
    </xf>
    <xf numFmtId="0" fontId="19" fillId="34" borderId="29" xfId="0" applyFont="1" applyFill="1" applyBorder="1" applyNumberFormat="1">
      <alignment horizontal="center" vertical="center" wrapText="1"/>
    </xf>
    <xf numFmtId="0" fontId="19" fillId="34" borderId="14" xfId="0" applyFont="1" applyFill="1" applyBorder="1" applyNumberFormat="1">
      <alignment horizontal="center" vertical="center" wrapText="1"/>
    </xf>
    <xf numFmtId="0" fontId="19" fillId="34" borderId="13" xfId="0" applyFont="1" applyFill="1" applyBorder="1" applyNumberFormat="1">
      <alignment horizontal="center" vertical="center" wrapText="1"/>
    </xf>
    <xf numFmtId="0" fontId="19" fillId="40" borderId="12" xfId="0" applyFont="1" applyFill="1" applyBorder="1" applyNumberFormat="1">
      <alignment horizontal="center" vertical="center" wrapText="1"/>
    </xf>
    <xf numFmtId="0" fontId="19" fillId="40" borderId="14" xfId="0" applyFont="1" applyFill="1" applyBorder="1" applyNumberFormat="1">
      <alignment horizontal="center" vertical="center" wrapText="1"/>
    </xf>
    <xf numFmtId="0" fontId="19" fillId="34" borderId="15" xfId="0" applyFont="1" applyFill="1" applyBorder="1" applyNumberFormat="1">
      <alignment horizontal="center" vertical="center" wrapText="1"/>
    </xf>
    <xf numFmtId="49" fontId="19" fillId="50" borderId="14" xfId="0" applyFont="1" applyFill="1" applyBorder="1" applyNumberFormat="1">
      <alignment horizontal="center" vertical="center" wrapText="1"/>
    </xf>
    <xf numFmtId="49" fontId="19" fillId="50" borderId="15" xfId="0" applyFont="1" applyFill="1" applyBorder="1" applyNumberFormat="1">
      <alignment horizontal="center" vertical="center" wrapText="1"/>
    </xf>
    <xf numFmtId="49" fontId="19" fillId="40" borderId="19" xfId="0" applyFont="1" applyFill="1" applyBorder="1" applyNumberFormat="1">
      <alignment horizontal="center" vertical="center" wrapText="1"/>
    </xf>
    <xf numFmtId="49" fontId="19" fillId="40" borderId="0" xfId="0" applyFont="1" applyFill="1" applyNumberFormat="1">
      <alignment horizontal="center" vertical="center" wrapText="1"/>
    </xf>
    <xf numFmtId="49" fontId="19" fillId="40" borderId="27" xfId="0" applyFont="1" applyFill="1" applyBorder="1" applyNumberFormat="1">
      <alignment horizontal="center" vertical="center" wrapText="1"/>
    </xf>
    <xf numFmtId="0" fontId="19" fillId="40" borderId="13" xfId="0" applyFont="1" applyFill="1" applyBorder="1" applyNumberFormat="1">
      <alignment horizontal="center" vertical="center" wrapText="1"/>
    </xf>
    <xf numFmtId="0" fontId="19" fillId="48" borderId="14" xfId="0" applyFont="1" applyFill="1" applyBorder="1" applyNumberFormat="1">
      <alignment horizontal="center" vertical="center" wrapText="1"/>
    </xf>
    <xf numFmtId="0" fontId="19" fillId="48" borderId="15" xfId="0" applyFont="1" applyFill="1" applyBorder="1" applyNumberFormat="1">
      <alignment horizontal="center" vertical="center" wrapText="1"/>
    </xf>
    <xf numFmtId="0" fontId="19" fillId="48" borderId="13" xfId="0" applyFont="1" applyFill="1" applyBorder="1" applyNumberFormat="1">
      <alignment horizontal="center" vertical="center" wrapText="1"/>
    </xf>
    <xf numFmtId="49" fontId="36" fillId="46" borderId="14" xfId="0" applyFont="1" applyFill="1" applyBorder="1" applyNumberFormat="1">
      <alignment horizontal="center" vertical="center" wrapText="1"/>
    </xf>
    <xf numFmtId="49" fontId="36" fillId="46" borderId="15" xfId="0" applyFont="1" applyFill="1" applyBorder="1" applyNumberFormat="1">
      <alignment horizontal="center" vertical="center" wrapText="1"/>
    </xf>
    <xf numFmtId="49" fontId="36" fillId="46" borderId="13" xfId="0" applyFont="1" applyFill="1" applyBorder="1" applyNumberFormat="1">
      <alignment horizontal="center" vertical="center" wrapText="1"/>
    </xf>
    <xf numFmtId="49" fontId="36" fillId="49" borderId="14" xfId="0" applyFont="1" applyFill="1" applyBorder="1" applyNumberFormat="1">
      <alignment horizontal="center" vertical="center" wrapText="1"/>
    </xf>
    <xf numFmtId="49" fontId="36" fillId="49" borderId="15" xfId="0" applyFont="1" applyFill="1" applyBorder="1" applyNumberFormat="1">
      <alignment horizontal="center" vertical="center" wrapText="1"/>
    </xf>
    <xf numFmtId="49" fontId="36" fillId="49" borderId="13" xfId="0" applyFont="1" applyFill="1" applyBorder="1" applyNumberFormat="1">
      <alignment horizontal="center" vertical="center" wrapText="1"/>
    </xf>
    <xf numFmtId="49" fontId="19" fillId="40" borderId="12" xfId="0" applyFont="1" applyFill="1" applyBorder="1" applyNumberFormat="1">
      <alignment horizontal="center" vertical="center" wrapText="1"/>
    </xf>
    <xf numFmtId="49" fontId="19" fillId="34" borderId="12" xfId="0" applyFont="1" applyFill="1" applyBorder="1" applyNumberFormat="1">
      <alignment horizontal="center" vertical="center" wrapText="1"/>
    </xf>
    <xf numFmtId="49" fontId="19" fillId="0" borderId="14" xfId="0" applyFont="1" applyBorder="1" applyNumberFormat="1">
      <alignment horizontal="center" vertical="center" wrapText="1"/>
    </xf>
    <xf numFmtId="49" fontId="19" fillId="0" borderId="15" xfId="0" applyFont="1" applyBorder="1" applyNumberFormat="1">
      <alignment horizontal="center" vertical="center" wrapText="1"/>
    </xf>
    <xf numFmtId="49" fontId="19" fillId="0" borderId="13" xfId="0" applyFont="1" applyBorder="1" applyNumberFormat="1">
      <alignment horizontal="center" vertical="center" wrapText="1"/>
    </xf>
    <xf numFmtId="0" fontId="19" fillId="0" borderId="20" xfId="0" applyFont="1" applyBorder="1" applyNumberFormat="1">
      <alignment horizontal="left" vertical="top" wrapText="1"/>
    </xf>
    <xf numFmtId="0" fontId="19" fillId="0" borderId="20" xfId="0" applyFont="1" applyBorder="1" applyNumberFormat="1">
      <alignment horizontal="left" vertical="top" wrapText="1" indent="1"/>
    </xf>
    <xf numFmtId="0" fontId="19" fillId="0" borderId="17" xfId="0" applyFont="1" applyBorder="1" applyNumberFormat="1">
      <alignment horizontal="left" vertical="top" wrapText="1" indent="1"/>
    </xf>
    <xf numFmtId="0" fontId="19" fillId="0" borderId="37" xfId="0" applyFont="1" applyBorder="1" applyNumberFormat="1">
      <alignment horizontal="left" vertical="top" wrapText="1" indent="1"/>
    </xf>
    <xf numFmtId="0" fontId="19" fillId="0" borderId="29" xfId="0" applyFont="1" applyBorder="1" applyNumberFormat="1">
      <alignment horizontal="left" vertical="center" wrapText="1" indent="1"/>
    </xf>
    <xf numFmtId="0" fontId="19" fillId="0" borderId="23" xfId="0" applyFont="1" applyBorder="1" applyNumberFormat="1">
      <alignment horizontal="left" vertical="center" wrapText="1" indent="1"/>
    </xf>
    <xf numFmtId="0" fontId="19" fillId="0" borderId="30" xfId="0" applyFont="1" applyBorder="1" applyNumberFormat="1">
      <alignment horizontal="left" vertical="center" wrapText="1" indent="1"/>
    </xf>
    <xf numFmtId="0" fontId="19" fillId="34" borderId="12" xfId="0" applyFont="1" applyFill="1" applyBorder="1" applyNumberFormat="1">
      <alignment horizontal="center" vertical="center"/>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19" fillId="0" borderId="15" xfId="0" applyFont="1" applyBorder="1" applyNumberFormat="1">
      <alignment horizontal="left" vertical="top" wrapText="1" indent="1"/>
    </xf>
    <xf numFmtId="0" fontId="28" fillId="34" borderId="0" xfId="0" applyFont="1" applyFill="1" applyNumberFormat="1">
      <alignment horizontal="center" vertical="top" wrapText="1"/>
    </xf>
    <xf numFmtId="49" fontId="24" fillId="34"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3" borderId="14" xfId="0" applyFont="1" applyFill="1" applyBorder="1" applyNumberFormat="1">
      <alignment horizontal="left" vertical="center" wrapText="1" indent="1"/>
    </xf>
    <xf numFmtId="0" fontId="28" fillId="34" borderId="24" xfId="0" applyFont="1" applyFill="1" applyBorder="1" applyNumberFormat="1">
      <alignment horizontal="center" vertical="top" wrapText="1"/>
    </xf>
    <xf numFmtId="49" fontId="0" fillId="34" borderId="23" xfId="0" applyFont="1" applyFill="1" applyBorder="1" applyNumberFormat="1">
      <alignment horizontal="center" vertical="center" wrapText="1"/>
    </xf>
    <xf numFmtId="0" fontId="0" fillId="33" borderId="23" xfId="0" applyFont="1" applyFill="1" applyBorder="1" applyNumberFormat="1">
      <alignment horizontal="left" vertical="center" wrapText="1" indent="1"/>
    </xf>
    <xf numFmtId="49" fontId="19" fillId="0" borderId="0" xfId="0" applyFont="1" applyNumberFormat="1">
      <alignment horizontal="left" vertical="top" wrapText="1"/>
    </xf>
    <xf numFmtId="0" fontId="19" fillId="0" borderId="13" xfId="0" applyFont="1" applyBorder="1" applyNumberFormat="1">
      <alignment horizontal="left" vertical="center" wrapText="1" indent="1"/>
    </xf>
    <xf numFmtId="0" fontId="19" fillId="0" borderId="14" xfId="0" applyFont="1" applyBorder="1" applyNumberFormat="1">
      <alignment horizontal="left" vertical="center" wrapText="1" indent="1"/>
    </xf>
    <xf numFmtId="49" fontId="19" fillId="0" borderId="0" xfId="0" applyFont="1" applyNumberFormat="1">
      <alignment horizontal="left" vertical="top" wrapText="1"/>
    </xf>
    <xf numFmtId="0" fontId="0" fillId="34" borderId="17" xfId="0" applyFont="1" applyFill="1" applyBorder="1" applyNumberFormat="1">
      <alignment horizontal="left" vertical="top" wrapText="1"/>
    </xf>
    <xf numFmtId="0" fontId="0" fillId="34" borderId="36" xfId="0" applyFont="1" applyFill="1" applyBorder="1" applyNumberFormat="1">
      <alignment horizontal="left" vertical="top" wrapText="1"/>
    </xf>
    <xf numFmtId="0" fontId="0" fillId="34" borderId="23" xfId="0" applyFont="1" applyFill="1" applyBorder="1" applyNumberFormat="1">
      <alignment horizontal="left" vertical="top" wrapText="1"/>
    </xf>
    <xf numFmtId="4" fontId="19" fillId="0" borderId="17" xfId="0" applyFont="1" applyBorder="1" applyNumberFormat="1">
      <alignment horizontal="center" vertical="center" wrapText="1"/>
    </xf>
    <xf numFmtId="4" fontId="19" fillId="0" borderId="23" xfId="0" applyFont="1" applyBorder="1" applyNumberFormat="1">
      <alignment horizontal="center" vertical="center" wrapText="1"/>
    </xf>
    <xf numFmtId="49" fontId="19" fillId="0" borderId="20" xfId="0" applyFont="1" applyBorder="1" applyNumberFormat="1">
      <alignment horizontal="left" vertical="top" wrapText="1"/>
    </xf>
    <xf numFmtId="49" fontId="19" fillId="0" borderId="29" xfId="0" applyFont="1" applyBorder="1" applyNumberFormat="1">
      <alignment horizontal="left" vertical="top" wrapText="1"/>
    </xf>
    <xf numFmtId="4" fontId="19" fillId="0" borderId="36" xfId="0" applyFont="1" applyBorder="1" applyNumberFormat="1">
      <alignment horizontal="center" vertical="center" wrapText="1"/>
    </xf>
    <xf numFmtId="171" fontId="19" fillId="0" borderId="17" xfId="0" applyFont="1" applyBorder="1" applyNumberFormat="1">
      <alignment horizontal="center" vertical="center" wrapText="1"/>
    </xf>
    <xf numFmtId="171" fontId="19" fillId="0" borderId="23" xfId="0" applyFont="1" applyBorder="1" applyNumberFormat="1">
      <alignment horizontal="center" vertical="center" wrapText="1"/>
    </xf>
    <xf numFmtId="171" fontId="19" fillId="0" borderId="14" xfId="0" applyFont="1" applyBorder="1" applyNumberFormat="1">
      <alignment horizontal="center" vertical="center" wrapText="1"/>
    </xf>
    <xf numFmtId="171" fontId="19" fillId="0" borderId="15" xfId="0" applyFont="1" applyBorder="1" applyNumberFormat="1">
      <alignment horizontal="center" vertical="center" wrapText="1"/>
    </xf>
    <xf numFmtId="171" fontId="19" fillId="0" borderId="13" xfId="0" applyFont="1" applyBorder="1" applyNumberFormat="1">
      <alignment horizontal="center" vertical="center" wrapText="1"/>
    </xf>
    <xf numFmtId="0" fontId="19" fillId="33" borderId="12" xfId="0" applyFont="1" applyFill="1" applyBorder="1" applyNumberFormat="1">
      <alignment horizontal="left" vertical="center" wrapText="1"/>
    </xf>
    <xf numFmtId="14" fontId="19" fillId="39" borderId="12" xfId="0" applyFont="1" applyFill="1" applyBorder="1" applyNumberFormat="1">
      <alignment horizontal="left" vertical="center" wrapText="1"/>
    </xf>
    <xf numFmtId="49" fontId="19" fillId="39" borderId="14" xfId="0" applyFont="1" applyFill="1" applyBorder="1" applyNumberFormat="1">
      <alignment horizontal="left" vertical="center" wrapText="1"/>
    </xf>
    <xf numFmtId="49" fontId="19" fillId="39" borderId="12" xfId="0" applyFont="1" applyFill="1" applyBorder="1" applyNumberFormat="1">
      <alignment horizontal="left" vertical="center" wrapText="1"/>
    </xf>
    <xf numFmtId="0" fontId="19" fillId="33" borderId="23" xfId="0" applyFont="1" applyFill="1" applyBorder="1" applyNumberFormat="1">
      <alignment horizontal="left" vertical="center" wrapText="1"/>
    </xf>
    <xf numFmtId="14" fontId="19" fillId="39" borderId="23" xfId="0" applyFont="1" applyFill="1" applyBorder="1" applyNumberFormat="1">
      <alignment horizontal="left" vertical="center" wrapText="1"/>
    </xf>
    <xf numFmtId="171" fontId="19" fillId="0" borderId="12" xfId="0" applyFont="1" applyBorder="1" applyNumberFormat="1">
      <alignment horizontal="center" vertical="center" wrapText="1"/>
    </xf>
    <xf numFmtId="171" fontId="34" fillId="0" borderId="57" xfId="0" applyFont="1" applyBorder="1" applyNumberFormat="1">
      <alignment horizontal="center" vertical="center" wrapText="1"/>
    </xf>
    <xf numFmtId="171" fontId="34" fillId="0" borderId="51" xfId="0" applyFont="1" applyBorder="1" applyNumberFormat="1">
      <alignment horizontal="center" vertical="center" wrapText="1"/>
    </xf>
    <xf numFmtId="171" fontId="34" fillId="0" borderId="76" xfId="0" applyFont="1" applyBorder="1" applyNumberFormat="1">
      <alignment horizontal="center" vertical="center" wrapText="1"/>
    </xf>
    <xf numFmtId="49" fontId="19" fillId="39" borderId="30" xfId="0" applyFont="1" applyFill="1" applyBorder="1" applyNumberFormat="1">
      <alignment horizontal="left" vertical="center" wrapText="1"/>
    </xf>
    <xf numFmtId="49" fontId="19" fillId="39" borderId="23" xfId="0" applyFont="1" applyFill="1" applyBorder="1" applyNumberFormat="1">
      <alignment horizontal="left" vertical="center" wrapText="1"/>
    </xf>
    <xf numFmtId="49" fontId="0" fillId="0" borderId="15" xfId="0" applyFont="1" applyBorder="1" applyNumberFormat="1">
      <alignment horizontal="left" vertical="center" indent="1"/>
    </xf>
    <xf numFmtId="49" fontId="19" fillId="0" borderId="12" xfId="0" applyFont="1" applyBorder="1" applyNumberFormat="1">
      <alignment horizontal="center" vertical="top" wrapText="1"/>
    </xf>
    <xf numFmtId="0" fontId="0" fillId="33" borderId="12" xfId="0" applyFont="1" applyFill="1" applyBorder="1" applyNumberFormat="1">
      <alignment horizontal="left" vertical="top" wrapText="1" indent="1"/>
    </xf>
    <xf numFmtId="49" fontId="19" fillId="39" borderId="17" xfId="0" applyFont="1" applyFill="1" applyBorder="1" applyNumberFormat="1">
      <alignment horizontal="center" vertical="top" wrapText="1"/>
    </xf>
    <xf numFmtId="49" fontId="19" fillId="39" borderId="23" xfId="0" applyFont="1" applyFill="1" applyBorder="1" applyNumberFormat="1">
      <alignment horizontal="center" vertical="top" wrapText="1"/>
    </xf>
    <xf numFmtId="174" fontId="0" fillId="38" borderId="12" xfId="0" applyFont="1" applyFill="1" applyBorder="1" applyNumberFormat="1">
      <alignment horizontal="center" vertical="top" wrapText="1"/>
      <protection locked="0"/>
    </xf>
    <xf numFmtId="49" fontId="0" fillId="38" borderId="12" xfId="0" applyFont="1" applyFill="1" applyBorder="1" applyNumberFormat="1">
      <alignment horizontal="center" vertical="top" wrapText="1"/>
      <protection locked="0"/>
    </xf>
    <xf numFmtId="174" fontId="0" fillId="35" borderId="12" xfId="0" applyFont="1" applyFill="1" applyBorder="1" applyNumberFormat="1">
      <alignment horizontal="center" vertical="top" wrapText="1"/>
      <protection locked="0"/>
    </xf>
    <xf numFmtId="49" fontId="0" fillId="35" borderId="12" xfId="0" applyFont="1" applyFill="1" applyBorder="1" applyNumberFormat="1">
      <alignment horizontal="center" vertical="top" wrapText="1"/>
      <protection locked="0"/>
    </xf>
    <xf numFmtId="49" fontId="19" fillId="39" borderId="12" xfId="0" applyFont="1" applyFill="1" applyBorder="1" applyNumberFormat="1">
      <alignment horizontal="left" vertical="top" wrapText="1"/>
    </xf>
    <xf numFmtId="0" fontId="0" fillId="0" borderId="12" xfId="0" applyFont="1" applyBorder="1" applyNumberFormat="1">
      <alignment horizontal="center" vertical="center"/>
    </xf>
    <xf numFmtId="49" fontId="0" fillId="0" borderId="12" xfId="0" applyFont="1" applyBorder="1" applyNumberFormat="1">
      <alignment vertical="top"/>
    </xf>
    <xf numFmtId="49" fontId="19" fillId="38" borderId="12" xfId="0" applyFont="1" applyFill="1" applyBorder="1" applyNumberFormat="1">
      <alignment horizontal="left" vertical="top" wrapText="1"/>
      <protection locked="0"/>
    </xf>
    <xf numFmtId="49" fontId="19" fillId="0" borderId="13" xfId="0" applyFont="1" applyBorder="1" applyNumberFormat="1">
      <alignment horizontal="center" vertical="center" wrapText="1"/>
    </xf>
    <xf numFmtId="0" fontId="19" fillId="35" borderId="12" xfId="0" applyFont="1" applyFill="1" applyBorder="1" applyNumberFormat="1">
      <alignment horizontal="left" vertical="top" wrapText="1"/>
      <protection locked="0"/>
    </xf>
    <xf numFmtId="49" fontId="0" fillId="38" borderId="12" xfId="0" applyFont="1" applyFill="1" applyBorder="1" applyNumberFormat="1">
      <alignment horizontal="left" vertical="center" wrapText="1"/>
      <protection locked="0"/>
    </xf>
    <xf numFmtId="0" fontId="19" fillId="39" borderId="12" xfId="0" applyFont="1" applyFill="1" applyBorder="1" applyNumberFormat="1">
      <alignment horizontal="left" vertical="top" wrapText="1"/>
    </xf>
    <xf numFmtId="49" fontId="0" fillId="39" borderId="12" xfId="0" applyFont="1" applyFill="1" applyBorder="1" applyNumberFormat="1">
      <alignment horizontal="left" vertical="top"/>
    </xf>
    <xf numFmtId="49" fontId="19" fillId="0" borderId="17" xfId="0" applyFont="1" applyBorder="1" applyNumberFormat="1">
      <alignment horizontal="center" vertical="center" wrapText="1"/>
    </xf>
    <xf numFmtId="49" fontId="19" fillId="0" borderId="36" xfId="0" applyFont="1" applyBorder="1" applyNumberFormat="1">
      <alignment horizontal="center" vertical="center" wrapText="1"/>
    </xf>
    <xf numFmtId="49" fontId="19" fillId="0" borderId="23" xfId="0" applyFont="1" applyBorder="1" applyNumberFormat="1">
      <alignment horizontal="center" vertical="center" wrapText="1"/>
    </xf>
    <xf numFmtId="49" fontId="19" fillId="39" borderId="17" xfId="0" applyFont="1" applyFill="1" applyBorder="1" applyNumberFormat="1">
      <alignment horizontal="left" vertical="center" wrapText="1" indent="1"/>
    </xf>
    <xf numFmtId="49" fontId="19" fillId="39" borderId="36" xfId="0" applyFont="1" applyFill="1" applyBorder="1" applyNumberFormat="1">
      <alignment horizontal="left" vertical="center" wrapText="1" indent="1"/>
    </xf>
    <xf numFmtId="49" fontId="19" fillId="39" borderId="23" xfId="0" applyFont="1" applyFill="1" applyBorder="1" applyNumberFormat="1">
      <alignment horizontal="left" vertical="center" wrapText="1" indent="1"/>
    </xf>
    <xf numFmtId="49" fontId="19" fillId="0" borderId="12" xfId="0" applyFont="1" applyBorder="1" applyNumberFormat="1">
      <alignment horizontal="left" vertical="center" wrapText="1"/>
    </xf>
    <xf numFmtId="49" fontId="113" fillId="0" borderId="12" xfId="0" applyFont="1" applyBorder="1" applyNumberFormat="1">
      <alignment horizontal="center" vertical="center" wrapText="1"/>
    </xf>
    <xf numFmtId="0" fontId="34" fillId="0" borderId="12" xfId="0" applyFont="1" applyBorder="1" applyNumberFormat="1">
      <alignment horizontal="center" vertical="center"/>
    </xf>
    <xf numFmtId="0" fontId="0" fillId="38" borderId="12" xfId="0" applyFont="1" applyFill="1" applyBorder="1" applyNumberFormat="1">
      <alignment horizontal="left" vertical="center" wrapText="1"/>
      <protection locked="0"/>
    </xf>
    <xf numFmtId="49" fontId="0" fillId="38" borderId="14" xfId="0" applyFont="1" applyFill="1" applyBorder="1" applyNumberFormat="1">
      <alignment horizontal="left" vertical="center" wrapText="1"/>
      <protection locked="0"/>
    </xf>
    <xf numFmtId="49" fontId="0" fillId="38" borderId="12" xfId="0" applyFont="1" applyFill="1" applyBorder="1" applyNumberFormat="1">
      <alignment horizontal="left" vertical="center" wrapText="1"/>
      <protection locked="0"/>
    </xf>
    <xf numFmtId="49" fontId="25" fillId="0" borderId="17" xfId="0" applyFont="1" applyBorder="1" applyNumberFormat="1">
      <alignment horizontal="center" vertical="top" wrapText="1"/>
    </xf>
    <xf numFmtId="49" fontId="19" fillId="0" borderId="36" xfId="0" applyFont="1" applyBorder="1" applyNumberFormat="1">
      <alignment horizontal="center" vertical="top" wrapText="1"/>
    </xf>
    <xf numFmtId="49" fontId="19" fillId="0" borderId="23" xfId="0" applyFont="1" applyBorder="1" applyNumberFormat="1">
      <alignment horizontal="center" vertical="top" wrapText="1"/>
    </xf>
    <xf numFmtId="49" fontId="19" fillId="38" borderId="14" xfId="0" applyFont="1" applyFill="1" applyBorder="1" applyNumberFormat="1">
      <alignment horizontal="left" vertical="center" wrapText="1" indent="1"/>
      <protection locked="0"/>
    </xf>
    <xf numFmtId="49" fontId="19" fillId="38"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2" xfId="0" applyFont="1" applyBorder="1" applyNumberFormat="1">
      <alignment horizontal="left" vertical="top"/>
    </xf>
    <xf numFmtId="0"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19" fillId="35" borderId="12" xfId="0" applyFont="1" applyFill="1" applyBorder="1" applyNumberFormat="1">
      <alignment horizontal="left" vertical="center" wrapText="1"/>
      <protection locked="0"/>
    </xf>
    <xf numFmtId="49" fontId="0" fillId="35" borderId="12" xfId="0" applyFont="1" applyFill="1" applyBorder="1" applyNumberFormat="1">
      <alignment horizontal="left" vertical="top"/>
      <protection locked="0"/>
    </xf>
    <xf numFmtId="49" fontId="0" fillId="0" borderId="19" xfId="0" applyFont="1" applyBorder="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14" fontId="71" fillId="0" borderId="17" xfId="0" applyFont="1" applyBorder="1" applyNumberFormat="1">
      <alignment horizontal="center" vertical="center" wrapText="1"/>
    </xf>
    <xf numFmtId="14" fontId="71" fillId="0" borderId="36" xfId="0" applyFont="1" applyBorder="1" applyNumberFormat="1">
      <alignment horizontal="center" vertical="center" wrapText="1"/>
    </xf>
    <xf numFmtId="0" fontId="65" fillId="0" borderId="12" xfId="0" applyFont="1" applyBorder="1" applyNumberFormat="1">
      <alignment horizontal="left" vertical="center" wrapText="1" indent="1"/>
    </xf>
    <xf numFmtId="0" fontId="65" fillId="0" borderId="12" xfId="0" applyFont="1" applyBorder="1" applyNumberFormat="1">
      <alignment horizontal="left" vertical="top" indent="1"/>
    </xf>
    <xf numFmtId="0" fontId="24" fillId="0" borderId="12" xfId="0" applyFont="1" applyBorder="1" applyNumberFormat="1">
      <alignment horizontal="center" vertical="center" wrapText="1"/>
    </xf>
    <xf numFmtId="0" fontId="19" fillId="39" borderId="12" xfId="0" applyFont="1" applyFill="1" applyBorder="1" applyNumberFormat="1">
      <alignment horizontal="left" vertical="center" wrapText="1" indent="1"/>
    </xf>
    <xf numFmtId="49" fontId="19" fillId="39" borderId="12" xfId="0" applyFont="1" applyFill="1" applyBorder="1" applyNumberFormat="1">
      <alignment horizontal="center" vertical="top" wrapText="1"/>
    </xf>
    <xf numFmtId="49" fontId="19" fillId="39" borderId="14" xfId="0" applyFont="1" applyFill="1" applyBorder="1" applyNumberFormat="1">
      <alignment horizontal="center" vertical="top" wrapText="1"/>
    </xf>
    <xf numFmtId="49" fontId="0" fillId="33" borderId="12" xfId="0" applyFont="1" applyFill="1" applyBorder="1" applyNumberFormat="1">
      <alignment horizontal="center" vertical="top" wrapText="1"/>
    </xf>
    <xf numFmtId="0" fontId="19" fillId="33" borderId="12" xfId="0" applyFont="1" applyFill="1" applyBorder="1" applyNumberFormat="1">
      <alignment horizontal="center" vertical="top" wrapText="1"/>
    </xf>
    <xf numFmtId="49" fontId="19" fillId="39" borderId="14" xfId="0" applyFont="1" applyFill="1" applyBorder="1" applyNumberFormat="1">
      <alignment horizontal="center" vertical="center" wrapText="1"/>
    </xf>
    <xf numFmtId="49" fontId="29" fillId="36" borderId="51" xfId="0" applyFont="1" applyFill="1" applyBorder="1" applyNumberFormat="1">
      <alignment horizontal="left" vertical="center" indent="1"/>
    </xf>
    <xf numFmtId="49" fontId="19" fillId="33" borderId="12" xfId="0" applyFont="1" applyFill="1" applyBorder="1" applyNumberFormat="1">
      <alignment horizontal="center" vertical="center" wrapText="1"/>
    </xf>
    <xf numFmtId="49" fontId="19" fillId="33" borderId="58" xfId="0" applyFont="1" applyFill="1" applyBorder="1" applyNumberFormat="1">
      <alignment horizontal="center" vertical="center" wrapText="1"/>
    </xf>
    <xf numFmtId="3" fontId="19" fillId="38" borderId="12" xfId="0" applyFont="1" applyFill="1" applyBorder="1" applyNumberFormat="1">
      <alignment horizontal="center" vertical="center" wrapText="1"/>
      <protection locked="0"/>
    </xf>
    <xf numFmtId="49" fontId="19" fillId="33" borderId="12" xfId="0" applyFont="1" applyFill="1" applyBorder="1" applyNumberFormat="1">
      <alignment horizontal="left" vertical="center" wrapText="1"/>
    </xf>
    <xf numFmtId="49" fontId="19" fillId="39" borderId="13" xfId="0" applyFont="1" applyFill="1" applyBorder="1" applyNumberFormat="1">
      <alignment horizontal="left" vertical="center" wrapText="1"/>
    </xf>
    <xf numFmtId="49" fontId="19" fillId="38" borderId="12" xfId="0" applyFont="1" applyFill="1" applyBorder="1" applyNumberFormat="1">
      <alignment horizontal="left" vertical="center" wrapText="1"/>
      <protection locked="0"/>
    </xf>
    <xf numFmtId="49" fontId="113" fillId="0" borderId="13" xfId="0" applyFont="1" applyBorder="1" applyNumberFormat="1">
      <alignment horizontal="center" vertical="center" wrapText="1"/>
    </xf>
    <xf numFmtId="0" fontId="19" fillId="39" borderId="17" xfId="0" applyFont="1" applyFill="1" applyBorder="1" applyNumberFormat="1">
      <alignment horizontal="left" vertical="center" wrapText="1"/>
    </xf>
    <xf numFmtId="0" fontId="19" fillId="39" borderId="36" xfId="0" applyFont="1" applyFill="1" applyBorder="1" applyNumberFormat="1">
      <alignment horizontal="left" vertical="center" wrapText="1"/>
    </xf>
    <xf numFmtId="49" fontId="19" fillId="39" borderId="17" xfId="0" applyFont="1" applyFill="1" applyBorder="1" applyNumberFormat="1">
      <alignment horizontal="left" vertical="center" wrapText="1"/>
    </xf>
    <xf numFmtId="49" fontId="19" fillId="0" borderId="36" xfId="0" applyFont="1" applyBorder="1" applyNumberFormat="1">
      <alignment horizontal="center" vertical="center"/>
    </xf>
    <xf numFmtId="0" fontId="19" fillId="0" borderId="24" xfId="0" applyFont="1" applyBorder="1" applyNumberFormat="1">
      <alignment horizontal="center" vertical="center"/>
    </xf>
    <xf numFmtId="49" fontId="19" fillId="35" borderId="17" xfId="0" applyFont="1" applyFill="1" applyBorder="1" applyNumberFormat="1">
      <alignment horizontal="left" vertical="center" wrapText="1"/>
      <protection locked="0"/>
    </xf>
    <xf numFmtId="0" fontId="29" fillId="36" borderId="15" xfId="0" applyFont="1" applyFill="1" applyBorder="1" applyNumberFormat="1">
      <alignment horizontal="left" vertical="center"/>
    </xf>
    <xf numFmtId="0" fontId="29" fillId="36" borderId="13" xfId="0" applyFont="1" applyFill="1" applyBorder="1" applyNumberFormat="1">
      <alignment horizontal="left" vertical="center"/>
    </xf>
    <xf numFmtId="0" fontId="29" fillId="36" borderId="19" xfId="0" applyFont="1" applyFill="1" applyBorder="1" applyNumberFormat="1">
      <alignment horizontal="left" vertical="center"/>
    </xf>
    <xf numFmtId="0" fontId="29" fillId="36" borderId="20" xfId="0" applyFont="1" applyFill="1" applyBorder="1" applyNumberFormat="1">
      <alignment horizontal="left" vertical="center"/>
    </xf>
    <xf numFmtId="49" fontId="19" fillId="38" borderId="17" xfId="0" applyFont="1" applyFill="1" applyBorder="1" applyNumberFormat="1">
      <alignment horizontal="left" vertical="center" wrapText="1"/>
      <protection locked="0"/>
    </xf>
    <xf numFmtId="49" fontId="85" fillId="0" borderId="12" xfId="0" applyFont="1" applyBorder="1" applyNumberFormat="1">
      <alignment horizontal="center" vertical="top" wrapText="1"/>
    </xf>
    <xf numFmtId="0" fontId="85" fillId="40" borderId="12" xfId="0" applyFont="1" applyFill="1" applyBorder="1" applyNumberFormat="1">
      <alignment horizontal="center" vertical="center" wrapText="1"/>
    </xf>
    <xf numFmtId="49" fontId="85" fillId="0" borderId="37" xfId="0" applyFont="1" applyBorder="1" applyNumberFormat="1">
      <alignment horizontal="center" vertical="top" wrapText="1"/>
    </xf>
    <xf numFmtId="49" fontId="85" fillId="0" borderId="30" xfId="0" applyFont="1" applyBorder="1" applyNumberFormat="1">
      <alignment horizontal="center" vertical="top" wrapText="1"/>
    </xf>
    <xf numFmtId="49" fontId="85" fillId="0" borderId="14" xfId="0" applyFont="1" applyBorder="1" applyNumberFormat="1">
      <alignment horizontal="center" vertical="top" wrapText="1"/>
    </xf>
    <xf numFmtId="49" fontId="85" fillId="0" borderId="15" xfId="0" applyFont="1" applyBorder="1" applyNumberFormat="1">
      <alignment horizontal="center" vertical="top" wrapText="1"/>
    </xf>
    <xf numFmtId="49" fontId="85" fillId="0" borderId="13" xfId="0" applyFont="1" applyBorder="1" applyNumberFormat="1">
      <alignment horizontal="center" vertical="top" wrapText="1"/>
    </xf>
    <xf numFmtId="49" fontId="85" fillId="0" borderId="17" xfId="0" applyFont="1" applyBorder="1" applyNumberFormat="1">
      <alignment horizontal="center" vertical="top" wrapText="1"/>
    </xf>
    <xf numFmtId="49" fontId="85" fillId="0" borderId="36" xfId="0" applyFont="1" applyBorder="1" applyNumberFormat="1">
      <alignment horizontal="center" vertical="top" wrapText="1"/>
    </xf>
    <xf numFmtId="49" fontId="85" fillId="0" borderId="23" xfId="0" applyFont="1" applyBorder="1" applyNumberFormat="1">
      <alignment horizontal="center" vertical="top" wrapText="1"/>
    </xf>
    <xf numFmtId="4" fontId="19" fillId="33" borderId="12" xfId="0" applyFont="1" applyFill="1" applyBorder="1" applyNumberFormat="1">
      <alignment horizontal="left" vertical="center" wrapText="1"/>
    </xf>
    <xf numFmtId="0" fontId="36" fillId="0" borderId="0" xfId="0" applyFont="1" applyNumberFormat="1">
      <alignment horizontal="center" vertical="center" wrapText="1"/>
    </xf>
    <xf numFmtId="0" fontId="19" fillId="39" borderId="12" xfId="0" applyFont="1" applyFill="1" applyBorder="1" applyNumberFormat="1">
      <alignment horizontal="left" vertical="center" wrapText="1"/>
      <protection locked="0"/>
    </xf>
    <xf numFmtId="0" fontId="19" fillId="39" borderId="14" xfId="0" applyFont="1" applyFill="1" applyBorder="1" applyNumberFormat="1">
      <alignment horizontal="left" vertical="center" wrapText="1"/>
      <protection locked="0"/>
    </xf>
    <xf numFmtId="0" fontId="19" fillId="39" borderId="15" xfId="0" applyFont="1" applyFill="1" applyBorder="1" applyNumberFormat="1">
      <alignment horizontal="left" vertical="center" wrapText="1"/>
      <protection locked="0"/>
    </xf>
    <xf numFmtId="0" fontId="19" fillId="39" borderId="13" xfId="0" applyFont="1" applyFill="1" applyBorder="1" applyNumberFormat="1">
      <alignment horizontal="left" vertical="center" wrapText="1"/>
      <protection locked="0"/>
    </xf>
    <xf numFmtId="0" fontId="19" fillId="0" borderId="0" xfId="0" applyFont="1" applyNumberFormat="1">
      <alignment horizontal="right" vertical="center" wrapText="1"/>
    </xf>
    <xf numFmtId="0" fontId="35" fillId="0" borderId="19" xfId="0" applyFont="1" applyBorder="1" applyNumberFormat="1">
      <alignment horizontal="left" vertical="center" wrapText="1" indent="1"/>
    </xf>
    <xf numFmtId="0" fontId="35" fillId="0" borderId="27" xfId="0" applyFont="1" applyBorder="1" applyNumberFormat="1">
      <alignment horizontal="left" vertical="center" wrapText="1" indent="1"/>
    </xf>
    <xf numFmtId="174" fontId="0" fillId="38" borderId="12" xfId="0" applyFont="1" applyFill="1" applyBorder="1" applyNumberFormat="1">
      <alignment horizontal="center" vertical="center" wrapText="1"/>
      <protection locked="0"/>
    </xf>
    <xf numFmtId="0" fontId="0" fillId="0" borderId="12" xfId="0" applyFont="1" applyBorder="1" applyNumberFormat="1">
      <alignment horizontal="center" vertical="center" wrapText="1"/>
    </xf>
    <xf numFmtId="0" fontId="24" fillId="34" borderId="0" xfId="0" applyFont="1" applyFill="1" applyNumberFormat="1">
      <alignment horizontal="center" vertical="center" wrapText="1"/>
    </xf>
    <xf numFmtId="0" fontId="72" fillId="0" borderId="0" xfId="0" applyFont="1" applyNumberFormat="1">
      <alignment horizontal="center" vertical="center" wrapText="1"/>
    </xf>
    <xf numFmtId="49" fontId="29" fillId="36" borderId="12" xfId="0" applyFont="1" applyFill="1" applyBorder="1" applyNumberFormat="1">
      <alignment horizontal="center" vertical="center" textRotation="90" wrapText="1"/>
    </xf>
    <xf numFmtId="0" fontId="35" fillId="0" borderId="15" xfId="0" applyFont="1" applyBorder="1" applyNumberFormat="1">
      <alignment horizontal="left" vertical="center" wrapText="1" indent="1"/>
    </xf>
    <xf numFmtId="0" fontId="19" fillId="33" borderId="14" xfId="0" applyFont="1" applyFill="1" applyBorder="1" applyNumberFormat="1">
      <alignment horizontal="left" vertical="center" wrapText="1" indent="1"/>
    </xf>
    <xf numFmtId="0" fontId="19" fillId="33" borderId="15" xfId="0" applyFont="1" applyFill="1" applyBorder="1" applyNumberFormat="1">
      <alignment horizontal="left" vertical="center" wrapText="1" indent="1"/>
    </xf>
    <xf numFmtId="0" fontId="19" fillId="33" borderId="13" xfId="0" applyFont="1" applyFill="1" applyBorder="1" applyNumberFormat="1">
      <alignment horizontal="left" vertical="center" wrapText="1" inden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114" fillId="0" borderId="12" xfId="0" applyFont="1" applyBorder="1" applyNumberFormat="1">
      <alignment horizontal="left" vertical="center" wrapText="1" indent="1"/>
    </xf>
    <xf numFmtId="0" fontId="105" fillId="0" borderId="0" xfId="0" applyFont="1" applyNumberFormat="1">
      <alignment wrapText="1"/>
    </xf>
    <xf numFmtId="49" fontId="56" fillId="0" borderId="0" xfId="0" applyFont="1" applyNumberFormat="1">
      <alignment wrapText="1"/>
    </xf>
    <xf numFmtId="49" fontId="56" fillId="0" borderId="0" xfId="0" applyFont="1" applyNumberFormat="1">
      <alignment vertical="center" wrapText="1"/>
    </xf>
    <xf numFmtId="49" fontId="106" fillId="0" borderId="0" xfId="0" applyFont="1" applyNumberFormat="1">
      <alignment wrapText="1"/>
    </xf>
    <xf numFmtId="0" fontId="92" fillId="0" borderId="0" xfId="0" applyFont="1" applyNumberFormat="1">
      <alignment vertical="center" wrapText="1"/>
    </xf>
    <xf numFmtId="0" fontId="92" fillId="0" borderId="0" xfId="0" applyFont="1" applyNumberFormat="1">
      <alignment horizontal="left" vertical="center" wrapText="1"/>
    </xf>
    <xf numFmtId="49" fontId="107" fillId="0" borderId="0" xfId="0" applyFont="1" applyNumberFormat="1">
      <alignment wrapText="1"/>
    </xf>
    <xf numFmtId="0" fontId="92" fillId="0" borderId="0" xfId="0" applyFont="1" applyNumberFormat="1">
      <alignment vertical="center"/>
    </xf>
    <xf numFmtId="0" fontId="35" fillId="0" borderId="0" xfId="0" applyFont="1" applyNumberFormat="1">
      <alignment horizontal="left" vertical="top" wrapText="1"/>
    </xf>
    <xf numFmtId="49" fontId="19" fillId="0" borderId="0" xfId="0" applyFont="1" applyNumberFormat="1">
      <alignment vertical="top" wrapText="1"/>
    </xf>
    <xf numFmtId="0" fontId="35" fillId="54" borderId="67" xfId="0" applyFont="1" applyFill="1" applyBorder="1" applyNumberFormat="1">
      <alignment horizontal="center" vertical="center" wrapText="1"/>
    </xf>
    <xf numFmtId="0" fontId="35" fillId="54" borderId="68" xfId="0" applyFont="1" applyFill="1" applyBorder="1" applyNumberFormat="1">
      <alignment horizontal="center" vertical="center" wrapText="1"/>
    </xf>
    <xf numFmtId="0" fontId="35" fillId="54" borderId="69" xfId="0" applyFont="1" applyFill="1" applyBorder="1" applyNumberFormat="1">
      <alignment horizontal="center" vertical="center" wrapText="1"/>
    </xf>
    <xf numFmtId="0" fontId="56" fillId="0" borderId="0" xfId="0" applyFont="1" applyNumberFormat="1">
      <alignment wrapText="1"/>
    </xf>
    <xf numFmtId="0" fontId="35" fillId="45" borderId="38" xfId="0" applyFont="1" applyFill="1" applyBorder="1" applyNumberFormat="1">
      <alignment horizontal="right" vertical="center" wrapText="1" indent="1"/>
    </xf>
    <xf numFmtId="0" fontId="35" fillId="45" borderId="66" xfId="0" applyFont="1" applyFill="1" applyBorder="1" applyNumberFormat="1">
      <alignment horizontal="right" vertical="center" wrapText="1" indent="1"/>
    </xf>
    <xf numFmtId="0" fontId="108" fillId="0" borderId="0" xfId="0" applyFont="1" applyNumberFormat="1">
      <alignment horizontal="left" vertical="center" wrapText="1"/>
    </xf>
    <xf numFmtId="0" fontId="109" fillId="0" borderId="0" xfId="0" applyFont="1" applyNumberFormat="1">
      <alignment vertical="center" wrapText="1"/>
    </xf>
    <xf numFmtId="0" fontId="56" fillId="0" borderId="38" xfId="0" applyFont="1" applyBorder="1" applyNumberFormat="1">
      <alignment wrapText="1"/>
    </xf>
    <xf numFmtId="0" fontId="56" fillId="0" borderId="0" xfId="0" applyFont="1" applyNumberFormat="1"/>
    <xf numFmtId="0" fontId="108" fillId="0" borderId="0" xfId="0" applyFont="1" applyNumberFormat="1"/>
    <xf numFmtId="0" fontId="110" fillId="0" borderId="0" xfId="0" applyFont="1" applyNumberFormat="1">
      <alignment wrapText="1"/>
    </xf>
    <xf numFmtId="0" fontId="0" fillId="35" borderId="62" xfId="0" applyFont="1" applyFill="1" applyBorder="1" applyNumberFormat="1">
      <alignment horizontal="center" vertical="center" wrapText="1"/>
    </xf>
    <xf numFmtId="0" fontId="110" fillId="0" borderId="38" xfId="0" applyFont="1" applyBorder="1" applyNumberFormat="1">
      <alignment vertical="center" wrapText="1"/>
    </xf>
    <xf numFmtId="0" fontId="110" fillId="0" borderId="0" xfId="0" applyFont="1" applyNumberFormat="1">
      <alignment vertical="center" wrapText="1"/>
    </xf>
    <xf numFmtId="0" fontId="0" fillId="52" borderId="62" xfId="0" applyFont="1" applyFill="1" applyBorder="1" applyNumberFormat="1">
      <alignment horizontal="center" vertical="center" wrapText="1"/>
    </xf>
    <xf numFmtId="0" fontId="110" fillId="0" borderId="38" xfId="0" applyFont="1" applyBorder="1" applyNumberFormat="1">
      <alignment horizontal="left" vertical="center" wrapText="1"/>
    </xf>
    <xf numFmtId="0" fontId="110" fillId="0" borderId="0" xfId="0" applyFont="1" applyNumberFormat="1">
      <alignment horizontal="left" vertical="center" wrapText="1"/>
    </xf>
    <xf numFmtId="0" fontId="0" fillId="33" borderId="62" xfId="0" applyFont="1" applyFill="1" applyBorder="1" applyNumberFormat="1">
      <alignment horizontal="center" vertical="center" wrapText="1"/>
    </xf>
    <xf numFmtId="0" fontId="0" fillId="38" borderId="62" xfId="0" applyFont="1" applyFill="1" applyBorder="1" applyNumberFormat="1">
      <alignment horizontal="center" vertical="center" wrapText="1"/>
    </xf>
    <xf numFmtId="0" fontId="35" fillId="45" borderId="0" xfId="0" applyFont="1" applyFill="1" applyNumberFormat="1">
      <alignment horizontal="right" vertical="center" wrapText="1" indent="1"/>
    </xf>
    <xf numFmtId="0" fontId="108" fillId="0" borderId="38" xfId="0" applyFont="1" applyBorder="1" applyNumberFormat="1">
      <alignment horizontal="left" vertical="center" wrapText="1"/>
    </xf>
    <xf numFmtId="0" fontId="108" fillId="0" borderId="63" xfId="0" applyFont="1" applyBorder="1" applyNumberFormat="1">
      <alignment horizontal="left" vertical="center" wrapText="1"/>
    </xf>
    <xf numFmtId="0" fontId="35" fillId="45" borderId="62" xfId="0" applyFont="1" applyFill="1" applyBorder="1" applyNumberFormat="1">
      <alignment horizontal="right" vertical="center" wrapText="1" indent="1"/>
    </xf>
    <xf numFmtId="0" fontId="35" fillId="45" borderId="65" xfId="0" applyFont="1" applyFill="1" applyBorder="1" applyNumberFormat="1">
      <alignment horizontal="right" vertical="center" wrapText="1" indent="1"/>
    </xf>
    <xf numFmtId="0" fontId="110" fillId="0" borderId="0" xfId="0" applyFont="1" applyNumberFormat="1"/>
    <xf numFmtId="0" fontId="110" fillId="0" borderId="38" xfId="0" applyFont="1" applyBorder="1" applyNumberFormat="1">
      <alignment wrapText="1"/>
    </xf>
    <xf numFmtId="0" fontId="110" fillId="0" borderId="0" xfId="0" applyFont="1" applyNumberFormat="1">
      <alignment vertical="top" wrapText="1"/>
    </xf>
    <xf numFmtId="0" fontId="35" fillId="45" borderId="64" xfId="0" applyFont="1" applyFill="1" applyBorder="1" applyNumberFormat="1">
      <alignment horizontal="right" vertical="center" wrapText="1" indent="1"/>
    </xf>
    <xf numFmtId="0" fontId="35" fillId="45" borderId="39" xfId="0" applyFont="1" applyFill="1" applyBorder="1" applyNumberFormat="1">
      <alignment horizontal="right" vertical="center" wrapText="1" indent="1"/>
    </xf>
    <xf numFmtId="0" fontId="56" fillId="0" borderId="64" xfId="0" applyFont="1" applyBorder="1" applyNumberFormat="1">
      <alignment wrapText="1"/>
    </xf>
    <xf numFmtId="0" fontId="56" fillId="0" borderId="39" xfId="0" applyFont="1" applyBorder="1" applyNumberFormat="1">
      <alignment wrapText="1"/>
    </xf>
    <xf numFmtId="0" fontId="56" fillId="0" borderId="39" xfId="0" applyFont="1" applyBorder="1" applyNumberFormat="1">
      <alignment vertical="center" wrapText="1"/>
    </xf>
    <xf numFmtId="0" fontId="106" fillId="0" borderId="0" xfId="0" applyFont="1" applyNumberFormat="1"/>
    <xf numFmtId="49" fontId="56" fillId="0" borderId="0" xfId="0" applyFont="1" applyNumberFormat="1">
      <alignment vertical="top" wrapText="1"/>
    </xf>
    <xf numFmtId="0" fontId="27" fillId="0" borderId="0" xfId="0" applyFont="1" applyNumberFormat="1"/>
    <xf numFmtId="0" fontId="53" fillId="0" borderId="0" xfId="0" applyFont="1" applyNumberFormat="1">
      <alignment vertical="center" wrapText="1"/>
    </xf>
    <xf numFmtId="0" fontId="81" fillId="0" borderId="0" xfId="0" applyFont="1" applyNumberFormat="1">
      <alignment horizontal="left" vertical="center" wrapText="1"/>
    </xf>
    <xf numFmtId="0" fontId="53" fillId="0" borderId="0" xfId="0" applyFont="1" applyNumberFormat="1">
      <alignment horizontal="left" vertical="center" wrapText="1"/>
    </xf>
    <xf numFmtId="0" fontId="20" fillId="0" borderId="0" xfId="0" applyFont="1" applyNumberFormat="1">
      <alignment horizontal="center" vertical="center" wrapText="1"/>
    </xf>
    <xf numFmtId="0" fontId="20" fillId="0" borderId="0" xfId="0" applyFont="1" applyNumberFormat="1">
      <alignment vertical="center" wrapText="1"/>
    </xf>
    <xf numFmtId="0" fontId="37" fillId="0" borderId="0" xfId="0" applyFont="1" applyNumberFormat="1">
      <alignment vertical="center" wrapText="1"/>
    </xf>
    <xf numFmtId="0" fontId="20" fillId="0" borderId="0" xfId="0" applyFont="1" applyNumberFormat="1">
      <alignment horizontal="left" vertical="center" wrapText="1"/>
    </xf>
    <xf numFmtId="0" fontId="19" fillId="0" borderId="0" xfId="0" applyFont="1" applyNumberFormat="1">
      <alignment horizontal="left" vertical="top" indent="1"/>
    </xf>
    <xf numFmtId="49" fontId="56" fillId="0" borderId="0" xfId="0" applyFont="1" applyNumberFormat="1">
      <alignment vertical="top"/>
    </xf>
    <xf numFmtId="49" fontId="19" fillId="0" borderId="0" xfId="0" applyFont="1" applyNumberFormat="1">
      <alignment vertical="center" wrapText="1"/>
    </xf>
    <xf numFmtId="49" fontId="36"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36" fillId="0" borderId="0" xfId="0" applyFont="1" applyNumberFormat="1">
      <alignment vertical="top"/>
    </xf>
    <xf numFmtId="49" fontId="0" fillId="0" borderId="0" xfId="0" applyFont="1" applyNumberFormat="1">
      <alignment vertical="top"/>
    </xf>
    <xf numFmtId="0" fontId="50" fillId="0" borderId="0" xfId="0" applyFont="1" applyNumberFormat="1">
      <alignment vertical="center" wrapText="1"/>
    </xf>
    <xf numFmtId="0" fontId="81" fillId="0" borderId="0" xfId="0" applyFont="1" applyNumberFormat="1">
      <alignment horizontal="left" vertical="center" wrapText="1"/>
    </xf>
    <xf numFmtId="0" fontId="48" fillId="0" borderId="0" xfId="0" applyFont="1" applyNumberFormat="1">
      <alignment horizontal="left" vertical="center" wrapText="1"/>
    </xf>
    <xf numFmtId="0" fontId="49" fillId="0" borderId="0" xfId="0" applyFont="1" applyNumberFormat="1">
      <alignment vertical="center" wrapText="1"/>
    </xf>
    <xf numFmtId="0" fontId="50" fillId="34" borderId="0" xfId="0" applyFont="1" applyFill="1" applyNumberFormat="1">
      <alignment vertical="center" wrapText="1"/>
    </xf>
    <xf numFmtId="0" fontId="50" fillId="0" borderId="0" xfId="0" applyFont="1" applyNumberFormat="1">
      <alignment vertical="center" wrapText="1"/>
    </xf>
    <xf numFmtId="0" fontId="50" fillId="0" borderId="0" xfId="0" applyFont="1" applyNumberFormat="1">
      <alignment horizontal="right" vertical="center"/>
    </xf>
    <xf numFmtId="0" fontId="19" fillId="0" borderId="0" xfId="0" applyFont="1" applyNumberFormat="1">
      <alignment horizontal="center" vertical="center" wrapText="1"/>
    </xf>
    <xf numFmtId="0" fontId="19" fillId="0" borderId="0" xfId="0" applyFont="1" applyNumberFormat="1">
      <alignment vertical="center" wrapText="1"/>
    </xf>
    <xf numFmtId="0" fontId="78" fillId="0" borderId="0" xfId="0" applyFont="1" applyNumberFormat="1">
      <alignment vertical="center" wrapText="1"/>
    </xf>
    <xf numFmtId="0" fontId="22" fillId="34" borderId="0" xfId="0" applyFont="1" applyFill="1" applyNumberFormat="1">
      <alignment vertical="center" wrapText="1"/>
    </xf>
    <xf numFmtId="0" fontId="19" fillId="0" borderId="13" xfId="0" applyFont="1" applyBorder="1" applyNumberFormat="1">
      <alignment horizontal="center" vertical="center" wrapText="1"/>
    </xf>
    <xf numFmtId="0" fontId="19" fillId="0" borderId="14" xfId="0" applyFont="1" applyBorder="1" applyNumberFormat="1">
      <alignment horizontal="center" vertical="center" wrapText="1"/>
    </xf>
    <xf numFmtId="0" fontId="39" fillId="34" borderId="0" xfId="0" applyFont="1" applyFill="1" applyNumberFormat="1">
      <alignment vertical="center" wrapText="1"/>
    </xf>
    <xf numFmtId="0" fontId="86" fillId="0" borderId="0" xfId="0" applyFont="1" applyNumberFormat="1">
      <alignment vertical="center" wrapText="1"/>
    </xf>
    <xf numFmtId="0" fontId="50" fillId="34" borderId="0" xfId="0" applyFont="1" applyFill="1" applyNumberFormat="1">
      <alignment horizontal="right" vertical="center" wrapText="1" indent="1"/>
    </xf>
    <xf numFmtId="0" fontId="52" fillId="34" borderId="0" xfId="0" applyFont="1" applyFill="1" applyNumberFormat="1">
      <alignment horizontal="center" vertical="center" wrapText="1"/>
    </xf>
    <xf numFmtId="0" fontId="19" fillId="34" borderId="26" xfId="0" applyFont="1" applyFill="1" applyBorder="1" applyNumberFormat="1">
      <alignment horizontal="right" vertical="center" wrapText="1" indent="1"/>
    </xf>
    <xf numFmtId="0" fontId="0" fillId="33" borderId="12" xfId="0" applyFont="1" applyFill="1" applyBorder="1" applyNumberFormat="1">
      <alignment horizontal="left" vertical="center" wrapText="1" indent="1"/>
    </xf>
    <xf numFmtId="14" fontId="81" fillId="34" borderId="0" xfId="0" applyFont="1" applyFill="1" applyNumberFormat="1">
      <alignment horizontal="left" vertical="center" wrapText="1"/>
    </xf>
    <xf numFmtId="0" fontId="48" fillId="34" borderId="0" xfId="0" applyFont="1" applyFill="1" applyNumberFormat="1">
      <alignment horizontal="center" vertical="center" wrapText="1"/>
    </xf>
    <xf numFmtId="0" fontId="50" fillId="34" borderId="0" xfId="0" applyFont="1" applyFill="1" applyNumberFormat="1">
      <alignment horizontal="left" vertical="center" wrapText="1" indent="1"/>
    </xf>
    <xf numFmtId="0" fontId="19" fillId="34" borderId="0" xfId="0" applyFont="1" applyFill="1" applyNumberFormat="1">
      <alignment horizontal="center" vertical="center" wrapText="1"/>
    </xf>
    <xf numFmtId="0" fontId="78" fillId="0" borderId="0" xfId="0" applyFont="1" applyNumberFormat="1">
      <alignment horizontal="center" vertical="center" wrapText="1"/>
    </xf>
    <xf numFmtId="0" fontId="21" fillId="0" borderId="0" xfId="0" applyFont="1" applyNumberFormat="1">
      <alignment vertical="center" wrapText="1"/>
    </xf>
    <xf numFmtId="0" fontId="22" fillId="34" borderId="0" xfId="0" applyFont="1" applyFill="1" applyNumberFormat="1">
      <alignment vertical="center" wrapText="1"/>
    </xf>
    <xf numFmtId="0" fontId="19" fillId="34" borderId="26" xfId="0" applyFont="1" applyFill="1" applyBorder="1" applyNumberFormat="1">
      <alignment horizontal="right" vertical="center" wrapText="1" indent="1"/>
    </xf>
    <xf numFmtId="0" fontId="19" fillId="38" borderId="12" xfId="0" applyFont="1" applyFill="1" applyBorder="1" applyNumberFormat="1">
      <alignment horizontal="left" vertical="center" wrapText="1" indent="1"/>
      <protection locked="0"/>
    </xf>
    <xf numFmtId="0" fontId="36" fillId="0" borderId="0" xfId="0" applyFont="1" applyNumberFormat="1">
      <alignment vertical="center" wrapText="1"/>
    </xf>
    <xf numFmtId="0" fontId="50" fillId="0" borderId="0" xfId="0" applyFont="1" applyNumberFormat="1">
      <alignment vertical="center" wrapText="1"/>
    </xf>
    <xf numFmtId="0" fontId="48" fillId="0" borderId="0" xfId="0" applyFont="1" applyNumberFormat="1">
      <alignment horizontal="left" vertical="center" wrapText="1"/>
    </xf>
    <xf numFmtId="0" fontId="49" fillId="0" borderId="0" xfId="0" applyFont="1" applyNumberFormat="1">
      <alignment vertical="center" wrapText="1"/>
    </xf>
    <xf numFmtId="14" fontId="83" fillId="0" borderId="12" xfId="0" applyFont="1" applyBorder="1" applyNumberFormat="1">
      <alignment horizontal="center" vertical="center" wrapText="1"/>
    </xf>
    <xf numFmtId="174" fontId="0" fillId="38" borderId="12" xfId="0" applyFont="1" applyFill="1" applyBorder="1" applyNumberFormat="1">
      <alignment horizontal="left" vertical="center" wrapText="1" indent="1"/>
      <protection locked="0"/>
    </xf>
    <xf numFmtId="0" fontId="43" fillId="0" borderId="0" xfId="0" applyFont="1" applyNumberFormat="1">
      <alignment horizontal="left" vertical="center" indent="1"/>
    </xf>
    <xf numFmtId="0" fontId="19" fillId="34" borderId="0" xfId="0" applyFont="1" applyFill="1" applyNumberFormat="1">
      <alignment vertical="center" wrapText="1"/>
    </xf>
    <xf numFmtId="14" fontId="83" fillId="0" borderId="12" xfId="0" applyFont="1" applyBorder="1" applyNumberFormat="1">
      <alignment horizontal="left" vertical="center" wrapText="1"/>
    </xf>
    <xf numFmtId="49" fontId="19" fillId="34" borderId="26" xfId="0" applyFont="1" applyFill="1" applyBorder="1" applyNumberFormat="1">
      <alignment horizontal="right" vertical="center" wrapText="1" indent="1"/>
    </xf>
    <xf numFmtId="174" fontId="0" fillId="38" borderId="12" xfId="0" applyFont="1" applyFill="1" applyBorder="1" applyNumberFormat="1">
      <alignment horizontal="left" vertical="center" wrapText="1" indent="1"/>
      <protection locked="0"/>
    </xf>
    <xf numFmtId="49" fontId="36" fillId="0" borderId="0" xfId="0" applyFont="1" applyNumberFormat="1">
      <alignment vertical="center" wrapText="1"/>
    </xf>
    <xf numFmtId="0" fontId="0" fillId="38" borderId="12" xfId="0" applyFont="1" applyFill="1" applyBorder="1" applyNumberFormat="1">
      <alignment horizontal="left" vertical="center" wrapText="1" indent="1"/>
      <protection locked="0"/>
    </xf>
    <xf numFmtId="49" fontId="19" fillId="38" borderId="12" xfId="0" applyFont="1" applyFill="1" applyBorder="1" applyNumberFormat="1">
      <alignment horizontal="left" vertical="center" wrapText="1" indent="1"/>
      <protection locked="0"/>
    </xf>
    <xf numFmtId="174" fontId="0" fillId="38" borderId="12" xfId="0" applyFont="1" applyFill="1" applyBorder="1" applyNumberFormat="1">
      <alignment horizontal="left" vertical="center" wrapText="1" indent="1"/>
      <protection locked="0"/>
    </xf>
    <xf numFmtId="0" fontId="0" fillId="34" borderId="0" xfId="0" applyFont="1" applyFill="1" applyNumberFormat="1">
      <alignment horizontal="right" vertical="center" wrapText="1" indent="1"/>
    </xf>
    <xf numFmtId="0" fontId="86" fillId="0" borderId="0" xfId="0" applyFont="1" applyNumberFormat="1">
      <alignment horizontal="left" vertical="center" wrapText="1"/>
    </xf>
    <xf numFmtId="0" fontId="19" fillId="34" borderId="0" xfId="0" applyFont="1" applyFill="1" applyNumberFormat="1">
      <alignment horizontal="right" vertical="center" wrapText="1" indent="1"/>
    </xf>
    <xf numFmtId="0" fontId="19" fillId="0" borderId="0" xfId="0" applyFont="1" applyNumberFormat="1">
      <alignment horizontal="center" vertical="center" wrapText="1"/>
    </xf>
    <xf numFmtId="0" fontId="19" fillId="34" borderId="0" xfId="0" applyFont="1" applyFill="1" applyNumberFormat="1">
      <alignment horizontal="center" vertical="center" wrapText="1"/>
    </xf>
    <xf numFmtId="0" fontId="0" fillId="34" borderId="0" xfId="0" applyFont="1" applyFill="1" applyNumberFormat="1">
      <alignment horizontal="left" vertical="center" wrapText="1" indent="1"/>
    </xf>
    <xf numFmtId="49" fontId="19" fillId="38" borderId="12" xfId="0" applyFont="1" applyFill="1" applyBorder="1" applyNumberFormat="1">
      <alignment horizontal="left" vertical="center" wrapText="1" indent="1"/>
      <protection locked="0"/>
    </xf>
    <xf numFmtId="49" fontId="19" fillId="38" borderId="12" xfId="0" applyFont="1" applyFill="1" applyBorder="1" applyNumberFormat="1">
      <alignment horizontal="left" vertical="center" wrapText="1" indent="1"/>
      <protection locked="0"/>
    </xf>
    <xf numFmtId="0" fontId="21" fillId="0" borderId="0" xfId="0" applyFont="1" applyNumberFormat="1">
      <alignment horizontal="center" vertical="center" wrapText="1"/>
    </xf>
    <xf numFmtId="0" fontId="23" fillId="34" borderId="0" xfId="0" applyFont="1" applyFill="1" applyNumberFormat="1">
      <alignment horizontal="center" vertical="center" wrapText="1"/>
    </xf>
    <xf numFmtId="49" fontId="19" fillId="33" borderId="12" xfId="0" applyFont="1" applyFill="1" applyBorder="1" applyNumberFormat="1">
      <alignment horizontal="left" vertical="center" wrapText="1" indent="1"/>
    </xf>
    <xf numFmtId="14" fontId="19" fillId="34" borderId="0" xfId="0" applyFont="1" applyFill="1" applyNumberFormat="1">
      <alignment horizontal="center" vertical="center" wrapText="1"/>
    </xf>
    <xf numFmtId="0" fontId="0" fillId="34" borderId="26" xfId="0" applyFont="1" applyFill="1" applyBorder="1" applyNumberFormat="1">
      <alignment horizontal="right" vertical="center" wrapText="1" indent="1"/>
    </xf>
    <xf numFmtId="49" fontId="19" fillId="35" borderId="12" xfId="0" applyFont="1" applyFill="1" applyBorder="1" applyNumberFormat="1">
      <alignment horizontal="left" vertical="center" wrapText="1" indent="1"/>
      <protection locked="0"/>
    </xf>
    <xf numFmtId="0" fontId="19" fillId="0" borderId="0" xfId="0" applyFont="1" applyNumberFormat="1">
      <alignment vertical="center"/>
    </xf>
    <xf numFmtId="14" fontId="19" fillId="34" borderId="0" xfId="0" applyFont="1" applyFill="1" applyNumberFormat="1">
      <alignment horizontal="left" vertical="center" wrapText="1"/>
    </xf>
    <xf numFmtId="0" fontId="19" fillId="38" borderId="12" xfId="0" applyFont="1" applyFill="1" applyBorder="1" applyNumberFormat="1">
      <alignment horizontal="left" vertical="center" wrapText="1" indent="1"/>
      <protection locked="0"/>
    </xf>
    <xf numFmtId="0" fontId="19" fillId="38" borderId="12" xfId="0" applyFont="1" applyFill="1" applyBorder="1" applyNumberFormat="1">
      <alignment horizontal="left" vertical="center" wrapText="1" indent="1"/>
      <protection locked="0"/>
    </xf>
    <xf numFmtId="0" fontId="51" fillId="34" borderId="0" xfId="0" applyFont="1" applyFill="1" applyNumberFormat="1">
      <alignment horizontal="right" vertical="center" wrapText="1" indent="1"/>
    </xf>
    <xf numFmtId="0" fontId="51" fillId="34" borderId="0" xfId="0" applyFont="1" applyFill="1" applyNumberFormat="1">
      <alignment horizontal="left" vertical="center" wrapText="1" indent="1"/>
    </xf>
    <xf numFmtId="49" fontId="19" fillId="39" borderId="12" xfId="0" applyFont="1" applyFill="1" applyBorder="1" applyNumberFormat="1">
      <alignment horizontal="left" vertical="center" wrapText="1" indent="1"/>
    </xf>
    <xf numFmtId="0" fontId="50" fillId="34" borderId="0" xfId="0" applyFont="1" applyFill="1" applyNumberFormat="1">
      <alignment vertical="center" wrapText="1"/>
    </xf>
    <xf numFmtId="0" fontId="51" fillId="34" borderId="0" xfId="0" applyFont="1" applyFill="1" applyNumberFormat="1">
      <alignment horizontal="right" vertical="center" wrapText="1" indent="1"/>
    </xf>
    <xf numFmtId="0" fontId="20" fillId="0" borderId="0" xfId="0" applyFont="1" applyNumberFormat="1">
      <alignment horizontal="left" vertical="center" wrapText="1"/>
    </xf>
    <xf numFmtId="49" fontId="114" fillId="34" borderId="12" xfId="0" applyFont="1" applyFill="1" applyBorder="1" applyNumberFormat="1">
      <alignment horizontal="left" vertical="center" wrapText="1" indent="1"/>
    </xf>
    <xf numFmtId="0" fontId="20" fillId="0" borderId="0" xfId="0" applyFont="1" applyNumberFormat="1">
      <alignment horizontal="left" vertical="center" wrapText="1"/>
    </xf>
    <xf numFmtId="0" fontId="19" fillId="0" borderId="0" xfId="0" applyFont="1" applyNumberFormat="1">
      <alignment vertical="center" wrapText="1"/>
    </xf>
    <xf numFmtId="14" fontId="82" fillId="0" borderId="0" xfId="0" applyFont="1" applyNumberFormat="1">
      <alignment horizontal="center" vertical="center" wrapText="1"/>
    </xf>
    <xf numFmtId="0" fontId="21" fillId="0" borderId="0" xfId="0" applyFont="1" applyNumberFormat="1">
      <alignment vertical="center" wrapText="1"/>
    </xf>
    <xf numFmtId="0" fontId="20" fillId="0" borderId="0" xfId="0" applyFont="1" applyNumberFormat="1">
      <alignment horizontal="center" vertical="center" wrapText="1"/>
    </xf>
    <xf numFmtId="0" fontId="19" fillId="0" borderId="0" xfId="0" applyFont="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vertical="center" wrapText="1"/>
    </xf>
    <xf numFmtId="0" fontId="73" fillId="0" borderId="0" xfId="0" applyFont="1" applyNumberFormat="1">
      <alignment vertical="center" wrapText="1"/>
    </xf>
    <xf numFmtId="0" fontId="19" fillId="39" borderId="12" xfId="0" applyFont="1" applyFill="1" applyBorder="1" applyNumberFormat="1">
      <alignment horizontal="left" vertical="center" wrapText="1" indent="1"/>
    </xf>
    <xf numFmtId="174" fontId="0" fillId="0" borderId="11" xfId="0" applyFont="1" applyBorder="1" applyNumberFormat="1">
      <alignment horizontal="left" vertical="center" wrapText="1" indent="1"/>
    </xf>
    <xf numFmtId="0" fontId="19" fillId="39" borderId="12" xfId="0" applyFont="1" applyFill="1" applyBorder="1" applyNumberFormat="1">
      <alignment horizontal="left" vertical="center" wrapText="1" indent="1"/>
    </xf>
    <xf numFmtId="49" fontId="19" fillId="39" borderId="12" xfId="0" applyFont="1" applyFill="1" applyBorder="1" applyNumberFormat="1">
      <alignment horizontal="left" vertical="center" wrapText="1" indent="1"/>
    </xf>
    <xf numFmtId="0" fontId="81" fillId="0" borderId="0" xfId="0" applyFont="1" applyNumberFormat="1">
      <alignment horizontal="left" vertical="center" wrapText="1"/>
    </xf>
    <xf numFmtId="49" fontId="20" fillId="0" borderId="0" xfId="0" applyFont="1" applyNumberFormat="1">
      <alignment horizontal="left" vertical="center" wrapText="1"/>
    </xf>
    <xf numFmtId="49" fontId="22" fillId="34" borderId="0" xfId="0" applyFont="1" applyFill="1" applyNumberFormat="1">
      <alignment horizontal="center" vertical="center" wrapText="1"/>
    </xf>
    <xf numFmtId="0" fontId="19" fillId="0" borderId="0" xfId="0" applyFont="1" applyNumberFormat="1">
      <alignment horizontal="left" vertical="center" wrapText="1" indent="4"/>
    </xf>
    <xf numFmtId="0" fontId="19" fillId="0" borderId="0" xfId="0" applyFont="1" applyNumberFormat="1">
      <alignment horizontal="left" vertical="center" wrapText="1" indent="1"/>
    </xf>
    <xf numFmtId="49" fontId="19" fillId="38"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19" fillId="34" borderId="0" xfId="0" applyFont="1" applyFill="1" applyNumberFormat="1">
      <alignment horizontal="right" vertical="center" wrapText="1" indent="1"/>
    </xf>
    <xf numFmtId="49" fontId="19" fillId="0" borderId="0" xfId="0" applyFont="1" applyNumberFormat="1">
      <alignment horizontal="center" vertical="center" wrapText="1"/>
    </xf>
    <xf numFmtId="49" fontId="0" fillId="34" borderId="0" xfId="0" applyFont="1" applyFill="1" applyNumberFormat="1">
      <alignment horizontal="right" vertical="center" wrapText="1" indent="1"/>
    </xf>
    <xf numFmtId="0" fontId="39" fillId="0" borderId="0" xfId="0" applyFont="1" applyNumberFormat="1">
      <alignment vertical="top" wrapText="1"/>
    </xf>
    <xf numFmtId="0" fontId="21" fillId="0" borderId="0" xfId="0" applyFont="1" applyNumberFormat="1">
      <alignment vertical="center" wrapText="1"/>
    </xf>
    <xf numFmtId="0" fontId="19" fillId="0" borderId="0" xfId="0" applyFont="1" applyNumberFormat="1">
      <alignment vertical="center" wrapText="1"/>
    </xf>
    <xf numFmtId="0" fontId="37" fillId="0" borderId="0" xfId="0" applyFont="1" applyNumberFormat="1">
      <alignment vertical="center" wrapText="1"/>
    </xf>
    <xf numFmtId="0" fontId="63" fillId="0" borderId="0" xfId="0" applyFont="1" applyNumberFormat="1">
      <alignment vertical="center" wrapText="1"/>
    </xf>
    <xf numFmtId="0" fontId="37" fillId="0" borderId="0" xfId="0" applyFont="1" applyNumberFormat="1">
      <alignment vertical="center" wrapText="1"/>
    </xf>
    <xf numFmtId="0" fontId="37" fillId="0" borderId="0" xfId="0" applyFont="1" applyNumberFormat="1">
      <alignment horizontal="center" vertical="center" wrapText="1"/>
    </xf>
    <xf numFmtId="0" fontId="37" fillId="0" borderId="0" xfId="0" applyFont="1" applyNumberFormat="1">
      <alignment horizontal="left" vertical="center" indent="1"/>
    </xf>
    <xf numFmtId="0" fontId="37" fillId="0" borderId="0" xfId="0" applyFont="1" applyNumberFormat="1">
      <alignment horizontal="center" vertical="center" wrapText="1"/>
    </xf>
    <xf numFmtId="0" fontId="37" fillId="0" borderId="0" xfId="0" applyFont="1" applyNumberFormat="1">
      <alignment horizontal="left" vertical="center" wrapText="1" indent="1"/>
    </xf>
    <xf numFmtId="0" fontId="37" fillId="0" borderId="0" xfId="0" applyFont="1" applyNumberFormat="1">
      <alignment horizontal="left" vertical="center" indent="1"/>
    </xf>
    <xf numFmtId="0" fontId="46" fillId="0" borderId="0" xfId="0" applyFont="1" applyNumberFormat="1">
      <alignment vertical="center" wrapText="1"/>
    </xf>
    <xf numFmtId="0" fontId="19" fillId="0" borderId="0" xfId="0" applyFont="1" applyNumberFormat="1">
      <alignment horizontal="left" vertical="center" wrapText="1" indent="1"/>
    </xf>
    <xf numFmtId="0" fontId="36" fillId="0" borderId="0" xfId="0" applyFont="1" applyNumberFormat="1">
      <alignment horizontal="left" vertical="center" wrapText="1" indent="1"/>
    </xf>
    <xf numFmtId="0" fontId="46" fillId="0" borderId="0" xfId="0" applyFont="1" applyNumberFormat="1">
      <alignment horizontal="left" vertical="center" wrapText="1" indent="1"/>
    </xf>
    <xf numFmtId="0" fontId="47" fillId="0" borderId="0" xfId="0" applyFont="1" applyNumberFormat="1">
      <alignment horizontal="left" vertical="center" indent="1"/>
    </xf>
    <xf numFmtId="0" fontId="31" fillId="0" borderId="0" xfId="0" applyFont="1" applyNumberFormat="1">
      <alignment vertical="center" wrapText="1"/>
    </xf>
    <xf numFmtId="0" fontId="19" fillId="0" borderId="0" xfId="0" applyFont="1" applyNumberFormat="1">
      <alignment vertical="center" wrapText="1"/>
    </xf>
    <xf numFmtId="0" fontId="36" fillId="0" borderId="0" xfId="0" applyFont="1" applyNumberFormat="1">
      <alignment vertical="center" wrapText="1"/>
    </xf>
    <xf numFmtId="0" fontId="25" fillId="0" borderId="0" xfId="0" applyFont="1" applyNumberFormat="1">
      <alignment horizontal="center" vertical="center" wrapText="1"/>
    </xf>
    <xf numFmtId="0" fontId="19" fillId="0" borderId="0" xfId="0" applyFont="1" applyNumberFormat="1">
      <alignment vertical="center" wrapText="1"/>
    </xf>
    <xf numFmtId="0" fontId="19" fillId="0" borderId="0" xfId="0" applyFont="1" applyNumberFormat="1">
      <alignment vertical="center" wrapText="1"/>
    </xf>
    <xf numFmtId="0" fontId="19" fillId="0" borderId="0" xfId="0" applyFont="1" applyNumberFormat="1">
      <alignment horizontal="right" vertical="center" wrapText="1"/>
    </xf>
    <xf numFmtId="0" fontId="37" fillId="0" borderId="0" xfId="0" applyFont="1" applyNumberFormat="1">
      <alignment vertical="center"/>
    </xf>
    <xf numFmtId="0" fontId="37" fillId="0" borderId="0" xfId="0" applyFont="1" applyNumberFormat="1">
      <alignment vertical="center"/>
    </xf>
    <xf numFmtId="0" fontId="45" fillId="0" borderId="0" xfId="0" applyFont="1" applyNumberFormat="1">
      <alignment vertical="center"/>
    </xf>
    <xf numFmtId="0" fontId="19" fillId="0" borderId="15" xfId="0" applyFont="1" applyBorder="1" applyNumberFormat="1">
      <alignment horizontal="left" vertical="center" wrapText="1" indent="1"/>
    </xf>
    <xf numFmtId="4" fontId="19" fillId="0" borderId="0" xfId="0" applyFont="1" applyNumberFormat="1">
      <alignment horizontal="right" vertical="center" wrapText="1"/>
    </xf>
    <xf numFmtId="0" fontId="19" fillId="0" borderId="0" xfId="0" applyFont="1" applyNumberFormat="1">
      <alignment horizontal="left" vertical="center" wrapText="1" indent="1"/>
    </xf>
    <xf numFmtId="49" fontId="19" fillId="0" borderId="0" xfId="0" applyFont="1" applyNumberFormat="1">
      <alignment vertical="top"/>
    </xf>
    <xf numFmtId="49" fontId="36" fillId="0" borderId="0" xfId="0" applyFont="1" applyNumberFormat="1">
      <alignment vertical="top"/>
    </xf>
    <xf numFmtId="49" fontId="19" fillId="0" borderId="0" xfId="0" applyFont="1" applyNumberFormat="1">
      <alignment vertical="top"/>
    </xf>
    <xf numFmtId="49" fontId="19" fillId="0" borderId="0" xfId="0" applyFont="1" applyNumberFormat="1">
      <alignment horizontal="center" vertical="center" wrapText="1"/>
    </xf>
    <xf numFmtId="4" fontId="19" fillId="0" borderId="0" xfId="0" applyFont="1" applyNumberFormat="1">
      <alignment horizontal="center" vertical="center" wrapText="1"/>
    </xf>
    <xf numFmtId="0" fontId="19" fillId="0" borderId="14" xfId="0" applyFont="1" applyBorder="1" applyNumberFormat="1">
      <alignment horizontal="center" vertical="center" wrapText="1"/>
    </xf>
    <xf numFmtId="0" fontId="19" fillId="0" borderId="15" xfId="0" applyFont="1" applyBorder="1" applyNumberFormat="1">
      <alignment horizontal="center" vertical="center" wrapText="1"/>
    </xf>
    <xf numFmtId="0" fontId="19" fillId="0" borderId="13" xfId="0" applyFont="1" applyBorder="1" applyNumberFormat="1">
      <alignment horizontal="center" vertical="center" wrapText="1"/>
    </xf>
    <xf numFmtId="4" fontId="19" fillId="0" borderId="12" xfId="0" applyFont="1" applyBorder="1" applyNumberFormat="1">
      <alignment horizontal="center" vertical="center" wrapText="1"/>
    </xf>
    <xf numFmtId="171" fontId="19" fillId="0" borderId="14" xfId="0" applyFont="1" applyBorder="1" applyNumberFormat="1">
      <alignment horizontal="center" vertical="center" wrapText="1"/>
    </xf>
    <xf numFmtId="171" fontId="19" fillId="0" borderId="12" xfId="0" applyFont="1" applyBorder="1" applyNumberFormat="1">
      <alignment horizontal="center" vertical="center" wrapText="1"/>
    </xf>
    <xf numFmtId="0" fontId="24" fillId="0" borderId="0" xfId="0" applyFont="1" applyNumberFormat="1">
      <alignment horizontal="center" vertical="center" wrapText="1"/>
    </xf>
    <xf numFmtId="49" fontId="24" fillId="0" borderId="15" xfId="0" applyFont="1" applyBorder="1" applyNumberFormat="1">
      <alignment horizontal="center" vertical="center" wrapText="1"/>
    </xf>
    <xf numFmtId="49" fontId="24" fillId="0" borderId="15" xfId="0" applyFont="1" applyBorder="1" applyNumberFormat="1">
      <alignment horizontal="center" vertical="center" wrapText="1"/>
    </xf>
    <xf numFmtId="0" fontId="36" fillId="0" borderId="0" xfId="0" applyFont="1" applyNumberFormat="1">
      <alignment vertical="center"/>
    </xf>
    <xf numFmtId="0" fontId="36" fillId="0" borderId="0" xfId="0" applyFont="1" applyNumberFormat="1">
      <alignment vertical="center"/>
    </xf>
    <xf numFmtId="0" fontId="44" fillId="0" borderId="0" xfId="0" applyFont="1" applyNumberFormat="1">
      <alignment vertical="center"/>
    </xf>
    <xf numFmtId="49" fontId="19" fillId="36" borderId="19" xfId="0" applyFont="1" applyFill="1" applyBorder="1" applyNumberFormat="1">
      <alignment horizontal="center" vertical="center" wrapText="1"/>
    </xf>
    <xf numFmtId="49" fontId="36" fillId="36" borderId="19" xfId="0" applyFont="1" applyFill="1" applyBorder="1" applyNumberFormat="1">
      <alignment horizontal="left" vertical="center" wrapText="1"/>
    </xf>
    <xf numFmtId="49" fontId="36" fillId="36" borderId="20" xfId="0" applyFont="1" applyFill="1" applyBorder="1" applyNumberFormat="1">
      <alignment horizontal="left" vertical="center" wrapText="1"/>
    </xf>
    <xf numFmtId="0" fontId="37" fillId="0" borderId="22" xfId="0" applyFont="1" applyBorder="1" applyNumberFormat="1">
      <alignment vertical="center"/>
    </xf>
    <xf numFmtId="0" fontId="31" fillId="0" borderId="0" xfId="0" applyFont="1" applyNumberFormat="1">
      <alignment vertical="center" wrapText="1"/>
    </xf>
    <xf numFmtId="0" fontId="19" fillId="0" borderId="0" xfId="0" applyFont="1" applyNumberFormat="1">
      <alignment horizontal="center" vertical="center" wrapText="1"/>
    </xf>
    <xf numFmtId="0" fontId="25" fillId="0" borderId="0" xfId="0" applyFont="1" applyNumberFormat="1">
      <alignment horizontal="center" vertical="center" wrapText="1"/>
    </xf>
    <xf numFmtId="0" fontId="19" fillId="0" borderId="12" xfId="0" applyFont="1" applyBorder="1" applyNumberFormat="1">
      <alignment horizontal="center" vertical="center" wrapText="1"/>
    </xf>
    <xf numFmtId="0" fontId="37" fillId="0" borderId="12" xfId="0" applyFont="1" applyBorder="1" applyNumberFormat="1">
      <alignment horizontal="center" vertical="center" wrapText="1"/>
    </xf>
    <xf numFmtId="49" fontId="19" fillId="38" borderId="12" xfId="0" applyFont="1" applyFill="1" applyBorder="1" applyNumberFormat="1">
      <alignment vertical="center" wrapText="1"/>
      <protection locked="0"/>
    </xf>
    <xf numFmtId="49" fontId="36" fillId="0" borderId="12" xfId="0" applyFont="1" applyBorder="1" applyNumberFormat="1">
      <alignment horizontal="left" vertical="center" wrapText="1"/>
    </xf>
    <xf numFmtId="0" fontId="37" fillId="0" borderId="0" xfId="0" applyFont="1" applyNumberFormat="1">
      <alignment vertical="center"/>
    </xf>
    <xf numFmtId="0" fontId="37" fillId="0" borderId="0" xfId="0" applyFont="1" applyNumberFormat="1">
      <alignment vertical="center"/>
    </xf>
    <xf numFmtId="49" fontId="0" fillId="0" borderId="0" xfId="0" applyFont="1" applyNumberFormat="1">
      <alignment vertical="top"/>
    </xf>
    <xf numFmtId="0" fontId="24" fillId="0" borderId="24" xfId="0" applyFont="1" applyBorder="1" applyNumberFormat="1">
      <alignment vertical="top" wrapText="1"/>
    </xf>
    <xf numFmtId="0" fontId="19" fillId="0" borderId="23" xfId="0" applyFont="1" applyBorder="1" applyNumberFormat="1">
      <alignment horizontal="center" vertical="center" wrapText="1"/>
    </xf>
    <xf numFmtId="0" fontId="37" fillId="0" borderId="23" xfId="0" applyFont="1" applyBorder="1" applyNumberFormat="1">
      <alignment horizontal="center" vertical="center" wrapText="1"/>
    </xf>
    <xf numFmtId="14" fontId="19" fillId="39" borderId="23" xfId="0" applyFont="1" applyFill="1" applyBorder="1" applyNumberFormat="1">
      <alignment horizontal="left" vertical="center" wrapText="1" indent="1"/>
    </xf>
    <xf numFmtId="49" fontId="19" fillId="33" borderId="23" xfId="0" applyFont="1" applyFill="1" applyBorder="1" applyNumberFormat="1">
      <alignment horizontal="center" vertical="center" wrapText="1"/>
    </xf>
    <xf numFmtId="0" fontId="64" fillId="0" borderId="0" xfId="0" applyFont="1" applyNumberFormat="1">
      <alignment vertical="center" wrapText="1"/>
    </xf>
    <xf numFmtId="49" fontId="36" fillId="0" borderId="0" xfId="0" applyFont="1" applyNumberFormat="1">
      <alignment vertical="top"/>
    </xf>
    <xf numFmtId="49" fontId="37" fillId="0" borderId="0" xfId="0" applyFont="1" applyNumberFormat="1">
      <alignment vertical="top"/>
    </xf>
    <xf numFmtId="0" fontId="0" fillId="0" borderId="0" xfId="0" applyFont="1" applyNumberFormat="1">
      <alignment vertical="center" wrapText="1"/>
    </xf>
    <xf numFmtId="0" fontId="24" fillId="0" borderId="0" xfId="0" applyFont="1" applyNumberFormat="1">
      <alignment vertical="top" wrapText="1"/>
    </xf>
    <xf numFmtId="49" fontId="39" fillId="36" borderId="14" xfId="0" applyFont="1" applyFill="1" applyBorder="1" applyNumberFormat="1">
      <alignment horizontal="right" vertical="center" wrapText="1"/>
    </xf>
    <xf numFmtId="49" fontId="39" fillId="36" borderId="15" xfId="0" applyFont="1" applyFill="1" applyBorder="1" applyNumberFormat="1">
      <alignment horizontal="right" vertical="center" wrapText="1"/>
    </xf>
    <xf numFmtId="49" fontId="29" fillId="36" borderId="15" xfId="0" applyFont="1" applyFill="1" applyBorder="1" applyNumberFormat="1">
      <alignment horizontal="left" vertical="center" indent="1"/>
    </xf>
    <xf numFmtId="49" fontId="0" fillId="36" borderId="15" xfId="0" applyFont="1" applyFill="1" applyBorder="1" applyNumberFormat="1">
      <alignment horizontal="right" vertical="center" wrapText="1"/>
    </xf>
    <xf numFmtId="49" fontId="0" fillId="36" borderId="13" xfId="0" applyFont="1" applyFill="1" applyBorder="1" applyNumberFormat="1">
      <alignment horizontal="right" vertical="center" wrapText="1"/>
    </xf>
    <xf numFmtId="0" fontId="36" fillId="0" borderId="0" xfId="0" applyFont="1" applyNumberFormat="1">
      <alignment horizontal="center" vertical="center" wrapText="1"/>
    </xf>
    <xf numFmtId="0" fontId="36" fillId="0" borderId="0" xfId="0" applyFont="1" applyNumberFormat="1">
      <alignment vertical="center" wrapText="1"/>
    </xf>
    <xf numFmtId="0" fontId="25" fillId="0" borderId="0" xfId="0" applyFont="1" applyNumberFormat="1">
      <alignment horizontal="center" vertical="center" wrapText="1"/>
    </xf>
    <xf numFmtId="0" fontId="19" fillId="0" borderId="12" xfId="0" applyFont="1" applyBorder="1" applyNumberFormat="1">
      <alignment horizontal="center" vertical="center" wrapText="1"/>
    </xf>
    <xf numFmtId="0" fontId="37" fillId="0" borderId="12" xfId="0" applyFont="1" applyBorder="1" applyNumberFormat="1">
      <alignment horizontal="center" vertical="center"/>
    </xf>
    <xf numFmtId="0" fontId="37" fillId="0" borderId="0" xfId="0" applyFont="1" applyNumberFormat="1">
      <alignment vertical="center"/>
    </xf>
    <xf numFmtId="0" fontId="31" fillId="0" borderId="0" xfId="0" applyFont="1" applyNumberFormat="1">
      <alignment vertical="center" wrapText="1"/>
    </xf>
    <xf numFmtId="0" fontId="19" fillId="0" borderId="23" xfId="0" applyFont="1" applyBorder="1" applyNumberFormat="1">
      <alignment horizontal="center" vertical="center" wrapText="1"/>
    </xf>
    <xf numFmtId="0" fontId="36" fillId="0" borderId="23" xfId="0" applyFont="1" applyBorder="1" applyNumberFormat="1">
      <alignment horizontal="center" vertical="center" wrapText="1"/>
    </xf>
    <xf numFmtId="0" fontId="37" fillId="0" borderId="0" xfId="0" applyFont="1" applyNumberFormat="1">
      <alignment vertical="center" wrapText="1"/>
    </xf>
    <xf numFmtId="49" fontId="19" fillId="36" borderId="14" xfId="0" applyFont="1" applyFill="1" applyBorder="1" applyNumberFormat="1">
      <alignment horizontal="right" vertical="center" wrapText="1"/>
    </xf>
    <xf numFmtId="49" fontId="19" fillId="36" borderId="15" xfId="0" applyFont="1" applyFill="1" applyBorder="1" applyNumberFormat="1">
      <alignment horizontal="right" vertical="center" wrapText="1"/>
    </xf>
    <xf numFmtId="49" fontId="29" fillId="36" borderId="15" xfId="0" applyFont="1" applyFill="1" applyBorder="1" applyNumberFormat="1">
      <alignment horizontal="left" vertical="center"/>
    </xf>
    <xf numFmtId="49" fontId="19" fillId="36" borderId="13" xfId="0" applyFont="1" applyFill="1" applyBorder="1" applyNumberFormat="1">
      <alignment horizontal="right" vertical="center" wrapText="1"/>
    </xf>
    <xf numFmtId="0" fontId="25" fillId="0" borderId="0" xfId="0" applyFont="1" applyNumberFormat="1">
      <alignment horizontal="center" vertical="center" wrapText="1"/>
    </xf>
    <xf numFmtId="0" fontId="19" fillId="0" borderId="21" xfId="0" applyFont="1" applyBorder="1" applyNumberFormat="1">
      <alignment vertical="center" wrapText="1"/>
    </xf>
    <xf numFmtId="0" fontId="19" fillId="0" borderId="0" xfId="0" applyFont="1" applyNumberFormat="1">
      <alignment vertical="center" wrapText="1"/>
    </xf>
    <xf numFmtId="0" fontId="34" fillId="0" borderId="0" xfId="0" applyFont="1" applyNumberFormat="1">
      <alignment vertical="center" wrapText="1"/>
    </xf>
    <xf numFmtId="0" fontId="84" fillId="0" borderId="0" xfId="0" applyFont="1" applyNumberFormat="1">
      <alignment vertical="center" wrapText="1"/>
    </xf>
    <xf numFmtId="0" fontId="40" fillId="0" borderId="0" xfId="0" applyFont="1" applyNumberFormat="1">
      <alignment horizontal="center" vertical="center" wrapText="1"/>
    </xf>
    <xf numFmtId="49" fontId="0" fillId="0" borderId="0" xfId="0" applyFont="1" applyNumberFormat="1">
      <alignment vertical="top"/>
    </xf>
    <xf numFmtId="0" fontId="19" fillId="0" borderId="0" xfId="0" applyFont="1" applyNumberFormat="1">
      <alignment vertical="center"/>
    </xf>
    <xf numFmtId="0" fontId="19" fillId="0" borderId="20" xfId="0" applyFont="1" applyBorder="1" applyNumberFormat="1">
      <alignment horizontal="left" vertical="center" wrapText="1" indent="1"/>
    </xf>
    <xf numFmtId="0" fontId="19" fillId="0" borderId="17" xfId="0" applyFont="1" applyBorder="1" applyNumberFormat="1">
      <alignment horizontal="left" vertical="center" wrapText="1" indent="1"/>
    </xf>
    <xf numFmtId="0" fontId="19" fillId="0" borderId="37" xfId="0" applyFont="1" applyBorder="1" applyNumberFormat="1">
      <alignment horizontal="left" vertical="center" wrapText="1" indent="1"/>
    </xf>
    <xf numFmtId="0" fontId="36" fillId="0" borderId="0" xfId="0" applyFont="1" applyNumberFormat="1">
      <alignment vertical="center"/>
    </xf>
    <xf numFmtId="0" fontId="30" fillId="0" borderId="0" xfId="0" applyFont="1" applyNumberFormat="1">
      <alignment vertical="center"/>
    </xf>
    <xf numFmtId="0" fontId="19" fillId="0" borderId="29" xfId="0" applyFont="1" applyBorder="1" applyNumberFormat="1">
      <alignment horizontal="left" vertical="center" indent="1"/>
    </xf>
    <xf numFmtId="0" fontId="19" fillId="0" borderId="23" xfId="0" applyFont="1" applyBorder="1" applyNumberFormat="1">
      <alignment horizontal="left" vertical="center" indent="1"/>
    </xf>
    <xf numFmtId="0" fontId="19" fillId="0" borderId="30" xfId="0" applyFont="1" applyBorder="1" applyNumberFormat="1">
      <alignment horizontal="left" vertical="center" indent="1"/>
    </xf>
    <xf numFmtId="0" fontId="76" fillId="0" borderId="0" xfId="0" applyFont="1" applyNumberFormat="1">
      <alignment vertical="center"/>
    </xf>
    <xf numFmtId="0" fontId="38" fillId="0" borderId="0" xfId="0" applyFont="1" applyNumberFormat="1">
      <alignment vertical="center"/>
    </xf>
    <xf numFmtId="0" fontId="98" fillId="0" borderId="0" xfId="0" applyFont="1" applyNumberFormat="1">
      <alignment vertical="center"/>
    </xf>
    <xf numFmtId="0" fontId="30" fillId="0" borderId="0" xfId="0" applyFont="1" applyNumberFormat="1">
      <alignment vertical="center"/>
    </xf>
    <xf numFmtId="0" fontId="19" fillId="0" borderId="0" xfId="0" applyFont="1" applyNumberFormat="1">
      <alignment horizontal="center" vertical="center" wrapText="1"/>
    </xf>
    <xf numFmtId="0" fontId="19" fillId="0" borderId="0" xfId="0" applyFont="1" applyNumberFormat="1">
      <alignment vertical="center" wrapText="1"/>
    </xf>
    <xf numFmtId="0" fontId="76" fillId="0" borderId="0" xfId="0" applyFont="1" applyNumberFormat="1">
      <alignment vertical="center"/>
    </xf>
    <xf numFmtId="0" fontId="38" fillId="0" borderId="0" xfId="0" applyFont="1" applyNumberFormat="1">
      <alignment vertical="center"/>
    </xf>
    <xf numFmtId="0" fontId="9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42" fillId="0" borderId="0" xfId="0" applyFont="1" applyNumberFormat="1">
      <alignment vertical="center"/>
    </xf>
    <xf numFmtId="0" fontId="19" fillId="41" borderId="0" xfId="0" applyFont="1" applyFill="1" applyNumberFormat="1">
      <alignment horizontal="center" vertical="center" wrapText="1"/>
    </xf>
    <xf numFmtId="0" fontId="19" fillId="0" borderId="0" xfId="0" applyFont="1" applyNumberFormat="1">
      <alignment vertical="center" wrapText="1"/>
    </xf>
    <xf numFmtId="0" fontId="19" fillId="0" borderId="12" xfId="0" applyFont="1" applyBorder="1" applyNumberFormat="1">
      <alignment horizontal="center" vertical="center" wrapText="1"/>
    </xf>
    <xf numFmtId="0" fontId="65" fillId="0" borderId="37" xfId="0" applyFont="1" applyBorder="1" applyNumberFormat="1">
      <alignment horizontal="center" vertical="center" wrapText="1"/>
    </xf>
    <xf numFmtId="0" fontId="65" fillId="0" borderId="19" xfId="0" applyFont="1" applyBorder="1" applyNumberFormat="1">
      <alignment horizontal="center" vertical="center" wrapText="1"/>
    </xf>
    <xf numFmtId="0" fontId="65" fillId="0" borderId="12" xfId="0" applyFont="1" applyBorder="1" applyNumberFormat="1">
      <alignment horizontal="center" vertical="center" wrapText="1"/>
    </xf>
    <xf numFmtId="0" fontId="19" fillId="0" borderId="0" xfId="0" applyFont="1" applyNumberFormat="1">
      <alignment horizontal="center" vertical="center" wrapText="1"/>
    </xf>
    <xf numFmtId="0" fontId="72" fillId="0" borderId="0" xfId="0" applyFont="1" applyNumberFormat="1">
      <alignment horizontal="center" vertical="center" wrapText="1"/>
    </xf>
    <xf numFmtId="0" fontId="19" fillId="0" borderId="12" xfId="0" applyFont="1" applyBorder="1" applyNumberFormat="1">
      <alignment horizontal="center" vertical="center" wrapText="1"/>
    </xf>
    <xf numFmtId="0" fontId="19" fillId="0" borderId="72" xfId="0" applyFont="1" applyBorder="1" applyNumberFormat="1">
      <alignment horizontal="center" vertical="center" wrapText="1"/>
    </xf>
    <xf numFmtId="0" fontId="19" fillId="0" borderId="73" xfId="0" applyFont="1" applyBorder="1" applyNumberFormat="1">
      <alignment horizontal="center" vertical="center" wrapText="1"/>
    </xf>
    <xf numFmtId="0" fontId="36" fillId="0" borderId="22" xfId="0" applyFont="1" applyBorder="1" applyNumberFormat="1">
      <alignment vertical="center"/>
    </xf>
    <xf numFmtId="0" fontId="0" fillId="0" borderId="0" xfId="0" applyFont="1" applyNumberFormat="1">
      <alignment vertical="center"/>
    </xf>
    <xf numFmtId="49" fontId="24" fillId="0" borderId="0" xfId="0" applyFont="1" applyNumberFormat="1">
      <alignment horizontal="center" vertical="center" wrapText="1"/>
    </xf>
    <xf numFmtId="49" fontId="24" fillId="0" borderId="12" xfId="0" applyFont="1" applyBorder="1" applyNumberFormat="1">
      <alignment horizontal="center" vertical="center" wrapText="1"/>
    </xf>
    <xf numFmtId="49" fontId="24" fillId="0" borderId="70" xfId="0" applyFont="1" applyBorder="1" applyNumberFormat="1">
      <alignment horizontal="center" vertical="center" wrapText="1"/>
    </xf>
    <xf numFmtId="49" fontId="24" fillId="0" borderId="71" xfId="0" applyFont="1" applyBorder="1" applyNumberFormat="1">
      <alignment horizontal="center" vertical="center" wrapText="1"/>
    </xf>
    <xf numFmtId="49" fontId="24" fillId="0" borderId="14" xfId="0" applyFont="1" applyBorder="1" applyNumberFormat="1">
      <alignment horizontal="center" vertical="center" wrapText="1"/>
    </xf>
    <xf numFmtId="49" fontId="24" fillId="0" borderId="13" xfId="0" applyFont="1" applyBorder="1" applyNumberFormat="1">
      <alignment horizontal="center" vertical="center" wrapText="1"/>
    </xf>
    <xf numFmtId="0" fontId="36" fillId="0" borderId="22" xfId="0" applyFont="1" applyBorder="1" applyNumberFormat="1">
      <alignment vertical="center"/>
    </xf>
    <xf numFmtId="0" fontId="37" fillId="0" borderId="0" xfId="0" applyFont="1" applyNumberFormat="1">
      <alignment vertical="center"/>
    </xf>
    <xf numFmtId="0" fontId="37" fillId="0" borderId="0" xfId="0" applyFont="1" applyNumberFormat="1">
      <alignment vertical="center"/>
    </xf>
    <xf numFmtId="0" fontId="19" fillId="0" borderId="0" xfId="0" applyFont="1" applyNumberFormat="1">
      <alignment vertical="center"/>
    </xf>
    <xf numFmtId="0" fontId="36" fillId="0" borderId="0" xfId="0" applyFont="1" applyNumberFormat="1">
      <alignment vertical="center"/>
    </xf>
    <xf numFmtId="0" fontId="37" fillId="0" borderId="0" xfId="0" applyFont="1" applyNumberFormat="1">
      <alignment horizontal="center" vertical="center"/>
    </xf>
    <xf numFmtId="0" fontId="19" fillId="0" borderId="0" xfId="0" applyFont="1" applyNumberFormat="1">
      <alignment horizontal="center" vertical="center" wrapText="1"/>
    </xf>
    <xf numFmtId="0" fontId="19" fillId="36" borderId="14"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41" xfId="0" applyFont="1" applyFill="1" applyBorder="1" applyNumberFormat="1">
      <alignment horizontal="center" vertical="center" wrapText="1"/>
    </xf>
    <xf numFmtId="49" fontId="0" fillId="36" borderId="15" xfId="0" applyFont="1" applyFill="1" applyBorder="1" applyNumberFormat="1">
      <alignment horizontal="left" vertical="center"/>
    </xf>
    <xf numFmtId="0" fontId="0" fillId="36" borderId="13"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25" fillId="0" borderId="0" xfId="0" applyFont="1" applyNumberFormat="1">
      <alignment horizontal="center" vertical="center" wrapText="1"/>
    </xf>
    <xf numFmtId="49" fontId="19" fillId="0" borderId="12" xfId="0" applyFont="1" applyBorder="1" applyNumberFormat="1">
      <alignment horizontal="center" vertical="center" wrapText="1"/>
    </xf>
    <xf numFmtId="0" fontId="19" fillId="39" borderId="17" xfId="0" applyFont="1" applyFill="1" applyBorder="1" applyNumberFormat="1">
      <alignment horizontal="left" vertical="center" wrapText="1" indent="2"/>
    </xf>
    <xf numFmtId="49" fontId="19" fillId="39" borderId="23" xfId="0" applyFont="1" applyFill="1" applyBorder="1" applyNumberFormat="1">
      <alignment horizontal="center" vertical="center" wrapText="1"/>
    </xf>
    <xf numFmtId="14" fontId="71" fillId="0" borderId="74" xfId="0" applyFont="1" applyBorder="1" applyNumberFormat="1">
      <alignment horizontal="center" vertical="center" wrapText="1"/>
    </xf>
    <xf numFmtId="0" fontId="19" fillId="0" borderId="74" xfId="0" applyFont="1" applyBorder="1" applyNumberFormat="1">
      <alignment horizontal="center" vertical="center" wrapText="1"/>
    </xf>
    <xf numFmtId="0" fontId="19" fillId="39" borderId="17" xfId="0" applyFont="1" applyFill="1" applyBorder="1" applyNumberFormat="1">
      <alignment horizontal="left" vertical="center" wrapText="1" indent="1"/>
      <protection locked="0"/>
    </xf>
    <xf numFmtId="49" fontId="19" fillId="39" borderId="12" xfId="0" applyFont="1" applyFill="1" applyBorder="1" applyNumberFormat="1">
      <alignment horizontal="center" vertical="center" wrapText="1"/>
    </xf>
    <xf numFmtId="49" fontId="19" fillId="0" borderId="17" xfId="0" applyFont="1" applyBorder="1" applyNumberFormat="1">
      <alignment horizontal="center" vertical="center" wrapText="1"/>
    </xf>
    <xf numFmtId="49" fontId="19" fillId="0" borderId="12" xfId="0" applyFont="1" applyBorder="1" applyNumberFormat="1">
      <alignment horizontal="center" vertical="center" wrapText="1"/>
    </xf>
    <xf numFmtId="49" fontId="65" fillId="0" borderId="12" xfId="0" applyFont="1" applyBorder="1" applyNumberFormat="1">
      <alignment horizontal="left" vertical="center" wrapText="1" indent="1"/>
    </xf>
    <xf numFmtId="0" fontId="36" fillId="0" borderId="22" xfId="0" applyFont="1" applyBorder="1" applyNumberFormat="1">
      <alignment vertical="center"/>
    </xf>
    <xf numFmtId="0" fontId="37" fillId="0" borderId="0" xfId="0" applyFont="1" applyNumberFormat="1">
      <alignment vertical="center"/>
    </xf>
    <xf numFmtId="0" fontId="19" fillId="0" borderId="0" xfId="0" applyFont="1" applyNumberFormat="1">
      <alignment vertical="center"/>
    </xf>
    <xf numFmtId="0" fontId="36" fillId="0" borderId="0" xfId="0" applyFont="1" applyNumberFormat="1">
      <alignment vertical="center"/>
    </xf>
    <xf numFmtId="0" fontId="19" fillId="39" borderId="36" xfId="0" applyFont="1" applyFill="1" applyBorder="1" applyNumberFormat="1">
      <alignment horizontal="left" vertical="center" wrapText="1" indent="2"/>
    </xf>
    <xf numFmtId="0" fontId="19" fillId="39" borderId="23" xfId="0" applyFont="1" applyFill="1" applyBorder="1" applyNumberFormat="1">
      <alignment horizontal="left" vertical="center" wrapText="1" indent="1"/>
      <protection locked="0"/>
    </xf>
    <xf numFmtId="49" fontId="29" fillId="36" borderId="13" xfId="0" applyFont="1" applyFill="1" applyBorder="1" applyNumberFormat="1">
      <alignment horizontal="left" vertical="center" indent="1"/>
    </xf>
    <xf numFmtId="0" fontId="19" fillId="39" borderId="23" xfId="0" applyFont="1" applyFill="1" applyBorder="1" applyNumberFormat="1">
      <alignment horizontal="left" vertical="center" wrapText="1" indent="2"/>
    </xf>
    <xf numFmtId="49" fontId="39" fillId="36" borderId="42" xfId="0" applyFont="1" applyFill="1" applyBorder="1" applyNumberFormat="1">
      <alignment horizontal="right" vertical="center" wrapText="1"/>
    </xf>
    <xf numFmtId="49" fontId="39" fillId="36" borderId="43" xfId="0" applyFont="1" applyFill="1" applyBorder="1" applyNumberFormat="1">
      <alignment horizontal="right" vertical="center" wrapText="1"/>
    </xf>
    <xf numFmtId="49" fontId="29" fillId="36" borderId="15" xfId="0" applyFont="1" applyFill="1" applyBorder="1" applyNumberFormat="1">
      <alignment horizontal="left" vertical="center" indent="1"/>
    </xf>
    <xf numFmtId="49" fontId="39" fillId="36" borderId="13" xfId="0" applyFont="1" applyFill="1" applyBorder="1" applyNumberFormat="1">
      <alignment horizontal="right" vertical="center" wrapText="1"/>
    </xf>
    <xf numFmtId="0" fontId="65" fillId="41" borderId="0" xfId="0" applyFont="1" applyFill="1" applyNumberFormat="1">
      <alignment vertical="top"/>
    </xf>
    <xf numFmtId="49" fontId="19" fillId="0" borderId="0" xfId="0" applyFont="1" applyNumberFormat="1">
      <alignment vertical="center" wrapText="1"/>
    </xf>
    <xf numFmtId="49" fontId="19" fillId="0" borderId="0" xfId="0" applyFont="1" applyNumberFormat="1">
      <alignment horizontal="center" vertical="center" wrapText="1"/>
    </xf>
    <xf numFmtId="49" fontId="29" fillId="36" borderId="15" xfId="0" applyFont="1" applyFill="1" applyBorder="1" applyNumberFormat="1">
      <alignment horizontal="left" vertical="center" indent="2"/>
    </xf>
    <xf numFmtId="0" fontId="0" fillId="0" borderId="0" xfId="0" applyFont="1" applyNumberFormat="1">
      <alignment vertical="center"/>
    </xf>
    <xf numFmtId="0" fontId="19" fillId="0" borderId="0" xfId="0" applyFont="1" applyNumberFormat="1">
      <alignment vertical="center"/>
    </xf>
    <xf numFmtId="0" fontId="37" fillId="0" borderId="0" xfId="0" applyFont="1" applyNumberFormat="1">
      <alignment vertical="center"/>
    </xf>
    <xf numFmtId="0" fontId="30" fillId="0" borderId="0" xfId="0" applyFont="1" applyNumberFormat="1">
      <alignment vertical="center"/>
    </xf>
    <xf numFmtId="0" fontId="38" fillId="0" borderId="0" xfId="0" applyFont="1" applyNumberFormat="1">
      <alignment vertical="center"/>
    </xf>
    <xf numFmtId="0" fontId="19" fillId="0" borderId="20" xfId="0" applyFont="1" applyBorder="1" applyNumberFormat="1">
      <alignment horizontal="left" vertical="top" wrapText="1" indent="1"/>
    </xf>
    <xf numFmtId="0" fontId="19" fillId="0" borderId="17" xfId="0" applyFont="1" applyBorder="1" applyNumberFormat="1">
      <alignment horizontal="left" vertical="top" wrapText="1" indent="1"/>
    </xf>
    <xf numFmtId="0" fontId="19" fillId="0" borderId="37" xfId="0" applyFont="1" applyBorder="1" applyNumberFormat="1">
      <alignment horizontal="left" vertical="top" wrapText="1" indent="1"/>
    </xf>
    <xf numFmtId="0" fontId="54" fillId="0" borderId="0" xfId="0" applyFont="1" applyNumberFormat="1">
      <alignment vertical="center" wrapText="1"/>
    </xf>
    <xf numFmtId="0" fontId="35" fillId="0" borderId="0" xfId="0" applyFont="1" applyNumberFormat="1">
      <alignment vertical="center" wrapText="1"/>
    </xf>
    <xf numFmtId="0" fontId="35" fillId="0" borderId="0" xfId="0" applyFont="1" applyNumberFormat="1">
      <alignment vertical="center" wrapText="1"/>
    </xf>
    <xf numFmtId="0" fontId="98" fillId="0" borderId="0" xfId="0" applyFont="1" applyNumberFormat="1">
      <alignment vertical="center"/>
    </xf>
    <xf numFmtId="0" fontId="19" fillId="0" borderId="27" xfId="0" applyFont="1" applyBorder="1" applyNumberFormat="1">
      <alignment horizontal="left" vertical="center" indent="1"/>
    </xf>
    <xf numFmtId="0" fontId="57" fillId="0" borderId="0" xfId="0" applyFont="1" applyNumberFormat="1">
      <alignment vertical="center"/>
    </xf>
    <xf numFmtId="0" fontId="37" fillId="0" borderId="0" xfId="0" applyFont="1" applyNumberFormat="1">
      <alignment vertical="center"/>
    </xf>
    <xf numFmtId="0" fontId="63" fillId="0" borderId="24" xfId="0" applyFont="1" applyBorder="1" applyNumberFormat="1">
      <alignment horizontal="left" vertical="center" wrapText="1" indent="1"/>
    </xf>
    <xf numFmtId="0" fontId="63" fillId="0" borderId="36" xfId="0" applyFont="1" applyBorder="1" applyNumberFormat="1">
      <alignment horizontal="left" vertical="center" wrapText="1" indent="1"/>
    </xf>
    <xf numFmtId="0" fontId="63" fillId="0" borderId="22" xfId="0" applyFont="1" applyBorder="1" applyNumberFormat="1">
      <alignment horizontal="left" vertical="center" wrapText="1" indent="1"/>
    </xf>
    <xf numFmtId="0" fontId="57" fillId="0" borderId="0" xfId="0" applyFont="1" applyNumberFormat="1">
      <alignment vertical="center"/>
    </xf>
    <xf numFmtId="0" fontId="19" fillId="0" borderId="0" xfId="0" applyFont="1" applyNumberFormat="1">
      <alignment vertical="center"/>
    </xf>
    <xf numFmtId="0" fontId="42" fillId="0" borderId="0" xfId="0" applyFont="1" applyNumberFormat="1">
      <alignment vertical="center"/>
    </xf>
    <xf numFmtId="0" fontId="30" fillId="0" borderId="0" xfId="0" applyFont="1" applyNumberFormat="1">
      <alignment vertical="center"/>
    </xf>
    <xf numFmtId="0" fontId="0"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0" xfId="0" applyFont="1" applyNumberFormat="1">
      <alignment vertical="center"/>
    </xf>
    <xf numFmtId="0" fontId="37" fillId="0" borderId="0" xfId="0" applyFont="1" applyNumberFormat="1">
      <alignment vertical="center"/>
    </xf>
    <xf numFmtId="49" fontId="37" fillId="34" borderId="0" xfId="0" applyFont="1" applyFill="1" applyNumberFormat="1">
      <alignment horizontal="center" vertical="center" wrapText="1"/>
    </xf>
    <xf numFmtId="49" fontId="37" fillId="34" borderId="27" xfId="0" applyFont="1" applyFill="1" applyBorder="1" applyNumberFormat="1">
      <alignment horizontal="center" vertical="center" wrapText="1"/>
    </xf>
    <xf numFmtId="0" fontId="25" fillId="0" borderId="0" xfId="0" applyFont="1" applyNumberFormat="1">
      <alignment horizontal="center" vertical="center" wrapText="1"/>
    </xf>
    <xf numFmtId="0" fontId="37" fillId="0" borderId="12" xfId="0" applyFont="1" applyBorder="1" applyNumberFormat="1">
      <alignment horizontal="center" vertical="center"/>
    </xf>
    <xf numFmtId="0" fontId="19" fillId="0" borderId="12" xfId="0" applyFont="1" applyBorder="1" applyNumberFormat="1">
      <alignment horizontal="center" vertical="center" wrapText="1"/>
    </xf>
    <xf numFmtId="0" fontId="0" fillId="0" borderId="12" xfId="0" applyFont="1" applyBorder="1" applyNumberFormat="1">
      <alignment horizontal="center" vertical="center"/>
    </xf>
    <xf numFmtId="49" fontId="19" fillId="0" borderId="12" xfId="0" applyFont="1" applyBorder="1" applyNumberFormat="1">
      <alignment horizontal="center" vertical="center" wrapText="1"/>
    </xf>
    <xf numFmtId="49" fontId="19"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19" fillId="0" borderId="12" xfId="0" applyFont="1" applyBorder="1" applyNumberFormat="1">
      <alignment horizontal="center" vertical="center" wrapText="1"/>
    </xf>
    <xf numFmtId="49" fontId="19"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19" fillId="0" borderId="12" xfId="0" applyFont="1" applyBorder="1" applyNumberFormat="1">
      <alignment horizontal="left" vertical="top" wrapText="1"/>
    </xf>
    <xf numFmtId="0" fontId="19" fillId="39"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19" fillId="0" borderId="19" xfId="0" applyFont="1" applyBorder="1" applyNumberFormat="1">
      <alignment horizontal="left" vertical="center" wrapText="1"/>
    </xf>
    <xf numFmtId="49" fontId="19"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19"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19" fillId="0" borderId="20" xfId="0" applyFont="1" applyBorder="1" applyNumberFormat="1">
      <alignment horizontal="left" vertical="center" wrapText="1"/>
    </xf>
    <xf numFmtId="0" fontId="19" fillId="0" borderId="0" xfId="0" applyFont="1" applyNumberFormat="1">
      <alignment horizontal="left" vertical="center" indent="1"/>
    </xf>
    <xf numFmtId="0" fontId="0" fillId="0" borderId="0" xfId="0" applyFont="1" applyNumberFormat="1">
      <alignment vertical="center"/>
    </xf>
    <xf numFmtId="0" fontId="19" fillId="39"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19" fillId="0" borderId="0" xfId="0" applyFont="1" applyNumberFormat="1">
      <alignment horizontal="left" vertical="center" wrapText="1"/>
    </xf>
    <xf numFmtId="49" fontId="19"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29" fillId="0" borderId="0" xfId="0" applyFont="1" applyNumberFormat="1">
      <alignment horizontal="left" vertical="center"/>
    </xf>
    <xf numFmtId="0" fontId="29" fillId="0" borderId="24"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19" fillId="0" borderId="0" xfId="0" applyFont="1" applyNumberFormat="1">
      <alignment horizontal="center"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19" fillId="39" borderId="23" xfId="0" applyFont="1" applyFill="1" applyBorder="1" applyNumberFormat="1">
      <alignment horizontal="center" vertical="top" wrapText="1"/>
    </xf>
    <xf numFmtId="0" fontId="29" fillId="0" borderId="30" xfId="0" applyFont="1" applyBorder="1" applyNumberFormat="1">
      <alignment horizontal="left" vertical="center"/>
    </xf>
    <xf numFmtId="0" fontId="29" fillId="0" borderId="27" xfId="0" applyFont="1" applyBorder="1" applyNumberFormat="1">
      <alignment horizontal="left" vertical="center"/>
    </xf>
    <xf numFmtId="0" fontId="0" fillId="0" borderId="27" xfId="0" applyFont="1" applyBorder="1" applyNumberFormat="1">
      <alignment vertical="center"/>
    </xf>
    <xf numFmtId="0" fontId="29" fillId="0" borderId="29" xfId="0" applyFont="1" applyBorder="1" applyNumberFormat="1">
      <alignment horizontal="left" vertical="center"/>
    </xf>
    <xf numFmtId="0" fontId="0" fillId="0" borderId="0" xfId="0" applyFont="1" applyNumberFormat="1">
      <alignment vertical="center"/>
    </xf>
    <xf numFmtId="49" fontId="19" fillId="0" borderId="0" xfId="0" applyFont="1" applyNumberFormat="1">
      <alignment horizontal="left" vertical="center" indent="1"/>
    </xf>
    <xf numFmtId="0" fontId="19" fillId="39" borderId="12" xfId="0" applyFont="1" applyFill="1" applyBorder="1" applyNumberFormat="1">
      <alignment horizontal="left" vertical="top" wrapText="1"/>
    </xf>
    <xf numFmtId="0" fontId="0" fillId="0" borderId="12" xfId="0" applyFont="1" applyBorder="1" applyNumberFormat="1">
      <alignment horizontal="center" vertical="center"/>
    </xf>
    <xf numFmtId="49" fontId="19" fillId="35" borderId="12" xfId="0" applyFont="1" applyFill="1" applyBorder="1" applyNumberFormat="1">
      <alignment horizontal="left" vertical="center" wrapText="1"/>
      <protection locked="0"/>
    </xf>
    <xf numFmtId="49" fontId="19" fillId="39" borderId="17" xfId="0" applyFont="1" applyFill="1" applyBorder="1" applyNumberFormat="1">
      <alignment horizontal="center" vertical="center" wrapText="1"/>
    </xf>
    <xf numFmtId="49" fontId="19" fillId="0" borderId="12" xfId="0" applyFont="1" applyBorder="1" applyNumberFormat="1">
      <alignment horizontal="center" vertical="center" wrapText="1"/>
    </xf>
    <xf numFmtId="0" fontId="0" fillId="39" borderId="12" xfId="0" applyFont="1" applyFill="1" applyBorder="1" applyNumberFormat="1">
      <alignment horizontal="left" vertical="center" wrapText="1"/>
      <protection locked="0"/>
    </xf>
    <xf numFmtId="49" fontId="0" fillId="34" borderId="12" xfId="0" applyFont="1" applyFill="1" applyBorder="1" applyNumberFormat="1">
      <alignment horizontal="left" vertical="center" wrapText="1"/>
    </xf>
    <xf numFmtId="49" fontId="19" fillId="39" borderId="12" xfId="0" applyFont="1" applyFill="1" applyBorder="1" applyNumberFormat="1">
      <alignment horizontal="center" vertical="center" wrapText="1"/>
    </xf>
    <xf numFmtId="49" fontId="0" fillId="38" borderId="12" xfId="0" applyFont="1" applyFill="1" applyBorder="1" applyNumberFormat="1">
      <alignment horizontal="left" vertical="center" wrapText="1"/>
      <protection locked="0"/>
    </xf>
    <xf numFmtId="49" fontId="0" fillId="0" borderId="0" xfId="0" applyFont="1" applyNumberFormat="1">
      <alignment vertical="center"/>
    </xf>
    <xf numFmtId="0" fontId="0" fillId="0" borderId="0" xfId="0" applyFont="1" applyNumberFormat="1">
      <alignment vertical="center"/>
    </xf>
    <xf numFmtId="0" fontId="25"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19" fillId="39" borderId="36" xfId="0" applyFont="1" applyFill="1" applyBorder="1" applyNumberFormat="1">
      <alignment horizontal="center" vertical="top" wrapText="1"/>
    </xf>
    <xf numFmtId="49" fontId="0" fillId="39" borderId="36" xfId="0" applyFont="1" applyFill="1" applyBorder="1" applyNumberFormat="1">
      <alignment horizontal="left" vertical="top"/>
    </xf>
    <xf numFmtId="0" fontId="29" fillId="0" borderId="36" xfId="0" applyFont="1" applyBorder="1" applyNumberFormat="1">
      <alignment horizontal="left" vertical="center"/>
    </xf>
    <xf numFmtId="0" fontId="29" fillId="35" borderId="36" xfId="0" applyFont="1" applyFill="1" applyBorder="1" applyNumberFormat="1">
      <alignment horizontal="left" vertical="center"/>
      <protection locked="0"/>
    </xf>
    <xf numFmtId="0" fontId="29" fillId="38" borderId="36" xfId="0" applyFont="1" applyFill="1" applyBorder="1" applyNumberFormat="1">
      <alignment horizontal="left" vertical="center"/>
      <protection locked="0"/>
    </xf>
    <xf numFmtId="49" fontId="19" fillId="0" borderId="12" xfId="0" applyFont="1" applyBorder="1" applyNumberFormat="1">
      <alignment horizontal="center" vertical="center" wrapText="1"/>
    </xf>
    <xf numFmtId="49" fontId="0" fillId="38" borderId="12" xfId="0" applyFont="1" applyFill="1" applyBorder="1" applyNumberFormat="1">
      <alignment horizontal="left" vertical="center" wrapText="1"/>
      <protection locked="0"/>
    </xf>
    <xf numFmtId="49" fontId="19" fillId="35" borderId="12" xfId="0" applyFont="1" applyFill="1" applyBorder="1" applyNumberFormat="1">
      <alignment horizontal="left" vertical="center" wrapText="1"/>
      <protection locked="0"/>
    </xf>
    <xf numFmtId="0" fontId="19" fillId="0" borderId="0" xfId="0" applyFont="1" applyNumberFormat="1">
      <alignment horizontal="left" vertical="center" indent="1"/>
    </xf>
    <xf numFmtId="0" fontId="0" fillId="0" borderId="0" xfId="0" applyFont="1" applyNumberFormat="1">
      <alignment horizontal="left" vertical="center" indent="1"/>
    </xf>
    <xf numFmtId="49" fontId="19" fillId="39" borderId="36" xfId="0" applyFont="1" applyFill="1" applyBorder="1" applyNumberFormat="1">
      <alignment horizontal="center" vertical="center" wrapText="1"/>
    </xf>
    <xf numFmtId="0" fontId="29" fillId="36" borderId="14"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3" xfId="0" applyFont="1" applyFill="1" applyBorder="1" applyNumberFormat="1">
      <alignment horizontal="left" vertical="center"/>
    </xf>
    <xf numFmtId="49" fontId="0" fillId="39" borderId="12" xfId="0" applyFont="1" applyFill="1" applyBorder="1" applyNumberFormat="1">
      <alignment horizontal="left" vertical="top"/>
    </xf>
    <xf numFmtId="49" fontId="0" fillId="0" borderId="12" xfId="0" applyFont="1" applyBorder="1" applyNumberFormat="1">
      <alignment vertical="top"/>
    </xf>
    <xf numFmtId="49" fontId="0" fillId="35" borderId="12" xfId="0" applyFont="1" applyFill="1" applyBorder="1" applyNumberFormat="1">
      <alignment horizontal="left" vertical="top"/>
      <protection locked="0"/>
    </xf>
    <xf numFmtId="49" fontId="0" fillId="39" borderId="12" xfId="0" applyFont="1" applyFill="1" applyBorder="1" applyNumberFormat="1">
      <alignment horizontal="left" vertical="center" wrapText="1"/>
      <protection locked="0"/>
    </xf>
    <xf numFmtId="49" fontId="19" fillId="39" borderId="23" xfId="0" applyFont="1" applyFill="1" applyBorder="1" applyNumberFormat="1">
      <alignment horizontal="center" vertical="center" wrapText="1"/>
    </xf>
    <xf numFmtId="0" fontId="29" fillId="36" borderId="14"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29" fillId="36" borderId="13" xfId="0" applyFont="1" applyFill="1" applyBorder="1" applyNumberFormat="1">
      <alignment horizontal="left" vertical="center"/>
    </xf>
    <xf numFmtId="49" fontId="0" fillId="35" borderId="36" xfId="0" applyFont="1" applyFill="1" applyBorder="1" applyNumberFormat="1">
      <alignment horizontal="left" vertical="top"/>
      <protection locked="0"/>
    </xf>
    <xf numFmtId="49" fontId="19" fillId="39" borderId="0" xfId="0" applyFont="1" applyFill="1" applyNumberFormat="1">
      <alignment horizontal="center" vertical="center" wrapText="1"/>
    </xf>
    <xf numFmtId="0" fontId="0" fillId="39" borderId="12" xfId="0" applyFont="1" applyFill="1" applyBorder="1" applyNumberFormat="1">
      <alignment horizontal="left" vertical="center" wrapText="1"/>
      <protection locked="0"/>
    </xf>
    <xf numFmtId="49" fontId="19" fillId="39" borderId="17" xfId="0" applyFont="1" applyFill="1" applyBorder="1" applyNumberFormat="1">
      <alignment horizontal="center" vertical="center" wrapText="1"/>
    </xf>
    <xf numFmtId="49" fontId="0" fillId="34" borderId="12" xfId="0" applyFont="1" applyFill="1" applyBorder="1" applyNumberFormat="1">
      <alignment horizontal="left" vertical="center" wrapText="1"/>
    </xf>
    <xf numFmtId="49" fontId="0" fillId="34" borderId="12" xfId="0" applyFont="1" applyFill="1" applyBorder="1" applyNumberFormat="1">
      <alignment horizontal="left" vertical="center" wrapText="1"/>
    </xf>
    <xf numFmtId="0" fontId="0" fillId="0" borderId="0" xfId="0" applyFont="1" applyNumberFormat="1">
      <alignment vertical="center"/>
    </xf>
    <xf numFmtId="49" fontId="19" fillId="39" borderId="36" xfId="0" applyFont="1" applyFill="1" applyBorder="1" applyNumberFormat="1">
      <alignment horizontal="center" vertical="center" wrapText="1"/>
    </xf>
    <xf numFmtId="0" fontId="29" fillId="36" borderId="14"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3" xfId="0" applyFont="1" applyFill="1" applyBorder="1" applyNumberFormat="1">
      <alignment horizontal="left" vertical="center"/>
    </xf>
    <xf numFmtId="49" fontId="0" fillId="0" borderId="12" xfId="0" applyFont="1" applyBorder="1" applyNumberFormat="1">
      <alignment vertical="top"/>
    </xf>
    <xf numFmtId="49" fontId="0" fillId="39" borderId="12" xfId="0" applyFont="1" applyFill="1" applyBorder="1" applyNumberFormat="1">
      <alignment horizontal="left" vertical="center" wrapText="1"/>
      <protection locked="0"/>
    </xf>
    <xf numFmtId="0" fontId="0" fillId="36" borderId="15" xfId="0" applyFont="1" applyFill="1" applyBorder="1" applyNumberFormat="1">
      <alignment vertical="center"/>
    </xf>
    <xf numFmtId="0" fontId="29" fillId="36" borderId="14"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29" fillId="36" borderId="13" xfId="0" applyFont="1" applyFill="1" applyBorder="1" applyNumberFormat="1">
      <alignment horizontal="left" vertical="center"/>
    </xf>
    <xf numFmtId="0" fontId="0" fillId="0" borderId="12" xfId="0" applyFont="1" applyBorder="1" applyNumberFormat="1">
      <alignment horizontal="center" vertical="center"/>
    </xf>
    <xf numFmtId="49" fontId="19" fillId="35" borderId="12" xfId="0" applyFont="1" applyFill="1" applyBorder="1" applyNumberFormat="1">
      <alignment horizontal="left" vertical="center" wrapText="1"/>
      <protection locked="0"/>
    </xf>
    <xf numFmtId="49" fontId="0" fillId="35" borderId="12" xfId="0" applyFont="1" applyFill="1" applyBorder="1" applyNumberFormat="1">
      <alignment horizontal="left" vertical="top"/>
      <protection locked="0"/>
    </xf>
    <xf numFmtId="0" fontId="29" fillId="36" borderId="14"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29" fillId="36" borderId="13" xfId="0" applyFont="1" applyFill="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0" fontId="0" fillId="0" borderId="17" xfId="0" applyFont="1" applyBorder="1" applyNumberFormat="1">
      <alignment horizontal="center" vertical="top"/>
    </xf>
    <xf numFmtId="0" fontId="19" fillId="0" borderId="17" xfId="0" applyFont="1" applyBorder="1" applyNumberFormat="1">
      <alignment horizontal="left" vertical="top" wrapText="1"/>
    </xf>
    <xf numFmtId="0" fontId="0" fillId="0" borderId="36" xfId="0" applyFont="1" applyBorder="1" applyNumberFormat="1">
      <alignment horizontal="center" vertical="top"/>
    </xf>
    <xf numFmtId="0" fontId="19" fillId="0" borderId="36" xfId="0" applyFont="1" applyBorder="1" applyNumberFormat="1">
      <alignment horizontal="left" vertical="top" wrapText="1"/>
    </xf>
    <xf numFmtId="0" fontId="0" fillId="0" borderId="23" xfId="0" applyFont="1" applyBorder="1" applyNumberFormat="1">
      <alignment horizontal="center" vertical="top"/>
    </xf>
    <xf numFmtId="0" fontId="19" fillId="0" borderId="23" xfId="0" applyFont="1" applyBorder="1" applyNumberFormat="1">
      <alignment horizontal="left" vertical="top" wrapText="1"/>
    </xf>
    <xf numFmtId="49" fontId="19"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19" fillId="0" borderId="0" xfId="0" applyFont="1" applyNumberFormat="1">
      <alignment horizontal="center" vertical="center" wrapText="1"/>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19"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19" fillId="0" borderId="0" xfId="0" applyFont="1" applyNumberFormat="1">
      <alignment horizontal="center" vertical="center" wrapText="1"/>
    </xf>
    <xf numFmtId="0" fontId="0" fillId="0" borderId="0" xfId="0" applyFont="1" applyNumberFormat="1">
      <alignment vertical="center"/>
    </xf>
    <xf numFmtId="0" fontId="37"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49" fontId="37" fillId="0" borderId="0" xfId="0" applyFont="1" applyNumberFormat="1">
      <alignment horizontal="center" vertical="center"/>
    </xf>
    <xf numFmtId="49" fontId="36" fillId="0" borderId="0" xfId="0" applyFont="1" applyNumberFormat="1">
      <alignment horizontal="center" vertical="center"/>
    </xf>
    <xf numFmtId="49" fontId="57" fillId="0" borderId="0" xfId="0" applyFont="1" applyNumberFormat="1">
      <alignment vertical="top"/>
    </xf>
    <xf numFmtId="49" fontId="0" fillId="0" borderId="0" xfId="0" applyFont="1" applyNumberFormat="1">
      <alignment vertical="top"/>
    </xf>
    <xf numFmtId="49" fontId="20" fillId="0" borderId="0" xfId="0" applyFont="1" applyNumberFormat="1">
      <alignment vertical="top"/>
    </xf>
    <xf numFmtId="0" fontId="20" fillId="0" borderId="0" xfId="0" applyFont="1" applyNumberFormat="1">
      <alignment vertical="center" wrapText="1"/>
    </xf>
    <xf numFmtId="0" fontId="19" fillId="0" borderId="0" xfId="0" applyFont="1" applyNumberFormat="1">
      <alignment vertical="center" wrapText="1"/>
    </xf>
    <xf numFmtId="0" fontId="25" fillId="0" borderId="0" xfId="0" applyFont="1" applyNumberFormat="1">
      <alignment horizontal="center" vertical="center" wrapText="1"/>
    </xf>
    <xf numFmtId="0" fontId="19" fillId="0" borderId="19" xfId="0" applyFont="1" applyBorder="1" applyNumberFormat="1">
      <alignment horizontal="left" vertical="center" wrapText="1" indent="1"/>
    </xf>
    <xf numFmtId="0" fontId="35" fillId="0" borderId="0" xfId="0" applyFont="1" applyNumberFormat="1">
      <alignment horizontal="left" vertical="center" wrapText="1" indent="1"/>
    </xf>
    <xf numFmtId="0" fontId="31" fillId="0" borderId="0" xfId="0" applyFont="1" applyNumberFormat="1">
      <alignment vertical="center"/>
    </xf>
    <xf numFmtId="0" fontId="103" fillId="0" borderId="0" xfId="0" applyFont="1" applyNumberFormat="1">
      <alignment vertical="center" wrapText="1"/>
    </xf>
    <xf numFmtId="0" fontId="104" fillId="0" borderId="0" xfId="0" applyFont="1" applyNumberFormat="1">
      <alignment vertical="center" wrapText="1"/>
    </xf>
    <xf numFmtId="0" fontId="31" fillId="0" borderId="0" xfId="0" applyFont="1" applyNumberFormat="1">
      <alignment vertical="center" wrapText="1"/>
    </xf>
    <xf numFmtId="0" fontId="20" fillId="0" borderId="0" xfId="0" applyFont="1" applyNumberFormat="1">
      <alignment vertical="center" wrapText="1"/>
    </xf>
    <xf numFmtId="0" fontId="19" fillId="0" borderId="0" xfId="0" applyFont="1" applyNumberFormat="1">
      <alignment vertical="center" wrapText="1"/>
    </xf>
    <xf numFmtId="0" fontId="19" fillId="0" borderId="27" xfId="0" applyFont="1" applyBorder="1" applyNumberFormat="1">
      <alignment horizontal="left" vertical="center" wrapText="1" indent="1"/>
    </xf>
    <xf numFmtId="0" fontId="19" fillId="0" borderId="37" xfId="0" applyFont="1" applyBorder="1" applyNumberFormat="1">
      <alignment horizontal="center" vertical="center" wrapText="1"/>
    </xf>
    <xf numFmtId="0" fontId="19" fillId="0" borderId="20" xfId="0" applyFont="1" applyBorder="1" applyNumberFormat="1">
      <alignment horizontal="center" vertical="center" wrapText="1"/>
    </xf>
    <xf numFmtId="0" fontId="19" fillId="0" borderId="36"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37" xfId="0" applyFont="1" applyBorder="1" applyNumberFormat="1">
      <alignment horizontal="center" vertical="center" wrapText="1"/>
    </xf>
    <xf numFmtId="0" fontId="19" fillId="0" borderId="15"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22" xfId="0" applyFont="1" applyBorder="1" applyNumberFormat="1">
      <alignment horizontal="center" vertical="center" wrapText="1"/>
    </xf>
    <xf numFmtId="0" fontId="19" fillId="0" borderId="24" xfId="0" applyFont="1" applyBorder="1" applyNumberFormat="1">
      <alignment horizontal="center" vertical="center" wrapText="1"/>
    </xf>
    <xf numFmtId="0" fontId="19" fillId="0" borderId="22" xfId="0" applyFont="1" applyBorder="1" applyNumberFormat="1">
      <alignment horizontal="center" vertical="center" wrapText="1"/>
    </xf>
    <xf numFmtId="0" fontId="19" fillId="0" borderId="36" xfId="0" applyFont="1" applyBorder="1" applyNumberFormat="1">
      <alignment horizontal="center" vertical="center" wrapText="1"/>
    </xf>
    <xf numFmtId="0" fontId="19" fillId="0" borderId="30" xfId="0" applyFont="1" applyBorder="1" applyNumberFormat="1">
      <alignment horizontal="center" vertical="center" wrapText="1"/>
    </xf>
    <xf numFmtId="0" fontId="19" fillId="0" borderId="29"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37" xfId="0" applyFont="1" applyBorder="1" applyNumberFormat="1">
      <alignment horizontal="center" vertical="center" wrapText="1"/>
    </xf>
    <xf numFmtId="49" fontId="19" fillId="0" borderId="0" xfId="0" applyFont="1" applyNumberFormat="1">
      <alignment vertical="top"/>
    </xf>
    <xf numFmtId="49" fontId="19" fillId="0" borderId="12" xfId="0" applyFont="1" applyBorder="1" applyNumberFormat="1">
      <alignment horizontal="center" vertical="center"/>
    </xf>
    <xf numFmtId="0" fontId="19" fillId="0" borderId="12" xfId="0" applyFont="1" applyBorder="1" applyNumberFormat="1">
      <alignment horizontal="left" vertical="center" wrapText="1"/>
    </xf>
    <xf numFmtId="49" fontId="19" fillId="0" borderId="37" xfId="0" applyFont="1" applyBorder="1" applyNumberFormat="1">
      <alignment vertical="center" wrapText="1"/>
    </xf>
    <xf numFmtId="0" fontId="19" fillId="0" borderId="19" xfId="0" applyFont="1" applyBorder="1" applyNumberFormat="1">
      <alignment horizontal="center" vertical="center"/>
    </xf>
    <xf numFmtId="49" fontId="19" fillId="0" borderId="19" xfId="0" applyFont="1" applyBorder="1" applyNumberFormat="1">
      <alignment horizontal="left" vertical="center" wrapText="1"/>
    </xf>
    <xf numFmtId="49" fontId="19" fillId="0" borderId="19" xfId="0" applyFont="1" applyBorder="1" applyNumberFormat="1">
      <alignment vertical="center" wrapText="1"/>
    </xf>
    <xf numFmtId="49" fontId="19" fillId="0" borderId="19" xfId="0" applyFont="1" applyBorder="1" applyNumberFormat="1">
      <alignment horizontal="left" vertical="center" wrapText="1"/>
    </xf>
    <xf numFmtId="49" fontId="25" fillId="0" borderId="19" xfId="0" applyFont="1" applyBorder="1" applyNumberFormat="1">
      <alignment vertical="center" wrapText="1"/>
    </xf>
    <xf numFmtId="49" fontId="19" fillId="0" borderId="19" xfId="0" applyFont="1" applyBorder="1" applyNumberFormat="1">
      <alignment horizontal="center" vertical="center" wrapText="1"/>
    </xf>
    <xf numFmtId="0" fontId="19" fillId="0" borderId="19" xfId="0" applyFont="1" applyBorder="1" applyNumberFormat="1">
      <alignment horizontal="left" vertical="center" wrapText="1"/>
    </xf>
    <xf numFmtId="49" fontId="19" fillId="0" borderId="19" xfId="0" applyFont="1" applyBorder="1" applyNumberFormat="1">
      <alignment horizontal="center" vertical="center" wrapText="1"/>
    </xf>
    <xf numFmtId="49" fontId="19" fillId="0" borderId="19" xfId="0" applyFont="1" applyBorder="1" applyNumberFormat="1">
      <alignment vertical="center" wrapText="1"/>
    </xf>
    <xf numFmtId="49" fontId="19" fillId="0" borderId="22" xfId="0" applyFont="1" applyBorder="1" applyNumberFormat="1">
      <alignment vertical="center" wrapText="1"/>
    </xf>
    <xf numFmtId="0" fontId="19" fillId="0" borderId="0" xfId="0" applyFont="1" applyNumberFormat="1">
      <alignment horizontal="center" vertical="center"/>
    </xf>
    <xf numFmtId="0" fontId="19" fillId="0" borderId="0" xfId="0" applyFont="1" applyNumberFormat="1">
      <alignment horizontal="left" vertical="center" wrapText="1"/>
    </xf>
    <xf numFmtId="49" fontId="19" fillId="0" borderId="0" xfId="0" applyFont="1" applyNumberFormat="1">
      <alignment vertical="center" wrapText="1"/>
    </xf>
    <xf numFmtId="49" fontId="19" fillId="0" borderId="0" xfId="0" applyFont="1" applyNumberFormat="1">
      <alignment horizontal="left" vertical="center" wrapText="1"/>
    </xf>
    <xf numFmtId="49" fontId="25" fillId="0" borderId="0" xfId="0" applyFont="1" applyNumberFormat="1">
      <alignment vertical="center" wrapText="1"/>
    </xf>
    <xf numFmtId="49" fontId="19" fillId="0" borderId="0" xfId="0" applyFont="1" applyNumberFormat="1">
      <alignment horizontal="center" vertical="center" wrapText="1"/>
    </xf>
    <xf numFmtId="0" fontId="19" fillId="0" borderId="0" xfId="0" applyFont="1" applyNumberFormat="1">
      <alignment horizontal="left" vertical="center" wrapText="1"/>
    </xf>
    <xf numFmtId="0" fontId="29" fillId="0" borderId="0" xfId="0" applyFont="1" applyNumberFormat="1">
      <alignment horizontal="left" vertical="center"/>
    </xf>
    <xf numFmtId="0" fontId="29" fillId="0" borderId="0" xfId="0" applyFont="1" applyNumberFormat="1">
      <alignment horizontal="left" vertical="center"/>
    </xf>
    <xf numFmtId="0" fontId="29" fillId="0" borderId="24" xfId="0" applyFont="1" applyBorder="1" applyNumberFormat="1">
      <alignment horizontal="left" vertical="center"/>
    </xf>
    <xf numFmtId="49" fontId="19" fillId="0" borderId="0" xfId="0" applyFont="1" applyNumberFormat="1">
      <alignment horizontal="center" vertical="center" wrapText="1"/>
    </xf>
    <xf numFmtId="49" fontId="25" fillId="0" borderId="0" xfId="0" applyFont="1" applyNumberFormat="1">
      <alignment horizontal="center" vertical="center" wrapText="1"/>
    </xf>
    <xf numFmtId="0" fontId="29" fillId="0" borderId="0" xfId="0" applyFont="1" applyNumberFormat="1">
      <alignment vertical="center"/>
    </xf>
    <xf numFmtId="0" fontId="29" fillId="0" borderId="22" xfId="0" applyFont="1" applyBorder="1" applyNumberFormat="1">
      <alignment horizontal="left" vertical="center"/>
    </xf>
    <xf numFmtId="49" fontId="19" fillId="0" borderId="17" xfId="0" applyFont="1" applyBorder="1" applyNumberFormat="1">
      <alignment horizontal="center" vertical="center"/>
    </xf>
    <xf numFmtId="0" fontId="19" fillId="0" borderId="17" xfId="0" applyFont="1" applyBorder="1" applyNumberFormat="1">
      <alignment horizontal="left" vertical="center" wrapText="1"/>
    </xf>
    <xf numFmtId="0" fontId="19" fillId="0" borderId="37" xfId="0" applyFont="1" applyBorder="1" applyNumberFormat="1">
      <alignment horizontal="left" vertical="center" wrapText="1"/>
    </xf>
    <xf numFmtId="49" fontId="57" fillId="0" borderId="30" xfId="0" applyFont="1" applyBorder="1" applyNumberFormat="1">
      <alignment vertical="top"/>
    </xf>
    <xf numFmtId="49" fontId="57" fillId="0" borderId="27" xfId="0" applyFont="1" applyBorder="1" applyNumberFormat="1">
      <alignment vertical="top"/>
    </xf>
    <xf numFmtId="0" fontId="29" fillId="0" borderId="27" xfId="0" applyFont="1" applyBorder="1" applyNumberFormat="1">
      <alignment horizontal="left" vertical="center"/>
    </xf>
    <xf numFmtId="0" fontId="29" fillId="0" borderId="29" xfId="0" applyFont="1" applyBorder="1" applyNumberFormat="1">
      <alignment horizontal="left" vertical="center"/>
    </xf>
    <xf numFmtId="0" fontId="19" fillId="0" borderId="0" xfId="0" applyFont="1" applyNumberFormat="1">
      <alignment horizontal="left" vertical="center" wrapText="1"/>
    </xf>
    <xf numFmtId="0" fontId="19" fillId="0" borderId="14" xfId="0" applyFont="1" applyBorder="1" applyNumberFormat="1">
      <alignment horizontal="left" vertical="center" wrapText="1"/>
    </xf>
    <xf numFmtId="0" fontId="19" fillId="34" borderId="0" xfId="0" applyFont="1" applyFill="1" applyNumberFormat="1"/>
    <xf numFmtId="0" fontId="51" fillId="34" borderId="0" xfId="0" applyFont="1" applyFill="1" applyNumberFormat="1"/>
    <xf numFmtId="0" fontId="37" fillId="34" borderId="0" xfId="0" applyFont="1" applyFill="1" applyNumberFormat="1"/>
    <xf numFmtId="0" fontId="51" fillId="34" borderId="0" xfId="0" applyFont="1" applyFill="1" applyNumberFormat="1">
      <alignment horizontal="center"/>
    </xf>
    <xf numFmtId="0" fontId="80" fillId="0" borderId="0" xfId="0" applyFont="1" applyNumberFormat="1">
      <alignment vertical="center"/>
    </xf>
    <xf numFmtId="0" fontId="79" fillId="0" borderId="0" xfId="0" applyFont="1" applyNumberFormat="1">
      <alignment vertical="center"/>
    </xf>
    <xf numFmtId="0" fontId="60" fillId="34" borderId="0" xfId="0" applyFont="1" applyFill="1" applyNumberFormat="1">
      <alignment horizontal="right" vertical="center"/>
    </xf>
    <xf numFmtId="0" fontId="19" fillId="34" borderId="0" xfId="0" applyFont="1" applyFill="1" applyNumberFormat="1">
      <alignment vertical="center" wrapText="1"/>
    </xf>
    <xf numFmtId="0" fontId="37" fillId="34" borderId="0" xfId="0" applyFont="1" applyFill="1" applyNumberFormat="1">
      <alignment vertical="center" wrapText="1"/>
    </xf>
    <xf numFmtId="0" fontId="19" fillId="34" borderId="0" xfId="0" applyFont="1" applyFill="1" applyNumberFormat="1">
      <alignment horizontal="center" vertical="center" wrapText="1"/>
    </xf>
    <xf numFmtId="0" fontId="83" fillId="34" borderId="0" xfId="0" applyFont="1" applyFill="1" applyNumberFormat="1">
      <alignment horizontal="left" vertical="center" wrapText="1"/>
    </xf>
    <xf numFmtId="49" fontId="0" fillId="34" borderId="12" xfId="0" applyFont="1" applyFill="1" applyBorder="1" applyNumberFormat="1">
      <alignment horizontal="center" vertical="center" wrapText="1"/>
    </xf>
    <xf numFmtId="49" fontId="19"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19"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0" fontId="19" fillId="34" borderId="12" xfId="0" applyFont="1" applyFill="1" applyBorder="1" applyNumberFormat="1">
      <alignment horizontal="center" vertical="center" wrapText="1"/>
    </xf>
    <xf numFmtId="0" fontId="24" fillId="34" borderId="0" xfId="0" applyFont="1" applyFill="1" applyNumberFormat="1">
      <alignment horizontal="center" vertical="center"/>
    </xf>
    <xf numFmtId="49" fontId="37" fillId="0" borderId="12" xfId="0" applyFont="1" applyBorder="1" applyNumberFormat="1">
      <alignment horizontal="center" vertical="center"/>
    </xf>
    <xf numFmtId="0" fontId="37" fillId="0" borderId="12" xfId="0" applyFont="1" applyBorder="1" applyNumberFormat="1">
      <alignment vertical="center" wrapText="1"/>
    </xf>
    <xf numFmtId="0" fontId="37" fillId="0" borderId="12" xfId="0" applyFont="1" applyBorder="1" applyNumberFormat="1">
      <alignment horizontal="left" vertical="center" wrapText="1"/>
    </xf>
    <xf numFmtId="0" fontId="55" fillId="34" borderId="0" xfId="0" applyFont="1" applyFill="1" applyNumberFormat="1"/>
    <xf numFmtId="49" fontId="0" fillId="34" borderId="12" xfId="0" applyFont="1" applyFill="1" applyBorder="1" applyNumberFormat="1">
      <alignment horizontal="center" vertical="center"/>
    </xf>
    <xf numFmtId="0" fontId="0" fillId="34" borderId="12" xfId="0" applyFont="1" applyFill="1" applyBorder="1" applyNumberFormat="1">
      <alignment vertical="center" wrapText="1"/>
    </xf>
    <xf numFmtId="0" fontId="0" fillId="0" borderId="12" xfId="0" applyFont="1" applyBorder="1" applyNumberFormat="1">
      <alignment horizontal="center" vertical="center" wrapText="1"/>
    </xf>
    <xf numFmtId="0" fontId="19" fillId="34" borderId="12" xfId="0" applyFont="1" applyFill="1" applyBorder="1" applyNumberFormat="1">
      <alignment vertical="center" wrapText="1"/>
    </xf>
    <xf numFmtId="0" fontId="0" fillId="34" borderId="12" xfId="0" applyFont="1" applyFill="1" applyBorder="1" applyNumberFormat="1">
      <alignment horizontal="left" vertical="center" wrapText="1" indent="1"/>
    </xf>
    <xf numFmtId="49" fontId="0" fillId="38" borderId="12" xfId="0" applyFont="1" applyFill="1" applyBorder="1" applyNumberFormat="1">
      <alignment horizontal="left" vertical="center" wrapText="1"/>
      <protection locked="0"/>
    </xf>
    <xf numFmtId="0" fontId="37" fillId="0" borderId="12" xfId="0" applyFont="1" applyBorder="1" applyNumberFormat="1">
      <alignment horizontal="left" vertical="center" wrapText="1" indent="1"/>
    </xf>
    <xf numFmtId="0" fontId="19" fillId="34" borderId="0" xfId="0" applyFont="1" applyFill="1" applyNumberFormat="1">
      <alignment horizontal="center" vertical="center" wrapText="1"/>
    </xf>
    <xf numFmtId="0" fontId="19" fillId="34" borderId="24" xfId="0" applyFont="1" applyFill="1" applyBorder="1" applyNumberFormat="1">
      <alignment horizontal="center" vertical="center" wrapText="1"/>
    </xf>
    <xf numFmtId="0" fontId="0" fillId="34" borderId="12" xfId="0" applyFont="1" applyFill="1" applyBorder="1" applyNumberFormat="1">
      <alignment horizontal="center" vertical="center"/>
    </xf>
    <xf numFmtId="0" fontId="80" fillId="0" borderId="0" xfId="0" applyFont="1" applyNumberFormat="1">
      <alignment vertical="center" wrapText="1"/>
    </xf>
    <xf numFmtId="0" fontId="0" fillId="34"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174" fontId="0" fillId="0" borderId="12" xfId="0" applyFont="1" applyBorder="1" applyNumberFormat="1">
      <alignment horizontal="left" vertical="center" wrapText="1" indent="1"/>
    </xf>
    <xf numFmtId="49" fontId="37" fillId="34" borderId="12" xfId="0" applyFont="1" applyFill="1" applyBorder="1" applyNumberFormat="1">
      <alignment horizontal="center" vertical="center"/>
    </xf>
    <xf numFmtId="0" fontId="37" fillId="34" borderId="12" xfId="0" applyFont="1" applyFill="1" applyBorder="1" applyNumberFormat="1">
      <alignment vertical="center" wrapText="1"/>
    </xf>
    <xf numFmtId="0" fontId="37" fillId="0" borderId="12" xfId="0" applyFont="1" applyBorder="1" applyNumberFormat="1">
      <alignment horizontal="center" vertical="center" wrapText="1"/>
    </xf>
    <xf numFmtId="0" fontId="37" fillId="34" borderId="12" xfId="0" applyFont="1" applyFill="1" applyBorder="1" applyNumberFormat="1">
      <alignment horizontal="left" vertical="center" wrapText="1" indent="1"/>
    </xf>
    <xf numFmtId="0" fontId="37" fillId="34" borderId="12" xfId="0" applyFont="1" applyFill="1" applyBorder="1" applyNumberFormat="1">
      <alignment horizontal="left" vertical="center" wrapText="1" indent="2"/>
    </xf>
    <xf numFmtId="49" fontId="37" fillId="0" borderId="12" xfId="0" applyFont="1" applyBorder="1" applyNumberFormat="1">
      <alignment horizontal="left" vertical="center" wrapText="1"/>
    </xf>
    <xf numFmtId="49" fontId="37" fillId="0" borderId="12" xfId="0" applyFont="1" applyBorder="1" applyNumberFormat="1">
      <alignment horizontal="left" vertical="center" wrapText="1"/>
    </xf>
    <xf numFmtId="0" fontId="0" fillId="34" borderId="12" xfId="0" applyFont="1" applyFill="1" applyBorder="1" applyNumberFormat="1">
      <alignment horizontal="left" vertical="center" wrapText="1"/>
    </xf>
    <xf numFmtId="49" fontId="0" fillId="35" borderId="12" xfId="0" applyFont="1" applyFill="1" applyBorder="1" applyNumberFormat="1">
      <alignment horizontal="left" vertical="center" wrapText="1"/>
      <protection locked="0"/>
    </xf>
    <xf numFmtId="0" fontId="0" fillId="34" borderId="17" xfId="0" applyFont="1" applyFill="1" applyBorder="1" applyNumberFormat="1">
      <alignment horizontal="left" vertical="center" wrapText="1"/>
    </xf>
    <xf numFmtId="0" fontId="19" fillId="34"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19" fillId="34" borderId="36" xfId="0" applyFont="1" applyFill="1" applyBorder="1" applyNumberFormat="1">
      <alignment horizontal="left" vertical="top" wrapText="1"/>
    </xf>
    <xf numFmtId="0" fontId="25" fillId="34" borderId="0" xfId="0" applyFont="1" applyFill="1" applyNumberFormat="1">
      <alignment horizontal="center" vertical="center" wrapText="1"/>
    </xf>
    <xf numFmtId="49" fontId="0" fillId="38" borderId="12" xfId="0" applyFont="1" applyFill="1" applyBorder="1" applyNumberFormat="1">
      <alignment horizontal="left" vertical="center" wrapText="1" indent="1"/>
      <protection locked="0"/>
    </xf>
    <xf numFmtId="49" fontId="19" fillId="38" borderId="14" xfId="0" applyFont="1" applyFill="1" applyBorder="1" applyNumberFormat="1">
      <alignment horizontal="left" vertical="center" wrapText="1"/>
      <protection locked="0"/>
    </xf>
    <xf numFmtId="0" fontId="19" fillId="36" borderId="14" xfId="0" applyFont="1" applyFill="1" applyBorder="1" applyNumberFormat="1">
      <alignment horizontal="center"/>
    </xf>
    <xf numFmtId="0" fontId="60" fillId="36" borderId="13" xfId="0" applyFont="1" applyFill="1" applyBorder="1" applyNumberFormat="1">
      <alignment horizontal="left" vertical="center"/>
    </xf>
    <xf numFmtId="0" fontId="19" fillId="34" borderId="23" xfId="0" applyFont="1" applyFill="1" applyBorder="1" applyNumberFormat="1">
      <alignment horizontal="left" vertical="top" wrapText="1"/>
    </xf>
    <xf numFmtId="0" fontId="41" fillId="34" borderId="0" xfId="0" applyFont="1" applyFill="1" applyNumberFormat="1"/>
    <xf numFmtId="49" fontId="19" fillId="38" borderId="12" xfId="0" applyFont="1" applyFill="1" applyBorder="1" applyNumberFormat="1" quotePrefix="1">
      <alignment horizontal="left" vertical="center" wrapText="1"/>
      <protection locked="0"/>
    </xf>
    <xf numFmtId="49" fontId="19" fillId="35" borderId="12" xfId="0" applyFont="1" applyFill="1" applyBorder="1" applyNumberFormat="1">
      <alignment horizontal="left" vertical="center" wrapText="1"/>
      <protection locked="0"/>
    </xf>
    <xf numFmtId="49" fontId="19" fillId="39" borderId="12" xfId="0" applyFont="1" applyFill="1" applyBorder="1" applyNumberFormat="1">
      <alignment horizontal="left" vertical="center" wrapText="1"/>
    </xf>
    <xf numFmtId="49" fontId="19" fillId="34" borderId="0" xfId="0" applyFont="1" applyFill="1" applyNumberFormat="1">
      <alignment horizontal="center" vertical="center" wrapText="1"/>
    </xf>
    <xf numFmtId="0" fontId="19" fillId="34" borderId="24" xfId="0" applyFont="1" applyFill="1" applyBorder="1" applyNumberFormat="1">
      <alignment vertical="center" wrapText="1"/>
    </xf>
    <xf numFmtId="49" fontId="19" fillId="39" borderId="12" xfId="0" applyFont="1" applyFill="1" applyBorder="1" applyNumberFormat="1">
      <alignment horizontal="left" vertical="center" wrapText="1"/>
    </xf>
    <xf numFmtId="0" fontId="0" fillId="34" borderId="14" xfId="0" applyFont="1" applyFill="1" applyBorder="1" applyNumberFormat="1">
      <alignment horizontal="left" vertical="center" wrapText="1" indent="1"/>
    </xf>
    <xf numFmtId="49" fontId="19" fillId="39" borderId="14" xfId="0" applyFont="1" applyFill="1" applyBorder="1" applyNumberFormat="1">
      <alignment horizontal="left" vertical="center" wrapText="1"/>
    </xf>
    <xf numFmtId="0" fontId="0" fillId="34" borderId="12" xfId="0" applyFont="1" applyFill="1" applyBorder="1" applyNumberFormat="1">
      <alignment vertical="top" wrapText="1"/>
    </xf>
    <xf numFmtId="0" fontId="60" fillId="36" borderId="15" xfId="0" applyFont="1" applyFill="1" applyBorder="1" applyNumberFormat="1">
      <alignment horizontal="left" vertical="center"/>
    </xf>
    <xf numFmtId="49" fontId="19" fillId="34" borderId="0" xfId="0" applyFont="1" applyFill="1" applyNumberFormat="1">
      <alignment horizontal="center" vertical="center" wrapText="1"/>
    </xf>
    <xf numFmtId="0" fontId="0" fillId="34" borderId="14" xfId="0" applyFont="1" applyFill="1" applyBorder="1" applyNumberFormat="1">
      <alignment horizontal="left" vertical="center" wrapText="1"/>
    </xf>
    <xf numFmtId="0" fontId="0" fillId="34" borderId="23" xfId="0" applyFont="1" applyFill="1" applyBorder="1" applyNumberFormat="1">
      <alignment vertical="center" wrapText="1"/>
    </xf>
    <xf numFmtId="0" fontId="66" fillId="34" borderId="0" xfId="0" applyFont="1" applyFill="1" applyNumberFormat="1"/>
    <xf numFmtId="0" fontId="19" fillId="0" borderId="0" xfId="0" applyFont="1" applyNumberFormat="1">
      <alignment vertical="top" wrapText="1"/>
    </xf>
    <xf numFmtId="0" fontId="37" fillId="0" borderId="0" xfId="0" applyFont="1" applyNumberFormat="1">
      <alignment vertical="center" wrapText="1"/>
    </xf>
    <xf numFmtId="0" fontId="34" fillId="0" borderId="0" xfId="0" applyFont="1" applyNumberFormat="1">
      <alignment horizontal="right" vertical="top" wrapText="1"/>
    </xf>
    <xf numFmtId="0" fontId="34" fillId="0" borderId="0" xfId="0" applyFont="1" applyNumberFormat="1">
      <alignment horizontal="left" vertical="top" wrapText="1" indent="1"/>
    </xf>
    <xf numFmtId="0" fontId="34" fillId="0" borderId="0" xfId="0" applyFont="1" applyNumberFormat="1">
      <alignment vertical="center" wrapText="1"/>
    </xf>
    <xf numFmtId="0" fontId="65" fillId="34" borderId="0" xfId="0" applyFont="1" applyFill="1" applyNumberFormat="1">
      <alignment horizontal="center"/>
    </xf>
    <xf numFmtId="0" fontId="65" fillId="34" borderId="0" xfId="0" applyFont="1" applyFill="1" applyNumberFormat="1"/>
    <xf numFmtId="0" fontId="67" fillId="34" borderId="0" xfId="0" applyFont="1" applyFill="1" applyNumberFormat="1">
      <alignment horizontal="right" vertical="center"/>
    </xf>
    <xf numFmtId="0" fontId="68" fillId="34" borderId="0" xfId="0" applyFont="1" applyFill="1" applyNumberFormat="1">
      <alignment vertical="center"/>
    </xf>
    <xf numFmtId="0" fontId="67" fillId="34" borderId="0" xfId="0" applyFont="1" applyFill="1" applyNumberFormat="1">
      <alignment horizontal="right" vertical="top"/>
    </xf>
    <xf numFmtId="0" fontId="68" fillId="34" borderId="0" xfId="0" applyFont="1" applyFill="1" applyNumberFormat="1">
      <alignment vertical="center" wrapText="1"/>
    </xf>
    <xf numFmtId="0" fontId="0" fillId="34" borderId="0" xfId="0" applyFont="1" applyFill="1" applyNumberFormat="1"/>
    <xf numFmtId="0" fontId="0" fillId="34" borderId="0" xfId="0" applyFont="1" applyFill="1" applyNumberFormat="1">
      <alignment horizontal="center"/>
    </xf>
    <xf numFmtId="0" fontId="78" fillId="0" borderId="0" xfId="0" applyFont="1" applyNumberFormat="1">
      <alignment vertical="center" wrapText="1"/>
    </xf>
    <xf numFmtId="0" fontId="78" fillId="34" borderId="0" xfId="0" applyFont="1" applyFill="1" applyNumberFormat="1">
      <alignment horizontal="center" vertical="center" wrapText="1"/>
    </xf>
    <xf numFmtId="0" fontId="78" fillId="34" borderId="0" xfId="0" applyFont="1" applyFill="1" applyNumberFormat="1">
      <alignment horizontal="right" vertical="center" wrapText="1"/>
    </xf>
    <xf numFmtId="0" fontId="25" fillId="34" borderId="0" xfId="0" applyFont="1" applyFill="1" applyNumberFormat="1">
      <alignment horizontal="center" vertical="center" wrapText="1"/>
    </xf>
    <xf numFmtId="0" fontId="35" fillId="0" borderId="0" xfId="0" applyFont="1" applyNumberFormat="1">
      <alignment horizontal="left" vertical="center" wrapText="1" indent="3"/>
    </xf>
    <xf numFmtId="0" fontId="54" fillId="0" borderId="0" xfId="0" applyFont="1" applyNumberFormat="1">
      <alignment horizontal="center" vertical="center" wrapText="1"/>
    </xf>
    <xf numFmtId="0" fontId="54" fillId="0" borderId="0" xfId="0" applyFont="1" applyNumberFormat="1">
      <alignment vertical="center" wrapText="1"/>
    </xf>
    <xf numFmtId="0" fontId="20" fillId="0" borderId="0" xfId="0" applyFont="1" applyNumberFormat="1">
      <alignment vertical="center" wrapText="1"/>
    </xf>
    <xf numFmtId="0" fontId="25" fillId="34" borderId="0" xfId="0" applyFont="1" applyFill="1" applyNumberFormat="1">
      <alignment horizontal="center" vertical="center" wrapText="1"/>
    </xf>
    <xf numFmtId="0" fontId="19" fillId="0" borderId="29" xfId="0" applyFont="1" applyBorder="1" applyNumberFormat="1">
      <alignment horizontal="left" vertical="center" wrapText="1" indent="1"/>
    </xf>
    <xf numFmtId="0" fontId="19" fillId="0" borderId="23" xfId="0" applyFont="1" applyBorder="1" applyNumberFormat="1">
      <alignment horizontal="left" vertical="center" wrapText="1" indent="1"/>
    </xf>
    <xf numFmtId="0" fontId="19" fillId="0" borderId="30" xfId="0" applyFont="1" applyBorder="1" applyNumberFormat="1">
      <alignment horizontal="left" vertical="center" wrapText="1" indent="1"/>
    </xf>
    <xf numFmtId="0" fontId="50" fillId="0" borderId="0" xfId="0" applyFont="1" applyNumberFormat="1">
      <alignment vertical="center" wrapText="1"/>
    </xf>
    <xf numFmtId="0" fontId="48" fillId="0" borderId="0" xfId="0" applyFont="1" applyNumberFormat="1">
      <alignment vertical="center" wrapText="1"/>
    </xf>
    <xf numFmtId="0" fontId="69" fillId="34" borderId="0" xfId="0" applyFont="1" applyFill="1" applyNumberFormat="1">
      <alignment horizontal="center" vertical="center" wrapText="1"/>
    </xf>
    <xf numFmtId="0" fontId="50" fillId="0" borderId="0" xfId="0" applyFont="1" applyNumberFormat="1">
      <alignment horizontal="left" vertical="center" wrapText="1" indent="1"/>
    </xf>
    <xf numFmtId="0" fontId="19" fillId="0" borderId="0" xfId="0" applyFont="1" applyNumberFormat="1">
      <alignment horizontal="right" vertical="center"/>
    </xf>
    <xf numFmtId="0" fontId="37"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24" fillId="34" borderId="0" xfId="0" applyFont="1" applyFill="1" applyNumberFormat="1">
      <alignment horizontal="center" vertical="center" wrapText="1"/>
    </xf>
    <xf numFmtId="49" fontId="24" fillId="34" borderId="0" xfId="0" applyFont="1" applyFill="1" applyNumberFormat="1">
      <alignment horizontal="center" vertical="center" wrapText="1"/>
    </xf>
    <xf numFmtId="0" fontId="19" fillId="0" borderId="0" xfId="0" applyFont="1" applyNumberFormat="1">
      <alignment vertical="center" wrapText="1"/>
    </xf>
    <xf numFmtId="0" fontId="70" fillId="34" borderId="0" xfId="0" applyFont="1" applyFill="1" applyNumberFormat="1">
      <alignment horizontal="center" vertical="center" wrapText="1"/>
    </xf>
    <xf numFmtId="49" fontId="63" fillId="0" borderId="17" xfId="0" applyFont="1" applyBorder="1" applyNumberFormat="1">
      <alignment horizontal="left" vertical="center" wrapText="1"/>
    </xf>
    <xf numFmtId="49" fontId="63"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5" borderId="12" xfId="0" applyFont="1" applyFill="1" applyBorder="1" applyNumberFormat="1">
      <alignment horizontal="left" vertical="center" wrapText="1"/>
      <protection locked="0"/>
    </xf>
    <xf numFmtId="0" fontId="19" fillId="39" borderId="14" xfId="0" applyFont="1" applyFill="1" applyBorder="1" applyNumberFormat="1">
      <alignment horizontal="left" vertical="center" wrapText="1"/>
    </xf>
    <xf numFmtId="49" fontId="24" fillId="34" borderId="12" xfId="0" applyFont="1" applyFill="1" applyBorder="1" applyNumberFormat="1">
      <alignment horizontal="center" vertical="center" wrapText="1"/>
    </xf>
    <xf numFmtId="4" fontId="0" fillId="38" borderId="12" xfId="0" applyFont="1" applyFill="1" applyBorder="1" applyNumberFormat="1">
      <alignment horizontal="right" vertical="center" wrapText="1"/>
      <protection locked="0"/>
    </xf>
    <xf numFmtId="3" fontId="0" fillId="38" borderId="12" xfId="0" applyFont="1" applyFill="1" applyBorder="1" applyNumberFormat="1">
      <alignment horizontal="right" vertical="center" wrapText="1"/>
      <protection locked="0"/>
    </xf>
    <xf numFmtId="4" fontId="0" fillId="38" borderId="13" xfId="0" applyFont="1" applyFill="1" applyBorder="1" applyNumberFormat="1">
      <alignment horizontal="right" vertical="center" wrapText="1"/>
      <protection locked="0"/>
    </xf>
    <xf numFmtId="0" fontId="0" fillId="35"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39" fillId="36" borderId="14" xfId="0" applyFont="1" applyFill="1" applyBorder="1" applyNumberFormat="1">
      <alignment horizontal="center" vertical="center"/>
    </xf>
    <xf numFmtId="0" fontId="29" fillId="36" borderId="15" xfId="0" applyFont="1" applyFill="1" applyBorder="1" applyNumberFormat="1">
      <alignment vertical="center"/>
    </xf>
    <xf numFmtId="49" fontId="29" fillId="36" borderId="15" xfId="0" applyFont="1" applyFill="1" applyBorder="1" applyNumberFormat="1">
      <alignment vertical="center"/>
    </xf>
    <xf numFmtId="49" fontId="60" fillId="36" borderId="15" xfId="0" applyFont="1" applyFill="1" applyBorder="1" applyNumberFormat="1">
      <alignment vertical="center"/>
    </xf>
    <xf numFmtId="49" fontId="60" fillId="36" borderId="13" xfId="0" applyFont="1" applyFill="1" applyBorder="1" applyNumberFormat="1">
      <alignment vertical="center"/>
    </xf>
    <xf numFmtId="0" fontId="0" fillId="0" borderId="23" xfId="0" applyFont="1" applyBorder="1" applyNumberFormat="1">
      <alignment horizontal="left" vertical="top" wrapText="1"/>
    </xf>
    <xf numFmtId="0" fontId="20" fillId="0" borderId="0" xfId="0" applyFont="1" applyNumberFormat="1">
      <alignment vertical="center" wrapText="1"/>
    </xf>
    <xf numFmtId="0" fontId="25" fillId="0" borderId="0" xfId="0" applyFont="1" applyNumberFormat="1">
      <alignment horizontal="center" vertical="center" wrapText="1"/>
    </xf>
    <xf numFmtId="0" fontId="19" fillId="0" borderId="0" xfId="0" applyFont="1" applyNumberFormat="1">
      <alignment vertical="center" wrapText="1"/>
    </xf>
    <xf numFmtId="0" fontId="31" fillId="0" borderId="0" xfId="0" applyFont="1" applyNumberFormat="1">
      <alignment vertical="center" wrapText="1"/>
    </xf>
    <xf numFmtId="0" fontId="19" fillId="0" borderId="0" xfId="0" applyFont="1" applyNumberFormat="1">
      <alignment vertical="center" wrapText="1"/>
    </xf>
    <xf numFmtId="0" fontId="25" fillId="34" borderId="0" xfId="0" applyFont="1" applyFill="1" applyNumberFormat="1">
      <alignment horizontal="center" vertical="center" wrapText="1"/>
    </xf>
    <xf numFmtId="49" fontId="0" fillId="0" borderId="37" xfId="0" applyFont="1" applyBorder="1" applyNumberFormat="1">
      <alignment horizontal="center" vertical="center" wrapText="1"/>
    </xf>
    <xf numFmtId="0" fontId="19" fillId="39" borderId="19" xfId="0" applyFont="1" applyFill="1" applyBorder="1" applyNumberFormat="1">
      <alignment horizontal="left" vertical="center" wrapText="1"/>
    </xf>
    <xf numFmtId="0" fontId="25" fillId="34" borderId="12" xfId="0" applyFont="1" applyFill="1" applyBorder="1" applyNumberFormat="1">
      <alignment horizontal="center" vertical="center" wrapText="1"/>
    </xf>
    <xf numFmtId="49" fontId="19" fillId="0" borderId="12" xfId="0" applyFont="1" applyBorder="1" applyNumberFormat="1">
      <alignment horizontal="center" vertical="center" wrapText="1"/>
    </xf>
    <xf numFmtId="49" fontId="19" fillId="38" borderId="12" xfId="0" applyFont="1" applyFill="1" applyBorder="1" applyNumberFormat="1">
      <alignment horizontal="left" vertical="center" wrapText="1"/>
      <protection locked="0"/>
    </xf>
    <xf numFmtId="3" fontId="19" fillId="38" borderId="12" xfId="0" applyFont="1" applyFill="1" applyBorder="1" applyNumberFormat="1">
      <alignment horizontal="right" vertical="center" wrapText="1"/>
      <protection locked="0"/>
    </xf>
    <xf numFmtId="0" fontId="37" fillId="0" borderId="0" xfId="0" applyFont="1" applyNumberFormat="1">
      <alignment vertical="center" wrapText="1"/>
    </xf>
    <xf numFmtId="49" fontId="0" fillId="0" borderId="30" xfId="0" applyFont="1" applyBorder="1" applyNumberFormat="1">
      <alignment horizontal="center" vertical="center" wrapText="1"/>
    </xf>
    <xf numFmtId="0" fontId="19" fillId="39" borderId="27" xfId="0" applyFont="1" applyFill="1" applyBorder="1" applyNumberFormat="1">
      <alignment horizontal="left" vertical="center" wrapText="1"/>
    </xf>
    <xf numFmtId="0" fontId="78" fillId="0" borderId="0" xfId="0" applyFont="1" applyNumberFormat="1">
      <alignment vertical="center" wrapText="1"/>
    </xf>
    <xf numFmtId="0" fontId="37" fillId="0" borderId="0" xfId="0" applyFont="1" applyNumberFormat="1">
      <alignment vertical="center" wrapText="1"/>
    </xf>
    <xf numFmtId="0" fontId="25" fillId="34" borderId="0" xfId="0" applyFont="1" applyFill="1" applyNumberFormat="1">
      <alignment horizontal="center" vertical="center" wrapText="1"/>
    </xf>
    <xf numFmtId="0" fontId="19" fillId="0" borderId="19" xfId="0" applyFont="1" applyBorder="1" applyNumberFormat="1">
      <alignment horizontal="left" vertical="top" wrapText="1" indent="1"/>
    </xf>
    <xf numFmtId="0" fontId="54" fillId="0" borderId="0" xfId="0" applyFont="1" applyNumberFormat="1">
      <alignment vertical="center" wrapText="1"/>
    </xf>
    <xf numFmtId="0" fontId="50" fillId="0" borderId="0" xfId="0" applyFont="1" applyNumberFormat="1">
      <alignment vertical="center" wrapText="1"/>
    </xf>
    <xf numFmtId="0" fontId="48" fillId="0" borderId="0" xfId="0" applyFont="1" applyNumberFormat="1">
      <alignment vertical="center" wrapText="1"/>
    </xf>
    <xf numFmtId="0" fontId="19" fillId="0" borderId="23" xfId="0" applyFont="1" applyBorder="1" applyNumberFormat="1">
      <alignment horizontal="center" vertical="center" wrapText="1"/>
    </xf>
    <xf numFmtId="0" fontId="19" fillId="0" borderId="0" xfId="0" applyFont="1" applyNumberFormat="1">
      <alignment vertical="center" wrapText="1"/>
    </xf>
    <xf numFmtId="0" fontId="25" fillId="34" borderId="12" xfId="0" applyFont="1" applyFill="1" applyBorder="1" applyNumberFormat="1">
      <alignment horizontal="center" vertical="center" wrapText="1"/>
    </xf>
    <xf numFmtId="49" fontId="19" fillId="0" borderId="12" xfId="0" applyFont="1" applyBorder="1" applyNumberFormat="1">
      <alignment horizontal="center" vertical="center" wrapText="1"/>
    </xf>
    <xf numFmtId="0" fontId="20" fillId="0" borderId="0" xfId="0" applyFont="1" applyNumberFormat="1">
      <alignment vertical="center" wrapText="1"/>
    </xf>
    <xf numFmtId="0" fontId="50" fillId="34" borderId="0" xfId="0" applyFont="1" applyFill="1" applyNumberFormat="1">
      <alignment vertical="center" wrapText="1"/>
    </xf>
    <xf numFmtId="0" fontId="50" fillId="34" borderId="0" xfId="0" applyFont="1" applyFill="1" applyNumberFormat="1">
      <alignment horizontal="right" vertical="center"/>
    </xf>
    <xf numFmtId="0" fontId="50" fillId="34" borderId="0" xfId="0" applyFont="1" applyFill="1" applyNumberFormat="1">
      <alignment horizontal="right" vertical="center" wrapText="1"/>
    </xf>
    <xf numFmtId="0" fontId="19" fillId="0" borderId="20" xfId="0" applyFont="1" applyBorder="1" applyNumberFormat="1">
      <alignment horizontal="left" vertical="center" wrapText="1" indent="1"/>
    </xf>
    <xf numFmtId="0" fontId="19" fillId="0" borderId="17" xfId="0" applyFont="1" applyBorder="1" applyNumberFormat="1">
      <alignment horizontal="left" vertical="center" wrapText="1" indent="1"/>
    </xf>
    <xf numFmtId="0" fontId="19" fillId="0" borderId="37" xfId="0" applyFont="1" applyBorder="1" applyNumberFormat="1">
      <alignment horizontal="left" vertical="center" wrapText="1" indent="1"/>
    </xf>
    <xf numFmtId="0" fontId="35" fillId="0" borderId="0" xfId="0" applyFont="1" applyNumberFormat="1">
      <alignment horizontal="center" vertical="center" wrapText="1"/>
    </xf>
    <xf numFmtId="4" fontId="50" fillId="0" borderId="0" xfId="0" applyFont="1" applyNumberFormat="1">
      <alignment horizontal="right" vertical="center" wrapText="1"/>
    </xf>
    <xf numFmtId="0" fontId="19" fillId="34" borderId="12" xfId="0" applyFont="1" applyFill="1" applyBorder="1" applyNumberFormat="1">
      <alignment horizontal="center" vertical="center" wrapText="1"/>
    </xf>
    <xf numFmtId="0" fontId="19" fillId="34" borderId="12" xfId="0" applyFont="1" applyFill="1" applyBorder="1" applyNumberFormat="1">
      <alignment horizontal="center" vertical="center" wrapText="1"/>
    </xf>
    <xf numFmtId="0" fontId="19"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4" fillId="34" borderId="15" xfId="0" applyFont="1" applyFill="1" applyBorder="1" applyNumberFormat="1">
      <alignment horizontal="center" vertical="center" wrapText="1"/>
    </xf>
    <xf numFmtId="49" fontId="24" fillId="34" borderId="15" xfId="0" applyFont="1" applyFill="1" applyBorder="1" applyNumberFormat="1">
      <alignment horizontal="center" vertical="center" wrapText="1"/>
    </xf>
    <xf numFmtId="0" fontId="25" fillId="34" borderId="0" xfId="0" applyFont="1" applyFill="1" applyNumberFormat="1">
      <alignment horizontal="center" vertical="center"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49" fontId="19" fillId="0" borderId="12" xfId="0" applyFont="1" applyBorder="1" applyNumberFormat="1">
      <alignment horizontal="left" vertical="center" wrapText="1"/>
    </xf>
    <xf numFmtId="49" fontId="19" fillId="0" borderId="0" xfId="0" applyFont="1" applyNumberFormat="1">
      <alignment vertical="top"/>
    </xf>
    <xf numFmtId="0" fontId="25" fillId="34" borderId="24" xfId="0" applyFont="1" applyFill="1" applyBorder="1" applyNumberFormat="1">
      <alignment vertical="top" wrapText="1"/>
    </xf>
    <xf numFmtId="14"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14" fontId="71" fillId="36" borderId="15" xfId="0" applyFont="1" applyFill="1" applyBorder="1" applyNumberFormat="1">
      <alignment horizontal="center" vertical="center" wrapText="1"/>
    </xf>
    <xf numFmtId="49" fontId="43" fillId="36"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37" fillId="0" borderId="0" xfId="0" applyFont="1" applyNumberFormat="1">
      <alignment horizontal="left" vertical="center" wrapText="1"/>
    </xf>
    <xf numFmtId="49" fontId="37" fillId="0" borderId="0" xfId="0" applyFont="1" applyNumberFormat="1">
      <alignment horizontal="left" vertical="center" wrapText="1"/>
    </xf>
    <xf numFmtId="0" fontId="25" fillId="34" borderId="0" xfId="0" applyFont="1" applyFill="1" applyNumberFormat="1">
      <alignment vertical="top" wrapText="1"/>
    </xf>
    <xf numFmtId="0" fontId="37" fillId="34" borderId="23" xfId="0" applyFont="1" applyFill="1" applyBorder="1" applyNumberFormat="1">
      <alignment horizontal="center" vertical="center" wrapText="1"/>
    </xf>
    <xf numFmtId="14" fontId="19" fillId="39" borderId="23" xfId="0" applyFont="1" applyFill="1" applyBorder="1" applyNumberFormat="1">
      <alignment horizontal="left" vertical="center" wrapText="1"/>
    </xf>
    <xf numFmtId="14" fontId="19" fillId="39" borderId="12" xfId="0" applyFont="1" applyFill="1" applyBorder="1" applyNumberFormat="1">
      <alignment horizontal="center" vertical="center" wrapText="1"/>
    </xf>
    <xf numFmtId="49" fontId="43" fillId="38" borderId="12" xfId="0" applyFont="1" applyFill="1" applyBorder="1" applyNumberFormat="1">
      <alignment horizontal="left" vertical="center" wrapText="1"/>
      <protection locked="0"/>
    </xf>
    <xf numFmtId="49" fontId="39" fillId="36" borderId="15" xfId="0" applyFont="1" applyFill="1" applyBorder="1" applyNumberFormat="1">
      <alignment horizontal="center" vertical="center"/>
    </xf>
    <xf numFmtId="49" fontId="60" fillId="36" borderId="15" xfId="0" applyFont="1" applyFill="1" applyBorder="1" applyNumberFormat="1">
      <alignment horizontal="left" vertical="center" indent="1"/>
    </xf>
    <xf numFmtId="49" fontId="60" fillId="36" borderId="13" xfId="0" applyFont="1" applyFill="1" applyBorder="1" applyNumberFormat="1">
      <alignment horizontal="left" vertical="center" indent="1"/>
    </xf>
    <xf numFmtId="0" fontId="69" fillId="0" borderId="0" xfId="0" applyFont="1" applyNumberFormat="1">
      <alignment horizontal="center" vertical="center" wrapText="1"/>
    </xf>
    <xf numFmtId="0" fontId="34" fillId="0" borderId="0" xfId="0" applyFont="1" applyNumberFormat="1">
      <alignment vertical="top" wrapText="1"/>
    </xf>
    <xf numFmtId="0" fontId="19" fillId="0" borderId="0" xfId="0" applyFont="1" applyNumberFormat="1">
      <alignment horizontal="right" vertical="top" wrapText="1"/>
    </xf>
    <xf numFmtId="0" fontId="34" fillId="0" borderId="0" xfId="0" applyFont="1" applyNumberFormat="1">
      <alignment vertical="top"/>
    </xf>
    <xf numFmtId="0" fontId="19" fillId="0" borderId="0" xfId="0" applyFont="1" applyNumberFormat="1">
      <alignment vertical="center" wrapText="1"/>
    </xf>
    <xf numFmtId="0" fontId="36" fillId="0" borderId="0" xfId="0" applyFont="1" applyNumberFormat="1">
      <alignment horizontal="left" vertical="center" indent="1"/>
    </xf>
    <xf numFmtId="0" fontId="36" fillId="0" borderId="12" xfId="0" applyFont="1" applyBorder="1" applyNumberFormat="1">
      <alignment horizontal="center" vertical="center"/>
    </xf>
    <xf numFmtId="0" fontId="36" fillId="0" borderId="0" xfId="0" applyFont="1" applyNumberFormat="1">
      <alignment horizontal="center" vertical="center"/>
    </xf>
    <xf numFmtId="0" fontId="36" fillId="0" borderId="0" xfId="0" applyFont="1" applyNumberFormat="1">
      <alignment horizontal="left" vertical="center" wrapText="1"/>
    </xf>
    <xf numFmtId="49" fontId="19" fillId="0" borderId="0" xfId="0" applyFont="1" applyNumberFormat="1">
      <alignment vertical="center" wrapText="1"/>
    </xf>
    <xf numFmtId="49" fontId="19" fillId="0" borderId="0" xfId="0" applyFont="1" applyNumberFormat="1">
      <alignment vertical="top"/>
    </xf>
    <xf numFmtId="49" fontId="19" fillId="0" borderId="24" xfId="0" applyFont="1" applyBorder="1" applyNumberFormat="1">
      <alignment vertical="top"/>
    </xf>
    <xf numFmtId="0" fontId="19" fillId="34" borderId="12" xfId="0" applyFont="1" applyFill="1" applyBorder="1" applyNumberFormat="1">
      <alignment horizontal="left" vertical="center" wrapText="1"/>
    </xf>
    <xf numFmtId="0" fontId="19" fillId="0" borderId="12" xfId="0" applyFont="1" applyBorder="1" applyNumberFormat="1">
      <alignment vertical="center" wrapText="1"/>
    </xf>
    <xf numFmtId="0" fontId="19" fillId="0" borderId="12" xfId="0" applyFont="1" applyBorder="1" applyNumberFormat="1">
      <alignment horizontal="left" vertical="center" wrapText="1" indent="6"/>
    </xf>
    <xf numFmtId="0" fontId="19" fillId="33" borderId="14" xfId="0" applyFont="1" applyFill="1" applyBorder="1" applyNumberFormat="1">
      <alignment horizontal="left" vertical="center" wrapText="1"/>
    </xf>
    <xf numFmtId="0" fontId="19" fillId="33" borderId="15" xfId="0" applyFont="1" applyFill="1" applyBorder="1" applyNumberFormat="1">
      <alignment horizontal="left" vertical="center" wrapText="1"/>
    </xf>
    <xf numFmtId="0" fontId="19" fillId="33" borderId="13" xfId="0" applyFont="1" applyFill="1" applyBorder="1" applyNumberFormat="1">
      <alignment horizontal="left" vertical="center" wrapText="1"/>
    </xf>
    <xf numFmtId="0" fontId="34" fillId="0" borderId="12" xfId="0" applyFont="1" applyBorder="1" applyNumberFormat="1">
      <alignment vertical="top" wrapText="1"/>
    </xf>
    <xf numFmtId="0" fontId="36" fillId="0" borderId="14" xfId="0" applyFont="1" applyBorder="1" applyNumberFormat="1">
      <alignment horizontal="center" vertical="center"/>
    </xf>
    <xf numFmtId="0" fontId="19" fillId="0" borderId="0" xfId="0" applyFont="1" applyNumberFormat="1">
      <alignment horizontal="center" vertical="center" wrapText="1"/>
    </xf>
    <xf numFmtId="0" fontId="31" fillId="34" borderId="0" xfId="0" applyFont="1" applyFill="1" applyNumberFormat="1">
      <alignment horizontal="center" vertical="center" wrapText="1"/>
    </xf>
    <xf numFmtId="0" fontId="19" fillId="0" borderId="24" xfId="0" applyFont="1" applyBorder="1" applyNumberFormat="1">
      <alignment vertical="center" wrapText="1"/>
    </xf>
    <xf numFmtId="0" fontId="19" fillId="34" borderId="12" xfId="0" applyFont="1" applyFill="1" applyBorder="1" applyNumberFormat="1">
      <alignment horizontal="left" vertical="center" wrapText="1" indent="1"/>
    </xf>
    <xf numFmtId="0" fontId="25" fillId="0" borderId="0" xfId="0" applyFont="1" applyNumberFormat="1">
      <alignment vertical="center" wrapText="1"/>
    </xf>
    <xf numFmtId="0" fontId="19" fillId="34" borderId="12" xfId="0" applyFont="1" applyFill="1" applyBorder="1" applyNumberFormat="1">
      <alignment horizontal="left" vertical="center" wrapText="1" indent="2"/>
    </xf>
    <xf numFmtId="0" fontId="19" fillId="34" borderId="12" xfId="0" applyFont="1" applyFill="1" applyBorder="1" applyNumberFormat="1">
      <alignment horizontal="left" vertical="center" wrapText="1" indent="3"/>
    </xf>
    <xf numFmtId="0" fontId="36" fillId="0" borderId="12" xfId="0" applyFont="1" applyBorder="1" applyNumberFormat="1">
      <alignment horizontal="center" vertical="center" wrapText="1"/>
    </xf>
    <xf numFmtId="0" fontId="36" fillId="0" borderId="0" xfId="0" applyFont="1" applyNumberFormat="1">
      <alignment vertical="center" wrapText="1"/>
    </xf>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37" fillId="0" borderId="24" xfId="0" applyFont="1" applyBorder="1" applyNumberFormat="1">
      <alignment horizontal="center" vertical="center" wrapText="1"/>
    </xf>
    <xf numFmtId="0" fontId="19" fillId="34" borderId="12" xfId="0" applyFont="1" applyFill="1" applyBorder="1" applyNumberFormat="1">
      <alignment horizontal="left" vertical="center" wrapText="1" indent="4"/>
    </xf>
    <xf numFmtId="0" fontId="19" fillId="39" borderId="14" xfId="0" applyFont="1" applyFill="1" applyBorder="1" applyNumberFormat="1">
      <alignment horizontal="left" vertical="center" wrapText="1"/>
    </xf>
    <xf numFmtId="0" fontId="19" fillId="39" borderId="15" xfId="0" applyFont="1" applyFill="1" applyBorder="1" applyNumberFormat="1">
      <alignment horizontal="left" vertical="center" wrapText="1"/>
    </xf>
    <xf numFmtId="0" fontId="19" fillId="39" borderId="13" xfId="0" applyFont="1" applyFill="1" applyBorder="1" applyNumberFormat="1">
      <alignment horizontal="left" vertical="center" wrapText="1"/>
    </xf>
    <xf numFmtId="0" fontId="36" fillId="0" borderId="14" xfId="0" applyFont="1" applyBorder="1" applyNumberFormat="1">
      <alignment horizontal="center" vertical="center" wrapText="1"/>
    </xf>
    <xf numFmtId="0" fontId="36" fillId="0" borderId="0" xfId="0" applyFont="1" applyNumberFormat="1">
      <alignment vertical="center" wrapText="1"/>
    </xf>
    <xf numFmtId="0" fontId="37" fillId="0" borderId="24" xfId="0" applyFont="1" applyBorder="1" applyNumberFormat="1">
      <alignment vertical="center" wrapText="1"/>
    </xf>
    <xf numFmtId="0" fontId="19" fillId="34" borderId="12" xfId="0" applyFont="1" applyFill="1" applyBorder="1" applyNumberFormat="1">
      <alignment horizontal="left" vertical="center" wrapText="1" indent="5"/>
    </xf>
    <xf numFmtId="0" fontId="19" fillId="39" borderId="12" xfId="0" applyFont="1" applyFill="1" applyBorder="1" applyNumberFormat="1">
      <alignment horizontal="left" vertical="center" wrapText="1" indent="6"/>
    </xf>
    <xf numFmtId="4" fontId="19" fillId="35" borderId="12" xfId="0" applyFont="1" applyFill="1" applyBorder="1" applyNumberFormat="1">
      <alignment horizontal="right" vertical="center" wrapText="1"/>
      <protection locked="0"/>
    </xf>
    <xf numFmtId="4" fontId="19" fillId="0" borderId="12" xfId="0" applyFont="1" applyBorder="1" applyNumberFormat="1">
      <alignment horizontal="right" vertical="center" wrapText="1"/>
    </xf>
    <xf numFmtId="172" fontId="19" fillId="35" borderId="12" xfId="0" applyFont="1" applyFill="1" applyBorder="1" applyNumberFormat="1">
      <alignment horizontal="right" vertical="center" wrapText="1"/>
      <protection locked="0"/>
    </xf>
    <xf numFmtId="174" fontId="0" fillId="38" borderId="12" xfId="0" applyFont="1" applyFill="1" applyBorder="1" applyNumberFormat="1">
      <alignment horizontal="center" vertical="center" wrapText="1"/>
      <protection locked="0"/>
    </xf>
    <xf numFmtId="0" fontId="34" fillId="0" borderId="17" xfId="0" applyFont="1" applyBorder="1" applyNumberFormat="1">
      <alignment horizontal="left" vertical="top" wrapText="1"/>
    </xf>
    <xf numFmtId="49" fontId="19" fillId="0" borderId="12" xfId="0" applyFont="1" applyBorder="1" applyNumberFormat="1">
      <alignment horizontal="left" vertical="center" wrapText="1"/>
    </xf>
    <xf numFmtId="4" fontId="37" fillId="0" borderId="12" xfId="0" applyFont="1" applyBorder="1" applyNumberFormat="1">
      <alignment horizontal="center" vertical="center" wrapText="1"/>
    </xf>
    <xf numFmtId="49" fontId="0" fillId="38" borderId="12" xfId="0" applyFont="1" applyFill="1" applyBorder="1" applyNumberFormat="1">
      <alignment horizontal="center" vertical="center" wrapText="1"/>
      <protection locked="0"/>
    </xf>
    <xf numFmtId="0" fontId="34" fillId="0" borderId="36" xfId="0" applyFont="1" applyBorder="1" applyNumberFormat="1">
      <alignment horizontal="left" vertical="top" wrapText="1"/>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3" xfId="0" applyFont="1" applyFill="1" applyBorder="1" applyNumberFormat="1">
      <alignment horizontal="center" vertical="center" wrapText="1"/>
    </xf>
    <xf numFmtId="0" fontId="34" fillId="0" borderId="23" xfId="0" applyFont="1" applyBorder="1" applyNumberFormat="1">
      <alignment horizontal="left" vertical="top" wrapText="1"/>
    </xf>
    <xf numFmtId="49" fontId="29" fillId="36" borderId="15" xfId="0" applyFont="1" applyFill="1" applyBorder="1" applyNumberFormat="1">
      <alignment horizontal="left" vertical="center" indent="5"/>
    </xf>
    <xf numFmtId="49" fontId="0"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28" fillId="0" borderId="0" xfId="0" applyFont="1" applyNumberFormat="1">
      <alignment vertical="top"/>
    </xf>
    <xf numFmtId="49" fontId="29" fillId="36" borderId="15" xfId="0" applyFont="1" applyFill="1" applyBorder="1" applyNumberFormat="1">
      <alignment horizontal="left" vertical="center" indent="4"/>
    </xf>
    <xf numFmtId="0" fontId="37" fillId="0" borderId="0" xfId="0" applyFont="1" applyNumberFormat="1">
      <alignment vertical="center" wrapText="1"/>
    </xf>
    <xf numFmtId="0" fontId="37" fillId="0" borderId="0" xfId="0" applyFont="1" applyNumberFormat="1">
      <alignment horizontal="left" vertical="center" indent="1"/>
    </xf>
    <xf numFmtId="0" fontId="37" fillId="0" borderId="0" xfId="0" applyFont="1" applyNumberFormat="1">
      <alignment horizontal="center" vertical="center"/>
    </xf>
    <xf numFmtId="0" fontId="37" fillId="0" borderId="0" xfId="0" applyFont="1" applyNumberFormat="1">
      <alignment horizontal="left" vertical="center" wrapText="1"/>
    </xf>
    <xf numFmtId="49" fontId="37" fillId="0" borderId="0" xfId="0" applyFont="1" applyNumberFormat="1">
      <alignment vertical="top"/>
    </xf>
    <xf numFmtId="49" fontId="97" fillId="0" borderId="0" xfId="0" applyFont="1" applyNumberFormat="1">
      <alignment vertical="top"/>
    </xf>
    <xf numFmtId="49" fontId="87" fillId="0" borderId="19" xfId="0" applyFont="1" applyBorder="1" applyNumberFormat="1">
      <alignment horizontal="left" vertical="center"/>
    </xf>
    <xf numFmtId="49" fontId="37" fillId="0" borderId="19" xfId="0" applyFont="1" applyBorder="1" applyNumberFormat="1">
      <alignment horizontal="left" vertical="center" indent="3"/>
    </xf>
    <xf numFmtId="49" fontId="37" fillId="0" borderId="19" xfId="0" applyFont="1" applyBorder="1" applyNumberFormat="1">
      <alignment horizontal="center" vertical="center" wrapText="1"/>
    </xf>
    <xf numFmtId="49" fontId="37" fillId="0" borderId="0" xfId="0" applyFont="1" applyNumberFormat="1">
      <alignment horizontal="left" vertical="center"/>
    </xf>
    <xf numFmtId="49" fontId="87" fillId="0" borderId="0" xfId="0" applyFont="1" applyNumberFormat="1">
      <alignment horizontal="left" vertical="center"/>
    </xf>
    <xf numFmtId="49" fontId="37" fillId="0" borderId="0" xfId="0" applyFont="1" applyNumberFormat="1">
      <alignment horizontal="left" vertical="center" indent="2"/>
    </xf>
    <xf numFmtId="49" fontId="37" fillId="0" borderId="0" xfId="0" applyFont="1" applyNumberFormat="1">
      <alignment horizontal="center" vertical="center" wrapText="1"/>
    </xf>
    <xf numFmtId="49" fontId="37" fillId="0" borderId="0" xfId="0" applyFont="1" applyNumberFormat="1">
      <alignment horizontal="left" vertical="center" indent="1"/>
    </xf>
    <xf numFmtId="49" fontId="19" fillId="0" borderId="0" xfId="0" applyFont="1" applyNumberFormat="1">
      <alignment vertical="center" wrapText="1"/>
    </xf>
    <xf numFmtId="4" fontId="36" fillId="0" borderId="12" xfId="0" applyFont="1" applyBorder="1" applyNumberFormat="1">
      <alignment horizontal="right" vertical="center" wrapText="1"/>
    </xf>
    <xf numFmtId="172" fontId="36" fillId="0" borderId="12" xfId="0" applyFont="1" applyBorder="1" applyNumberFormat="1">
      <alignment horizontal="right" vertical="center" wrapText="1"/>
    </xf>
    <xf numFmtId="174" fontId="36" fillId="0" borderId="12" xfId="0" applyFont="1" applyBorder="1" applyNumberFormat="1">
      <alignment horizontal="center" vertical="center" wrapText="1"/>
    </xf>
    <xf numFmtId="49" fontId="36"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0" xfId="0" applyFont="1" applyNumberFormat="1">
      <alignment vertical="center" wrapText="1"/>
    </xf>
    <xf numFmtId="49" fontId="36" fillId="0" borderId="12" xfId="0" applyFont="1" applyBorder="1" applyNumberFormat="1">
      <alignment vertical="center" wrapText="1"/>
    </xf>
    <xf numFmtId="0" fontId="59" fillId="0" borderId="0" xfId="0" applyFont="1" applyNumberFormat="1">
      <alignment vertical="center" wrapText="1"/>
    </xf>
    <xf numFmtId="0" fontId="36" fillId="0" borderId="0" xfId="0" applyFont="1" applyNumberFormat="1">
      <alignment horizontal="left" vertical="center" wrapText="1"/>
    </xf>
    <xf numFmtId="0" fontId="28" fillId="34" borderId="0" xfId="0" applyFont="1" applyFill="1" applyNumberFormat="1">
      <alignment vertical="center" wrapText="1"/>
    </xf>
    <xf numFmtId="0" fontId="19" fillId="34" borderId="0" xfId="0" applyFont="1" applyFill="1" applyNumberFormat="1">
      <alignment horizontal="left" vertical="center" wrapText="1"/>
    </xf>
    <xf numFmtId="0" fontId="19" fillId="34" borderId="0" xfId="0" applyFont="1" applyFill="1" applyNumberFormat="1">
      <alignment vertical="center" wrapText="1"/>
    </xf>
    <xf numFmtId="0" fontId="19" fillId="0" borderId="19" xfId="0" applyFont="1" applyBorder="1" applyNumberFormat="1">
      <alignment horizontal="left" vertical="top" wrapText="1" indent="1"/>
    </xf>
    <xf numFmtId="0" fontId="35" fillId="0" borderId="0" xfId="0" applyFont="1" applyNumberFormat="1">
      <alignment vertical="center" wrapText="1"/>
    </xf>
    <xf numFmtId="0" fontId="19" fillId="0" borderId="27" xfId="0" applyFont="1" applyBorder="1" applyNumberFormat="1">
      <alignment horizontal="left" vertical="center" wrapText="1" indent="1"/>
    </xf>
    <xf numFmtId="0" fontId="39" fillId="34" borderId="0" xfId="0" applyFont="1" applyFill="1" applyNumberFormat="1">
      <alignment horizontal="center" vertical="center" wrapText="1"/>
    </xf>
    <xf numFmtId="0" fontId="0" fillId="0" borderId="0" xfId="0" applyFont="1" applyNumberFormat="1">
      <alignment vertical="center"/>
    </xf>
    <xf numFmtId="0" fontId="36" fillId="0" borderId="0" xfId="0" applyFont="1" applyNumberFormat="1">
      <alignment vertical="center"/>
    </xf>
    <xf numFmtId="0" fontId="36" fillId="0" borderId="0" xfId="0" applyFont="1" applyNumberFormat="1">
      <alignment horizontal="center" vertical="center"/>
    </xf>
    <xf numFmtId="0" fontId="0" fillId="34" borderId="12" xfId="0" applyFont="1" applyFill="1" applyBorder="1" applyNumberFormat="1">
      <alignment horizontal="right" vertical="center" wrapText="1" indent="1"/>
    </xf>
    <xf numFmtId="0" fontId="0" fillId="0" borderId="15" xfId="0" applyFont="1" applyBorder="1" applyNumberFormat="1">
      <alignment vertical="center"/>
    </xf>
    <xf numFmtId="0" fontId="19" fillId="33" borderId="12" xfId="0" applyFont="1" applyFill="1" applyBorder="1" applyNumberFormat="1">
      <alignment horizontal="left" vertical="center" wrapText="1" indent="1"/>
    </xf>
    <xf numFmtId="0" fontId="19" fillId="0" borderId="0" xfId="0" applyFont="1" applyNumberFormat="1">
      <alignment vertical="center" wrapText="1"/>
    </xf>
    <xf numFmtId="0" fontId="58" fillId="0" borderId="0" xfId="0" applyFont="1" applyNumberFormat="1">
      <alignment vertical="center"/>
    </xf>
    <xf numFmtId="0" fontId="37" fillId="0" borderId="0" xfId="0" applyFont="1" applyNumberFormat="1">
      <alignment vertical="center"/>
    </xf>
    <xf numFmtId="174" fontId="19" fillId="33" borderId="12" xfId="0" applyFont="1" applyFill="1" applyBorder="1" applyNumberFormat="1">
      <alignment horizontal="left" vertical="center" wrapText="1" indent="1"/>
    </xf>
    <xf numFmtId="49" fontId="19" fillId="0" borderId="0" xfId="0" applyFont="1" applyNumberFormat="1">
      <alignment vertical="center" wrapText="1"/>
    </xf>
    <xf numFmtId="0" fontId="19" fillId="0" borderId="0" xfId="0" applyFont="1" applyNumberFormat="1">
      <alignment horizontal="right" vertical="center" wrapText="1"/>
    </xf>
    <xf numFmtId="0" fontId="37" fillId="0" borderId="0" xfId="0" applyFont="1" applyNumberFormat="1">
      <alignment vertical="center" wrapText="1"/>
    </xf>
    <xf numFmtId="0" fontId="19" fillId="34" borderId="27" xfId="0" applyFont="1" applyFill="1" applyBorder="1" applyNumberFormat="1">
      <alignment vertical="center" wrapText="1"/>
    </xf>
    <xf numFmtId="0" fontId="25" fillId="0" borderId="27" xfId="0" applyFont="1" applyBorder="1" applyNumberFormat="1">
      <alignment horizontal="center" vertical="center" wrapText="1"/>
    </xf>
    <xf numFmtId="0" fontId="19" fillId="34" borderId="12" xfId="0" applyFont="1" applyFill="1" applyBorder="1" applyNumberFormat="1">
      <alignment horizontal="left" vertical="center" wrapText="1"/>
    </xf>
    <xf numFmtId="0" fontId="19" fillId="0" borderId="17" xfId="0" applyFont="1" applyBorder="1" applyNumberFormat="1">
      <alignment vertical="center" wrapText="1"/>
    </xf>
    <xf numFmtId="0" fontId="0" fillId="34" borderId="14" xfId="0" applyFont="1" applyFill="1" applyBorder="1" applyNumberFormat="1">
      <alignment horizontal="center" vertical="center" wrapText="1"/>
    </xf>
    <xf numFmtId="0" fontId="0" fillId="34" borderId="15" xfId="0" applyFont="1" applyFill="1" applyBorder="1" applyNumberFormat="1">
      <alignment horizontal="center" vertical="center" wrapText="1"/>
    </xf>
    <xf numFmtId="0" fontId="0" fillId="34" borderId="13" xfId="0" applyFont="1" applyFill="1" applyBorder="1" applyNumberFormat="1">
      <alignment horizontal="center" vertical="center" wrapText="1"/>
    </xf>
    <xf numFmtId="0" fontId="19" fillId="34" borderId="17" xfId="0" applyFont="1" applyFill="1" applyBorder="1" applyNumberFormat="1">
      <alignment horizontal="center" vertical="center" wrapText="1"/>
    </xf>
    <xf numFmtId="49" fontId="29" fillId="36" borderId="17" xfId="0" applyFont="1" applyFill="1" applyBorder="1" applyNumberFormat="1">
      <alignment horizontal="center" vertical="center" textRotation="90" wrapText="1"/>
    </xf>
    <xf numFmtId="0" fontId="19" fillId="0" borderId="36" xfId="0" applyFont="1" applyBorder="1" applyNumberFormat="1">
      <alignment vertical="center" wrapText="1"/>
    </xf>
    <xf numFmtId="0" fontId="19" fillId="0" borderId="17" xfId="0" applyFont="1" applyBorder="1" applyNumberFormat="1">
      <alignment horizontal="center" vertical="center" wrapText="1"/>
    </xf>
    <xf numFmtId="0" fontId="36" fillId="0" borderId="17" xfId="0" applyFont="1" applyBorder="1" applyNumberFormat="1">
      <alignment horizontal="center" vertical="center" wrapText="1"/>
    </xf>
    <xf numFmtId="0" fontId="19" fillId="0" borderId="14" xfId="0" applyFont="1" applyBorder="1" applyNumberFormat="1">
      <alignment horizontal="center" vertical="center" wrapText="1"/>
    </xf>
    <xf numFmtId="0" fontId="19" fillId="0" borderId="13" xfId="0" applyFont="1" applyBorder="1" applyNumberFormat="1">
      <alignment horizontal="center" vertical="center" wrapText="1"/>
    </xf>
    <xf numFmtId="0" fontId="19" fillId="0" borderId="15" xfId="0" applyFont="1" applyBorder="1" applyNumberFormat="1">
      <alignment horizontal="center" vertical="center" wrapText="1"/>
    </xf>
    <xf numFmtId="0" fontId="19" fillId="34" borderId="36" xfId="0" applyFont="1" applyFill="1" applyBorder="1" applyNumberFormat="1">
      <alignment horizontal="center" vertical="center" wrapText="1"/>
    </xf>
    <xf numFmtId="49" fontId="29" fillId="36" borderId="36" xfId="0" applyFont="1" applyFill="1" applyBorder="1" applyNumberFormat="1">
      <alignment horizontal="center" vertical="center" textRotation="90" wrapText="1"/>
    </xf>
    <xf numFmtId="0" fontId="36" fillId="0" borderId="0" xfId="0" applyFont="1" applyNumberFormat="1">
      <alignment vertical="center"/>
    </xf>
    <xf numFmtId="0" fontId="19" fillId="0" borderId="23" xfId="0" applyFont="1" applyBorder="1" applyNumberFormat="1">
      <alignment vertical="center" wrapText="1"/>
    </xf>
    <xf numFmtId="0" fontId="19" fillId="0" borderId="23" xfId="0" applyFont="1" applyBorder="1" applyNumberFormat="1">
      <alignment horizontal="center" vertical="center" wrapText="1"/>
    </xf>
    <xf numFmtId="0" fontId="36"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19" fillId="34"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29" fillId="36" borderId="23" xfId="0" applyFont="1" applyFill="1" applyBorder="1" applyNumberFormat="1">
      <alignment horizontal="center" vertical="center" textRotation="90" wrapText="1"/>
    </xf>
    <xf numFmtId="49" fontId="63" fillId="0" borderId="0" xfId="0" applyFont="1" applyNumberFormat="1">
      <alignment vertical="center" wrapText="1"/>
    </xf>
    <xf numFmtId="0" fontId="96" fillId="34" borderId="0" xfId="0" applyFont="1" applyFill="1" applyNumberFormat="1">
      <alignment vertical="center" wrapText="1"/>
    </xf>
    <xf numFmtId="0" fontId="97" fillId="34" borderId="0" xfId="0" applyFont="1" applyFill="1" applyNumberFormat="1">
      <alignment vertical="center" wrapText="1"/>
    </xf>
    <xf numFmtId="49" fontId="70" fillId="34" borderId="19" xfId="0" applyFont="1" applyFill="1" applyBorder="1" applyNumberFormat="1">
      <alignment horizontal="left" vertical="center" wrapText="1"/>
    </xf>
    <xf numFmtId="49" fontId="70" fillId="34" borderId="19" xfId="0" applyFont="1" applyFill="1" applyBorder="1" applyNumberFormat="1">
      <alignment horizontal="center" vertical="center" wrapText="1"/>
    </xf>
    <xf numFmtId="0" fontId="37" fillId="34" borderId="19" xfId="0" applyFont="1" applyFill="1" applyBorder="1" applyNumberFormat="1">
      <alignment horizontal="center" vertical="center" wrapText="1"/>
    </xf>
    <xf numFmtId="0" fontId="70" fillId="34" borderId="19" xfId="0" applyFont="1" applyFill="1" applyBorder="1" applyNumberFormat="1">
      <alignment horizontal="center" vertical="center" wrapText="1"/>
    </xf>
    <xf numFmtId="0" fontId="70" fillId="34" borderId="19" xfId="0" applyFont="1" applyFill="1" applyBorder="1" applyNumberFormat="1">
      <alignment horizontal="center" vertical="center" wrapText="1"/>
    </xf>
    <xf numFmtId="0" fontId="70" fillId="34" borderId="19" xfId="0" applyFont="1" applyFill="1" applyBorder="1" applyNumberFormat="1">
      <alignment horizontal="center" vertical="center" wrapText="1"/>
    </xf>
    <xf numFmtId="0" fontId="19" fillId="34" borderId="12" xfId="0" applyFont="1" applyFill="1" applyBorder="1" applyNumberFormat="1">
      <alignment horizontal="left"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174" fontId="0" fillId="38" borderId="17" xfId="0" applyFont="1" applyFill="1" applyBorder="1" applyNumberFormat="1">
      <alignment horizontal="center" vertical="center" wrapText="1"/>
      <protection locked="0"/>
    </xf>
    <xf numFmtId="4" fontId="19" fillId="0" borderId="17" xfId="0" applyFont="1" applyBorder="1" applyNumberFormat="1">
      <alignment horizontal="right" vertical="center" wrapText="1"/>
    </xf>
    <xf numFmtId="49" fontId="19" fillId="0" borderId="12" xfId="0" applyFont="1" applyBorder="1" applyNumberFormat="1">
      <alignment horizontal="left" vertical="center" wrapText="1"/>
    </xf>
    <xf numFmtId="49" fontId="0" fillId="38" borderId="23" xfId="0" applyFont="1" applyFill="1" applyBorder="1" applyNumberFormat="1">
      <alignment horizontal="center" vertical="center" wrapText="1"/>
      <protection locked="0"/>
    </xf>
    <xf numFmtId="4" fontId="19" fillId="0" borderId="23" xfId="0" applyFont="1" applyBorder="1" applyNumberFormat="1">
      <alignment horizontal="right" vertical="center" wrapText="1"/>
    </xf>
    <xf numFmtId="0" fontId="37" fillId="0" borderId="0" xfId="0" applyFont="1" applyNumberFormat="1">
      <alignment horizontal="left" vertical="center" indent="1"/>
    </xf>
    <xf numFmtId="0" fontId="37" fillId="0" borderId="0" xfId="0" applyFont="1" applyNumberFormat="1">
      <alignment horizontal="center" vertical="center"/>
    </xf>
    <xf numFmtId="49" fontId="37" fillId="0" borderId="0" xfId="0" applyFont="1" applyNumberFormat="1">
      <alignment vertical="top"/>
    </xf>
    <xf numFmtId="49" fontId="97" fillId="0" borderId="0" xfId="0" applyFont="1" applyNumberFormat="1">
      <alignment vertical="top"/>
    </xf>
    <xf numFmtId="0" fontId="19" fillId="0" borderId="0" xfId="0" applyFont="1" applyNumberFormat="1">
      <alignment horizontal="right" vertical="top" wrapText="1"/>
    </xf>
    <xf numFmtId="0" fontId="19" fillId="0" borderId="0" xfId="0" applyFont="1" applyNumberFormat="1">
      <alignment horizontal="left" vertical="top" wrapText="1"/>
    </xf>
    <xf numFmtId="49" fontId="19" fillId="0" borderId="0" xfId="0" applyFont="1" applyNumberFormat="1">
      <alignment vertical="center" wrapText="1"/>
    </xf>
    <xf numFmtId="49" fontId="19" fillId="0" borderId="0" xfId="0" applyFont="1" applyNumberFormat="1">
      <alignment vertical="center" wrapText="1"/>
    </xf>
    <xf numFmtId="0" fontId="28" fillId="0" borderId="0" xfId="0" applyFont="1" applyNumberFormat="1">
      <alignment vertical="center" wrapText="1"/>
    </xf>
    <xf numFmtId="0" fontId="19" fillId="0" borderId="0" xfId="0" applyFont="1" applyNumberFormat="1">
      <alignment horizontal="left" vertical="center" wrapText="1"/>
    </xf>
    <xf numFmtId="0" fontId="19" fillId="34" borderId="12" xfId="0" applyFont="1" applyFill="1" applyBorder="1" applyNumberFormat="1">
      <alignment horizontal="left"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49" fontId="19" fillId="0" borderId="12" xfId="0" applyFont="1" applyBorder="1" applyNumberFormat="1">
      <alignment horizontal="left" vertical="center" wrapText="1"/>
    </xf>
    <xf numFmtId="0" fontId="19" fillId="0" borderId="0" xfId="0" applyFont="1" applyNumberFormat="1">
      <alignment horizontal="right" vertical="center" wrapText="1"/>
    </xf>
    <xf numFmtId="0" fontId="0" fillId="0" borderId="12" xfId="0" applyFont="1" applyBorder="1" applyNumberFormat="1">
      <alignment horizontal="center" vertical="center" wrapText="1"/>
    </xf>
    <xf numFmtId="0" fontId="70" fillId="34" borderId="19" xfId="0" applyFont="1" applyFill="1" applyBorder="1" applyNumberFormat="1">
      <alignment horizontal="center" vertical="center" wrapText="1"/>
    </xf>
    <xf numFmtId="172" fontId="19" fillId="0" borderId="12" xfId="0" applyFont="1" applyBorder="1" applyNumberFormat="1">
      <alignment horizontal="right" vertical="center" wrapText="1"/>
    </xf>
    <xf numFmtId="0" fontId="0" fillId="34" borderId="19" xfId="0" applyFont="1" applyFill="1" applyBorder="1" applyNumberFormat="1">
      <alignment horizontal="center" vertical="center" wrapText="1"/>
    </xf>
    <xf numFmtId="0" fontId="37" fillId="0" borderId="17" xfId="0" applyFont="1" applyBorder="1" applyNumberFormat="1">
      <alignment horizontal="center" vertical="center" wrapText="1"/>
    </xf>
    <xf numFmtId="0" fontId="19" fillId="0" borderId="37" xfId="0" applyFont="1" applyBorder="1" applyNumberFormat="1">
      <alignment horizontal="center" vertical="center" wrapText="1"/>
    </xf>
    <xf numFmtId="0" fontId="37" fillId="0" borderId="12" xfId="0" applyFont="1" applyBorder="1" applyNumberFormat="1">
      <alignment vertical="center" wrapText="1"/>
    </xf>
    <xf numFmtId="0" fontId="19" fillId="0" borderId="0" xfId="0" applyFont="1" applyNumberFormat="1">
      <alignment vertical="center"/>
    </xf>
    <xf numFmtId="0" fontId="37" fillId="0" borderId="23" xfId="0" applyFont="1" applyBorder="1" applyNumberFormat="1">
      <alignment horizontal="center" vertical="center" wrapText="1"/>
    </xf>
    <xf numFmtId="0" fontId="19" fillId="0" borderId="30" xfId="0" applyFont="1" applyBorder="1" applyNumberFormat="1">
      <alignment horizontal="center" vertical="center" wrapText="1"/>
    </xf>
    <xf numFmtId="0" fontId="37"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70" fillId="34" borderId="0" xfId="0" applyFont="1" applyFill="1" applyNumberFormat="1">
      <alignment horizontal="center" vertical="center" wrapText="1"/>
    </xf>
    <xf numFmtId="0" fontId="19" fillId="0" borderId="0" xfId="0" applyFont="1" applyNumberFormat="1">
      <alignment vertical="center" wrapText="1"/>
    </xf>
    <xf numFmtId="0" fontId="19" fillId="33" borderId="14" xfId="0" applyFont="1" applyFill="1" applyBorder="1" applyNumberFormat="1">
      <alignment horizontal="left" vertical="center" wrapText="1"/>
    </xf>
    <xf numFmtId="0" fontId="19" fillId="33" borderId="15" xfId="0" applyFont="1" applyFill="1" applyBorder="1" applyNumberFormat="1">
      <alignment horizontal="left" vertical="center" wrapText="1"/>
    </xf>
    <xf numFmtId="0" fontId="19" fillId="33" borderId="13" xfId="0" applyFont="1" applyFill="1" applyBorder="1" applyNumberFormat="1">
      <alignment horizontal="left" vertical="center" wrapText="1"/>
    </xf>
    <xf numFmtId="0" fontId="37" fillId="0" borderId="12" xfId="0" applyFont="1" applyBorder="1" applyNumberFormat="1">
      <alignment horizontal="left" vertical="center" wrapText="1"/>
    </xf>
    <xf numFmtId="0" fontId="37" fillId="0" borderId="12" xfId="0" applyFont="1" applyBorder="1" applyNumberFormat="1">
      <alignment horizontal="left" vertical="center" wrapText="1" indent="4"/>
    </xf>
    <xf numFmtId="0" fontId="37" fillId="0" borderId="12" xfId="0" applyFont="1" applyBorder="1" applyNumberFormat="1">
      <alignment horizontal="left" vertical="center" wrapText="1" indent="6"/>
    </xf>
    <xf numFmtId="0" fontId="37" fillId="0" borderId="14" xfId="0" applyFont="1" applyBorder="1" applyNumberFormat="1">
      <alignment horizontal="left" vertical="center" wrapText="1"/>
    </xf>
    <xf numFmtId="0" fontId="37" fillId="0" borderId="15" xfId="0" applyFont="1" applyBorder="1" applyNumberFormat="1">
      <alignment horizontal="left" vertical="center" wrapText="1"/>
    </xf>
    <xf numFmtId="0" fontId="37" fillId="0" borderId="13" xfId="0" applyFont="1" applyBorder="1" applyNumberFormat="1">
      <alignment horizontal="left" vertical="center" wrapText="1"/>
    </xf>
    <xf numFmtId="0" fontId="37" fillId="0" borderId="14" xfId="0" applyFont="1" applyBorder="1" applyNumberFormat="1">
      <alignment horizontal="left" vertical="center" wrapText="1"/>
    </xf>
    <xf numFmtId="0" fontId="37" fillId="0" borderId="15" xfId="0" applyFont="1" applyBorder="1" applyNumberFormat="1">
      <alignment horizontal="left" vertical="center" wrapText="1"/>
    </xf>
    <xf numFmtId="0" fontId="37" fillId="0" borderId="13" xfId="0" applyFont="1" applyBorder="1" applyNumberFormat="1">
      <alignment horizontal="left" vertical="center" wrapText="1"/>
    </xf>
    <xf numFmtId="0" fontId="37" fillId="0" borderId="12" xfId="0" applyFont="1" applyBorder="1" applyNumberFormat="1">
      <alignment vertical="top" wrapText="1"/>
    </xf>
    <xf numFmtId="0" fontId="19" fillId="39" borderId="14" xfId="0" applyFont="1" applyFill="1" applyBorder="1" applyNumberFormat="1">
      <alignment horizontal="left" vertical="center" wrapText="1"/>
    </xf>
    <xf numFmtId="0" fontId="19" fillId="39" borderId="15" xfId="0" applyFont="1" applyFill="1" applyBorder="1" applyNumberFormat="1">
      <alignment horizontal="left" vertical="center" wrapText="1"/>
    </xf>
    <xf numFmtId="0" fontId="19" fillId="39" borderId="13" xfId="0" applyFont="1" applyFill="1" applyBorder="1" applyNumberFormat="1">
      <alignment horizontal="left" vertical="center" wrapText="1"/>
    </xf>
    <xf numFmtId="4" fontId="19" fillId="35" borderId="12" xfId="0" applyFont="1" applyFill="1" applyBorder="1" applyNumberFormat="1">
      <alignment horizontal="right" vertical="center" wrapText="1"/>
      <protection locked="0"/>
    </xf>
    <xf numFmtId="4" fontId="19" fillId="0" borderId="12" xfId="0" applyFont="1" applyBorder="1" applyNumberFormat="1">
      <alignment horizontal="right" vertical="center" wrapText="1"/>
    </xf>
    <xf numFmtId="172" fontId="19" fillId="35" borderId="12" xfId="0" applyFont="1" applyFill="1" applyBorder="1" applyNumberFormat="1">
      <alignment horizontal="right" vertical="center" wrapText="1"/>
      <protection locked="0"/>
    </xf>
    <xf numFmtId="174" fontId="0" fillId="38" borderId="12" xfId="0" applyFont="1" applyFill="1" applyBorder="1" applyNumberFormat="1">
      <alignment horizontal="center" vertical="center" wrapText="1"/>
      <protection locked="0"/>
    </xf>
    <xf numFmtId="4" fontId="37" fillId="0" borderId="12" xfId="0" applyFont="1" applyBorder="1" applyNumberFormat="1">
      <alignment horizontal="center" vertical="center" wrapText="1"/>
    </xf>
    <xf numFmtId="49" fontId="0" fillId="38" borderId="12" xfId="0" applyFont="1" applyFill="1" applyBorder="1" applyNumberFormat="1">
      <alignment horizontal="center" vertical="center" wrapText="1"/>
      <protection locked="0"/>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87" fillId="0" borderId="14" xfId="0" applyFont="1" applyBorder="1" applyNumberFormat="1">
      <alignment horizontal="left" vertical="center"/>
    </xf>
    <xf numFmtId="49" fontId="37" fillId="0" borderId="15" xfId="0" applyFont="1" applyBorder="1" applyNumberFormat="1">
      <alignment horizontal="left" vertical="center" indent="4"/>
    </xf>
    <xf numFmtId="49" fontId="37" fillId="0" borderId="15" xfId="0" applyFont="1" applyBorder="1" applyNumberFormat="1">
      <alignment horizontal="center" vertical="center" wrapText="1"/>
    </xf>
    <xf numFmtId="49" fontId="37" fillId="0" borderId="15" xfId="0" applyFont="1" applyBorder="1" applyNumberFormat="1">
      <alignment horizontal="center" vertical="center" wrapText="1"/>
    </xf>
    <xf numFmtId="49" fontId="37" fillId="0" borderId="13" xfId="0" applyFont="1" applyBorder="1" applyNumberFormat="1">
      <alignment horizontal="center" vertical="center" wrapText="1"/>
    </xf>
    <xf numFmtId="49" fontId="37" fillId="0" borderId="19" xfId="0" applyFont="1" applyBorder="1" applyNumberFormat="1">
      <alignment horizontal="center" vertical="center" wrapText="1"/>
    </xf>
    <xf numFmtId="49" fontId="37" fillId="0" borderId="0" xfId="0" applyFont="1" applyNumberFormat="1">
      <alignment horizontal="center" vertical="center" wrapText="1"/>
    </xf>
    <xf numFmtId="0" fontId="36" fillId="0" borderId="0" xfId="0" applyFont="1" applyNumberFormat="1">
      <alignment vertical="center" wrapText="1"/>
    </xf>
    <xf numFmtId="49" fontId="36" fillId="0" borderId="12" xfId="0" applyFont="1" applyBorder="1" applyNumberFormat="1">
      <alignment vertical="center" wrapText="1"/>
    </xf>
    <xf numFmtId="0" fontId="36" fillId="0" borderId="0" xfId="0" applyFont="1" applyNumberFormat="1">
      <alignment vertical="center"/>
    </xf>
    <xf numFmtId="0" fontId="19" fillId="0" borderId="19" xfId="0" applyFont="1" applyBorder="1" applyNumberFormat="1">
      <alignment horizontal="left" vertical="top" wrapText="1" indent="1"/>
    </xf>
    <xf numFmtId="0" fontId="19" fillId="0" borderId="27" xfId="0" applyFont="1" applyBorder="1" applyNumberFormat="1">
      <alignment horizontal="left" vertical="center" wrapText="1" indent="1"/>
    </xf>
    <xf numFmtId="0" fontId="39" fillId="34" borderId="0" xfId="0" applyFont="1" applyFill="1" applyNumberFormat="1">
      <alignment horizontal="center" vertical="center" wrapText="1"/>
    </xf>
    <xf numFmtId="0" fontId="19" fillId="33" borderId="12" xfId="0" applyFont="1" applyFill="1" applyBorder="1" applyNumberFormat="1">
      <alignment horizontal="left" vertical="center" wrapText="1" indent="1"/>
    </xf>
    <xf numFmtId="174" fontId="19" fillId="33" borderId="12" xfId="0" applyFont="1" applyFill="1" applyBorder="1" applyNumberFormat="1">
      <alignment horizontal="left" vertical="center" wrapText="1" indent="1"/>
    </xf>
    <xf numFmtId="0" fontId="37" fillId="0" borderId="0" xfId="0" applyFont="1" applyNumberFormat="1">
      <alignment vertical="center" wrapText="1"/>
    </xf>
    <xf numFmtId="0" fontId="25" fillId="0" borderId="27" xfId="0" applyFont="1" applyBorder="1" applyNumberFormat="1">
      <alignment horizontal="center" vertical="center" wrapText="1"/>
    </xf>
    <xf numFmtId="0" fontId="19" fillId="0" borderId="12" xfId="0" applyFont="1" applyBorder="1" applyNumberFormat="1">
      <alignment horizontal="center" vertical="center" wrapText="1"/>
    </xf>
    <xf numFmtId="0" fontId="0" fillId="34" borderId="14" xfId="0" applyFont="1" applyFill="1" applyBorder="1" applyNumberFormat="1">
      <alignment horizontal="center" vertical="center" wrapText="1"/>
    </xf>
    <xf numFmtId="0" fontId="0" fillId="34" borderId="15" xfId="0" applyFont="1" applyFill="1" applyBorder="1" applyNumberFormat="1">
      <alignment horizontal="center" vertical="center" wrapText="1"/>
    </xf>
    <xf numFmtId="0" fontId="0" fillId="34" borderId="13" xfId="0" applyFont="1" applyFill="1" applyBorder="1" applyNumberFormat="1">
      <alignment horizontal="center" vertical="center" wrapText="1"/>
    </xf>
    <xf numFmtId="0" fontId="19" fillId="34" borderId="17" xfId="0" applyFont="1" applyFill="1" applyBorder="1" applyNumberFormat="1">
      <alignment horizontal="center" vertical="center" wrapText="1"/>
    </xf>
    <xf numFmtId="0" fontId="19" fillId="0" borderId="17" xfId="0" applyFont="1" applyBorder="1" applyNumberFormat="1">
      <alignment horizontal="center" vertical="center" wrapText="1"/>
    </xf>
    <xf numFmtId="0" fontId="36" fillId="0" borderId="17" xfId="0" applyFont="1" applyBorder="1" applyNumberFormat="1">
      <alignment horizontal="center" vertical="center" wrapText="1"/>
    </xf>
    <xf numFmtId="0" fontId="19" fillId="0" borderId="14" xfId="0" applyFont="1" applyBorder="1" applyNumberFormat="1">
      <alignment horizontal="center" vertical="center" wrapText="1"/>
    </xf>
    <xf numFmtId="0" fontId="19" fillId="0" borderId="13" xfId="0" applyFont="1" applyBorder="1" applyNumberFormat="1">
      <alignment horizontal="center" vertical="center" wrapText="1"/>
    </xf>
    <xf numFmtId="0" fontId="19" fillId="0" borderId="15" xfId="0" applyFont="1" applyBorder="1" applyNumberFormat="1">
      <alignment horizontal="center" vertical="center" wrapText="1"/>
    </xf>
    <xf numFmtId="0" fontId="19" fillId="34" borderId="36" xfId="0" applyFont="1" applyFill="1" applyBorder="1" applyNumberFormat="1">
      <alignment horizontal="center" vertical="center" wrapText="1"/>
    </xf>
    <xf numFmtId="0" fontId="19" fillId="0" borderId="23" xfId="0" applyFont="1" applyBorder="1" applyNumberFormat="1">
      <alignment horizontal="center" vertical="center" wrapText="1"/>
    </xf>
    <xf numFmtId="0" fontId="36"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19" fillId="34" borderId="23" xfId="0" applyFont="1" applyFill="1" applyBorder="1" applyNumberFormat="1">
      <alignment horizontal="center" vertical="center" wrapText="1"/>
    </xf>
    <xf numFmtId="0" fontId="70" fillId="34" borderId="19" xfId="0" applyFont="1" applyFill="1" applyBorder="1" applyNumberFormat="1">
      <alignment horizontal="center" vertical="center" wrapText="1"/>
    </xf>
    <xf numFmtId="49" fontId="37" fillId="0" borderId="0" xfId="0" applyFont="1" applyNumberFormat="1">
      <alignment vertical="center" wrapText="1"/>
    </xf>
    <xf numFmtId="174" fontId="0" fillId="38" borderId="17" xfId="0" applyFont="1" applyFill="1" applyBorder="1" applyNumberFormat="1">
      <alignment horizontal="center" vertical="center" wrapText="1"/>
      <protection locked="0"/>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0" fillId="0" borderId="0" xfId="0" applyFont="1" applyNumberFormat="1">
      <alignment vertical="top"/>
    </xf>
    <xf numFmtId="0" fontId="36" fillId="0" borderId="0" xfId="0" applyFont="1" applyNumberFormat="1">
      <alignment horizontal="left" vertical="center" indent="1"/>
    </xf>
    <xf numFmtId="0" fontId="36" fillId="0" borderId="14" xfId="0" applyFont="1" applyBorder="1" applyNumberFormat="1">
      <alignment horizontal="center" vertical="center"/>
    </xf>
    <xf numFmtId="0" fontId="36" fillId="0" borderId="12" xfId="0" applyFont="1" applyBorder="1" applyNumberFormat="1">
      <alignment horizontal="center" vertical="center"/>
    </xf>
    <xf numFmtId="0" fontId="36" fillId="0" borderId="0" xfId="0" applyFont="1" applyNumberFormat="1">
      <alignment horizontal="center" vertical="center"/>
    </xf>
    <xf numFmtId="0" fontId="36" fillId="0" borderId="0" xfId="0" applyFont="1" applyNumberFormat="1">
      <alignment horizontal="left" vertical="center" wrapText="1"/>
    </xf>
    <xf numFmtId="0" fontId="25" fillId="0" borderId="0" xfId="0" applyFont="1" applyNumberFormat="1">
      <alignment vertical="center" wrapText="1"/>
    </xf>
    <xf numFmtId="0" fontId="31" fillId="34" borderId="0" xfId="0" applyFont="1" applyFill="1" applyNumberFormat="1">
      <alignment horizontal="center" vertical="center" wrapText="1"/>
    </xf>
    <xf numFmtId="0" fontId="19" fillId="0" borderId="24" xfId="0" applyFont="1" applyBorder="1" applyNumberFormat="1">
      <alignment vertical="center" wrapText="1"/>
    </xf>
    <xf numFmtId="0" fontId="19" fillId="34" borderId="12" xfId="0" applyFont="1" applyFill="1" applyBorder="1" applyNumberFormat="1">
      <alignment horizontal="left" vertical="center" wrapText="1"/>
    </xf>
    <xf numFmtId="0" fontId="19" fillId="34" borderId="12" xfId="0" applyFont="1" applyFill="1" applyBorder="1" applyNumberFormat="1">
      <alignment horizontal="left" vertical="center" wrapText="1" indent="3"/>
    </xf>
    <xf numFmtId="0" fontId="19" fillId="0" borderId="12" xfId="0" applyFont="1" applyBorder="1" applyNumberFormat="1">
      <alignment horizontal="left" vertical="center" wrapText="1" indent="6"/>
    </xf>
    <xf numFmtId="0" fontId="34" fillId="0" borderId="12" xfId="0" applyFont="1" applyBorder="1" applyNumberFormat="1">
      <alignment vertical="top" wrapText="1"/>
    </xf>
    <xf numFmtId="0" fontId="37" fillId="0" borderId="0" xfId="0" applyFont="1" applyNumberFormat="1">
      <alignment vertical="center"/>
    </xf>
    <xf numFmtId="49" fontId="0" fillId="0" borderId="0" xfId="0" applyFont="1" applyNumberFormat="1">
      <alignment vertical="top"/>
    </xf>
    <xf numFmtId="0" fontId="36" fillId="0" borderId="12" xfId="0" applyFont="1" applyBorder="1" applyNumberFormat="1">
      <alignment horizontal="center" vertical="center" wrapText="1"/>
    </xf>
    <xf numFmtId="49" fontId="36" fillId="0" borderId="0" xfId="0" applyFont="1" applyNumberFormat="1">
      <alignment vertical="center" wrapText="1"/>
    </xf>
    <xf numFmtId="0" fontId="37" fillId="0" borderId="0" xfId="0" applyFont="1" applyNumberFormat="1">
      <alignment horizontal="center" vertical="center" wrapText="1"/>
    </xf>
    <xf numFmtId="0" fontId="37" fillId="0" borderId="24" xfId="0" applyFont="1" applyBorder="1" applyNumberFormat="1">
      <alignment horizontal="center" vertical="center" wrapText="1"/>
    </xf>
    <xf numFmtId="0" fontId="37" fillId="0" borderId="12" xfId="0" applyFont="1" applyBorder="1" applyNumberFormat="1">
      <alignment horizontal="left" vertical="center" wrapText="1"/>
    </xf>
    <xf numFmtId="0" fontId="37" fillId="0" borderId="12" xfId="0" applyFont="1" applyBorder="1" applyNumberFormat="1">
      <alignment horizontal="left" vertical="center" wrapText="1" indent="4"/>
    </xf>
    <xf numFmtId="0" fontId="37" fillId="0" borderId="12" xfId="0" applyFont="1" applyBorder="1" applyNumberFormat="1">
      <alignment horizontal="left" vertical="center" wrapText="1" indent="6"/>
    </xf>
    <xf numFmtId="0" fontId="37" fillId="0" borderId="12" xfId="0" applyFont="1" applyBorder="1" applyNumberFormat="1">
      <alignment vertical="top" wrapText="1"/>
    </xf>
    <xf numFmtId="49" fontId="0" fillId="0" borderId="0" xfId="0" applyFont="1" applyNumberFormat="1">
      <alignment vertical="top"/>
    </xf>
    <xf numFmtId="0" fontId="36" fillId="0" borderId="14" xfId="0" applyFont="1" applyBorder="1" applyNumberFormat="1">
      <alignment horizontal="center" vertical="center" wrapText="1"/>
    </xf>
    <xf numFmtId="0" fontId="37" fillId="0" borderId="24" xfId="0" applyFont="1" applyBorder="1" applyNumberFormat="1">
      <alignment vertical="center" wrapText="1"/>
    </xf>
    <xf numFmtId="0" fontId="19" fillId="34" borderId="12" xfId="0" applyFont="1" applyFill="1" applyBorder="1" applyNumberFormat="1">
      <alignment horizontal="left" vertical="center" wrapText="1" indent="5"/>
    </xf>
    <xf numFmtId="49" fontId="0" fillId="0" borderId="0" xfId="0" applyFont="1" applyNumberFormat="1">
      <alignment vertical="top"/>
    </xf>
    <xf numFmtId="0" fontId="19" fillId="39" borderId="12" xfId="0" applyFont="1" applyFill="1" applyBorder="1" applyNumberFormat="1">
      <alignment horizontal="left" vertical="center" wrapText="1" indent="6"/>
    </xf>
    <xf numFmtId="0" fontId="34" fillId="0" borderId="17" xfId="0" applyFont="1" applyBorder="1" applyNumberFormat="1">
      <alignment horizontal="left" vertical="top" wrapText="1"/>
    </xf>
    <xf numFmtId="49" fontId="0" fillId="0" borderId="0" xfId="0" applyFont="1" applyNumberFormat="1">
      <alignment vertical="top"/>
    </xf>
    <xf numFmtId="49" fontId="19" fillId="0" borderId="12" xfId="0" applyFont="1" applyBorder="1" applyNumberFormat="1">
      <alignment horizontal="left" vertical="center" wrapText="1"/>
    </xf>
    <xf numFmtId="0" fontId="34" fillId="0" borderId="36" xfId="0" applyFont="1" applyBorder="1" applyNumberFormat="1">
      <alignment horizontal="left" vertical="top"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0" fontId="34" fillId="0" borderId="23" xfId="0" applyFont="1" applyBorder="1" applyNumberFormat="1">
      <alignment horizontal="left" vertical="top"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19" fillId="0" borderId="0" xfId="0" applyFont="1" applyNumberFormat="1">
      <alignment vertical="top"/>
    </xf>
    <xf numFmtId="49" fontId="28" fillId="0" borderId="0" xfId="0" applyFont="1" applyNumberFormat="1">
      <alignment vertical="top"/>
    </xf>
    <xf numFmtId="49" fontId="19" fillId="0" borderId="24" xfId="0" applyFont="1" applyBorder="1" applyNumberFormat="1">
      <alignment vertical="top"/>
    </xf>
    <xf numFmtId="49" fontId="87" fillId="0" borderId="14" xfId="0" applyFont="1" applyBorder="1" applyNumberFormat="1">
      <alignment horizontal="left" vertical="center"/>
    </xf>
    <xf numFmtId="49" fontId="37" fillId="0" borderId="15" xfId="0" applyFont="1" applyBorder="1" applyNumberFormat="1">
      <alignment horizontal="left" vertical="center" indent="4"/>
    </xf>
    <xf numFmtId="49" fontId="37" fillId="0" borderId="13" xfId="0" applyFont="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19" fillId="0" borderId="0" xfId="0" applyFont="1" applyNumberFormat="1">
      <alignment horizontal="center" vertical="center" wrapText="1"/>
    </xf>
    <xf numFmtId="0" fontId="19" fillId="34" borderId="12" xfId="0" applyFont="1" applyFill="1" applyBorder="1" applyNumberFormat="1">
      <alignment horizontal="left" vertical="center" wrapText="1" indent="1"/>
    </xf>
    <xf numFmtId="49" fontId="0" fillId="0" borderId="0" xfId="0" applyFont="1" applyNumberFormat="1">
      <alignment vertical="top"/>
    </xf>
    <xf numFmtId="0" fontId="19" fillId="34" borderId="12" xfId="0" applyFont="1" applyFill="1" applyBorder="1" applyNumberFormat="1">
      <alignment horizontal="left" vertical="center" wrapText="1" indent="2"/>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37" fillId="0" borderId="0" xfId="0" applyFont="1" applyNumberFormat="1">
      <alignment horizontal="left" vertical="center" indent="1"/>
    </xf>
    <xf numFmtId="0" fontId="37" fillId="0" borderId="0" xfId="0" applyFont="1" applyNumberFormat="1">
      <alignment horizontal="center" vertical="center"/>
    </xf>
    <xf numFmtId="0" fontId="37" fillId="0" borderId="0" xfId="0" applyFont="1" applyNumberFormat="1">
      <alignment horizontal="left" vertical="center" wrapText="1"/>
    </xf>
    <xf numFmtId="49" fontId="37" fillId="0" borderId="0" xfId="0" applyFont="1" applyNumberFormat="1">
      <alignment vertical="top"/>
    </xf>
    <xf numFmtId="49" fontId="97" fillId="0" borderId="0" xfId="0" applyFont="1" applyNumberFormat="1">
      <alignment vertical="top"/>
    </xf>
    <xf numFmtId="49" fontId="87" fillId="0" borderId="19" xfId="0" applyFont="1" applyBorder="1" applyNumberFormat="1">
      <alignment horizontal="left" vertical="center"/>
    </xf>
    <xf numFmtId="49" fontId="37" fillId="0" borderId="19" xfId="0" applyFont="1" applyBorder="1" applyNumberFormat="1">
      <alignment horizontal="left" vertical="center" indent="3"/>
    </xf>
    <xf numFmtId="0" fontId="53" fillId="0" borderId="0" xfId="0" applyFont="1" applyNumberFormat="1">
      <alignment vertical="center" wrapText="1"/>
    </xf>
    <xf numFmtId="49" fontId="37" fillId="0" borderId="0" xfId="0" applyFont="1" applyNumberFormat="1">
      <alignment horizontal="left" vertical="center"/>
    </xf>
    <xf numFmtId="49" fontId="87" fillId="0" borderId="0" xfId="0" applyFont="1" applyNumberFormat="1">
      <alignment horizontal="left" vertical="center"/>
    </xf>
    <xf numFmtId="49" fontId="37" fillId="0" borderId="0" xfId="0" applyFont="1" applyNumberFormat="1">
      <alignment horizontal="left" vertical="center" indent="2"/>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19" fillId="0" borderId="0" xfId="0" applyFont="1" applyNumberFormat="1">
      <alignment vertical="center" wrapText="1"/>
    </xf>
    <xf numFmtId="0" fontId="19" fillId="0" borderId="12"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49" fontId="37" fillId="0" borderId="0" xfId="0" applyFont="1" applyNumberFormat="1">
      <alignment horizontal="left" vertical="center" indent="1"/>
    </xf>
    <xf numFmtId="0" fontId="19" fillId="0" borderId="0" xfId="0" applyFont="1" applyNumberFormat="1">
      <alignment horizontal="left" vertical="top" wrapText="1"/>
    </xf>
    <xf numFmtId="0" fontId="0" fillId="0" borderId="0" xfId="0" applyFont="1" applyNumberFormat="1">
      <alignment horizontal="left" vertical="top" wrapText="1"/>
    </xf>
    <xf numFmtId="0" fontId="36" fillId="0" borderId="0" xfId="0" applyFont="1" applyNumberFormat="1">
      <alignment vertical="top" wrapText="1"/>
    </xf>
    <xf numFmtId="0" fontId="19" fillId="0" borderId="19" xfId="0" applyFont="1" applyBorder="1" applyNumberFormat="1">
      <alignment horizontal="left" vertical="center" wrapText="1" indent="1"/>
    </xf>
    <xf numFmtId="0" fontId="19" fillId="0" borderId="12" xfId="0" applyFont="1" applyBorder="1" applyNumberFormat="1">
      <alignment horizontal="center" vertical="center"/>
    </xf>
    <xf numFmtId="0" fontId="19" fillId="0" borderId="0" xfId="0" applyFont="1" applyNumberFormat="1">
      <alignment horizontal="center" vertical="center"/>
    </xf>
    <xf numFmtId="0" fontId="19" fillId="0" borderId="0" xfId="0" applyFont="1" applyNumberFormat="1">
      <alignment horizontal="left" vertical="center" wrapText="1"/>
    </xf>
    <xf numFmtId="0" fontId="19" fillId="0" borderId="14" xfId="0" applyFont="1" applyBorder="1" applyNumberFormat="1">
      <alignment horizontal="center" vertical="center"/>
    </xf>
    <xf numFmtId="0" fontId="19" fillId="39" borderId="20" xfId="0" applyFont="1" applyFill="1" applyBorder="1" applyNumberFormat="1">
      <alignment horizontal="left" vertical="center" wrapText="1"/>
    </xf>
    <xf numFmtId="0" fontId="19" fillId="0" borderId="0" xfId="0" applyFont="1" applyNumberFormat="1">
      <alignment horizontal="center" vertical="center" wrapText="1"/>
    </xf>
    <xf numFmtId="172" fontId="19" fillId="35" borderId="14" xfId="0" applyFont="1" applyFill="1" applyBorder="1" applyNumberFormat="1">
      <alignment horizontal="right" vertical="center" wrapText="1"/>
      <protection locked="0"/>
    </xf>
    <xf numFmtId="4" fontId="19" fillId="35" borderId="13" xfId="0" applyFont="1" applyFill="1" applyBorder="1" applyNumberFormat="1">
      <alignment horizontal="right" vertical="center" wrapText="1"/>
      <protection locked="0"/>
    </xf>
    <xf numFmtId="0" fontId="34" fillId="0" borderId="17" xfId="0" applyFont="1" applyBorder="1" applyNumberFormat="1">
      <alignment vertical="top" wrapText="1"/>
    </xf>
    <xf numFmtId="0" fontId="19" fillId="35" borderId="12" xfId="0" applyFont="1" applyFill="1" applyBorder="1" applyNumberFormat="1">
      <alignment horizontal="left" vertical="center" wrapText="1" indent="7"/>
      <protection locked="0"/>
    </xf>
    <xf numFmtId="49" fontId="0" fillId="38" borderId="12" xfId="0" applyFont="1" applyFill="1" applyBorder="1" applyNumberFormat="1">
      <alignment horizontal="center" vertical="center" wrapText="1"/>
      <protection locked="0"/>
    </xf>
    <xf numFmtId="4" fontId="37" fillId="0" borderId="14" xfId="0" applyFont="1" applyBorder="1" applyNumberFormat="1">
      <alignment horizontal="center" vertical="center" wrapText="1"/>
    </xf>
    <xf numFmtId="4" fontId="19" fillId="0" borderId="13" xfId="0" applyFont="1" applyBorder="1" applyNumberFormat="1">
      <alignment horizontal="right" vertical="center" wrapText="1"/>
    </xf>
    <xf numFmtId="0" fontId="19" fillId="36" borderId="15" xfId="0" applyFont="1" applyFill="1" applyBorder="1" applyNumberFormat="1">
      <alignment horizontal="left" vertical="center" wrapText="1" indent="6"/>
    </xf>
    <xf numFmtId="4" fontId="19" fillId="36" borderId="15" xfId="0" applyFont="1" applyFill="1" applyBorder="1" applyNumberFormat="1">
      <alignment horizontal="right" vertical="center" wrapText="1"/>
    </xf>
    <xf numFmtId="4" fontId="37" fillId="36" borderId="15" xfId="0" applyFont="1" applyFill="1" applyBorder="1" applyNumberFormat="1">
      <alignment horizontal="center" vertical="center" wrapText="1"/>
    </xf>
    <xf numFmtId="4" fontId="19" fillId="36" borderId="13" xfId="0" applyFont="1" applyFill="1" applyBorder="1" applyNumberFormat="1">
      <alignment horizontal="right" vertical="center" wrapText="1"/>
    </xf>
    <xf numFmtId="49" fontId="19" fillId="36" borderId="27" xfId="0" applyFont="1" applyFill="1" applyBorder="1" applyNumberFormat="1">
      <alignment horizontal="center" vertical="center" wrapText="1"/>
    </xf>
    <xf numFmtId="0" fontId="63" fillId="0" borderId="0" xfId="0" applyFont="1" applyNumberFormat="1">
      <alignment horizontal="left" vertical="center" indent="1"/>
    </xf>
    <xf numFmtId="0" fontId="63" fillId="0" borderId="0" xfId="0" applyFont="1" applyNumberFormat="1">
      <alignment horizontal="center" vertical="center"/>
    </xf>
    <xf numFmtId="0" fontId="63" fillId="0" borderId="0" xfId="0" applyFont="1" applyNumberFormat="1">
      <alignment horizontal="left" vertical="center" wrapText="1"/>
    </xf>
    <xf numFmtId="0" fontId="63" fillId="0" borderId="0" xfId="0" applyFont="1" applyNumberFormat="1">
      <alignment vertical="center" wrapText="1"/>
    </xf>
    <xf numFmtId="49" fontId="63" fillId="0" borderId="0" xfId="0" applyFont="1" applyNumberFormat="1">
      <alignment horizontal="left" vertical="center"/>
    </xf>
    <xf numFmtId="0" fontId="19" fillId="0" borderId="0" xfId="0" applyFont="1" applyNumberFormat="1">
      <alignment horizontal="center" vertical="center" wrapText="1"/>
    </xf>
    <xf numFmtId="49" fontId="19" fillId="0" borderId="12" xfId="0" applyFont="1" applyBorder="1" applyNumberFormat="1">
      <alignment vertical="center" wrapText="1"/>
    </xf>
    <xf numFmtId="0" fontId="19" fillId="0" borderId="0" xfId="0" applyFont="1" applyNumberFormat="1">
      <alignment vertical="center"/>
    </xf>
    <xf numFmtId="0" fontId="19" fillId="0" borderId="0" xfId="0" applyFont="1" applyNumberFormat="1">
      <alignment horizontal="center" vertical="center"/>
    </xf>
    <xf numFmtId="0" fontId="19" fillId="0" borderId="12" xfId="0" applyFont="1" applyBorder="1" applyNumberFormat="1">
      <alignment horizontal="center" vertical="center" wrapText="1"/>
    </xf>
    <xf numFmtId="0" fontId="19" fillId="0" borderId="19" xfId="0" applyFont="1" applyBorder="1" applyNumberFormat="1">
      <alignment horizontal="center" vertical="center" wrapText="1"/>
    </xf>
    <xf numFmtId="0" fontId="19" fillId="0" borderId="20" xfId="0" applyFont="1" applyBorder="1" applyNumberFormat="1">
      <alignment horizontal="center" vertical="center" wrapText="1"/>
    </xf>
    <xf numFmtId="0" fontId="19"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19" fillId="0" borderId="27" xfId="0" applyFont="1" applyBorder="1" applyNumberFormat="1">
      <alignment horizontal="center" vertical="center" wrapText="1"/>
    </xf>
    <xf numFmtId="0" fontId="19"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19" fillId="0" borderId="12" xfId="0" applyFont="1" applyBorder="1" applyNumberFormat="1">
      <alignment horizontal="center" vertical="center"/>
    </xf>
    <xf numFmtId="0" fontId="63" fillId="0" borderId="0" xfId="0" applyFont="1" applyNumberFormat="1">
      <alignment horizontal="left" vertical="center" indent="1"/>
    </xf>
    <xf numFmtId="0" fontId="19" fillId="0" borderId="14" xfId="0" applyFont="1" applyBorder="1" applyNumberFormat="1">
      <alignment horizontal="center" vertical="center"/>
    </xf>
    <xf numFmtId="0" fontId="63" fillId="0" borderId="0" xfId="0" applyFont="1" applyNumberFormat="1">
      <alignment horizontal="center" vertical="center"/>
    </xf>
    <xf numFmtId="49" fontId="36" fillId="0" borderId="0" xfId="0" applyFont="1" applyNumberFormat="1">
      <alignment vertical="center" wrapText="1"/>
    </xf>
    <xf numFmtId="0" fontId="36" fillId="0" borderId="0" xfId="0" applyFont="1" applyNumberFormat="1">
      <alignment horizontal="center" vertical="center" wrapText="1"/>
    </xf>
    <xf numFmtId="0" fontId="46" fillId="34" borderId="0" xfId="0" applyFont="1" applyFill="1" applyNumberFormat="1">
      <alignment horizontal="center" vertical="center" wrapText="1"/>
    </xf>
    <xf numFmtId="0" fontId="46" fillId="0" borderId="0" xfId="0" applyFont="1" applyNumberFormat="1">
      <alignment vertical="center" wrapText="1"/>
    </xf>
    <xf numFmtId="0" fontId="37" fillId="0" borderId="12" xfId="0" applyFont="1" applyBorder="1" applyNumberFormat="1">
      <alignment horizontal="left" vertical="center" wrapText="1" indent="5"/>
    </xf>
    <xf numFmtId="0" fontId="37" fillId="0" borderId="24" xfId="0" applyFont="1" applyBorder="1" applyNumberFormat="1">
      <alignment horizontal="center" vertical="top" wrapText="1"/>
    </xf>
    <xf numFmtId="0" fontId="19" fillId="34" borderId="17" xfId="0" applyFont="1" applyFill="1" applyBorder="1" applyNumberFormat="1">
      <alignment horizontal="left" vertical="center" wrapText="1"/>
    </xf>
    <xf numFmtId="49" fontId="19" fillId="38" borderId="17" xfId="0" applyFont="1" applyFill="1" applyBorder="1" applyNumberFormat="1">
      <alignment horizontal="left" vertical="center" wrapText="1" indent="6"/>
      <protection locked="0"/>
    </xf>
    <xf numFmtId="0" fontId="25" fillId="0" borderId="12" xfId="0" applyFont="1" applyBorder="1" applyNumberFormat="1">
      <alignment horizontal="center" vertical="center" wrapText="1"/>
    </xf>
    <xf numFmtId="49" fontId="19" fillId="39" borderId="12" xfId="0" applyFont="1" applyFill="1" applyBorder="1" applyNumberFormat="1">
      <alignment horizontal="left" vertical="center" wrapText="1" indent="1"/>
    </xf>
    <xf numFmtId="0" fontId="19" fillId="0" borderId="12" xfId="0" applyFont="1" applyBorder="1" applyNumberFormat="1">
      <alignment horizontal="left" vertical="center" wrapText="1" indent="4"/>
    </xf>
    <xf numFmtId="49" fontId="19" fillId="34" borderId="12" xfId="0" applyFont="1" applyFill="1" applyBorder="1" applyNumberFormat="1">
      <alignment horizontal="center" vertical="center" wrapText="1"/>
    </xf>
    <xf numFmtId="0" fontId="19" fillId="39" borderId="12" xfId="0" applyFont="1" applyFill="1" applyBorder="1" applyNumberFormat="1">
      <alignment horizontal="left" vertical="center" wrapText="1" indent="1"/>
    </xf>
    <xf numFmtId="174" fontId="0" fillId="38" borderId="12" xfId="0" applyFont="1" applyFill="1" applyBorder="1" applyNumberFormat="1">
      <alignment horizontal="center" vertical="center" wrapText="1"/>
      <protection locked="0"/>
    </xf>
    <xf numFmtId="49" fontId="19" fillId="39" borderId="12" xfId="0" applyFont="1" applyFill="1" applyBorder="1" applyNumberFormat="1">
      <alignment horizontal="center" vertical="center" wrapText="1"/>
    </xf>
    <xf numFmtId="0" fontId="19" fillId="34" borderId="36" xfId="0" applyFont="1" applyFill="1" applyBorder="1" applyNumberFormat="1">
      <alignment horizontal="left" vertical="center" wrapText="1"/>
    </xf>
    <xf numFmtId="49" fontId="19" fillId="38" borderId="36" xfId="0" applyFont="1" applyFill="1" applyBorder="1" applyNumberFormat="1">
      <alignment horizontal="left" vertical="center" wrapText="1" indent="6"/>
      <protection locked="0"/>
    </xf>
    <xf numFmtId="172" fontId="19" fillId="36" borderId="13" xfId="0" applyFont="1" applyFill="1" applyBorder="1" applyNumberFormat="1">
      <alignment horizontal="right" vertical="center" wrapText="1"/>
    </xf>
    <xf numFmtId="49" fontId="29" fillId="36" borderId="14" xfId="0" applyFont="1" applyFill="1" applyBorder="1" applyNumberFormat="1">
      <alignment horizontal="left" vertical="center"/>
    </xf>
    <xf numFmtId="172" fontId="19" fillId="36" borderId="15" xfId="0" applyFont="1" applyFill="1" applyBorder="1" applyNumberFormat="1">
      <alignment horizontal="right" vertical="center" wrapText="1"/>
    </xf>
    <xf numFmtId="4" fontId="19" fillId="0" borderId="36" xfId="0" applyFont="1" applyBorder="1" applyNumberFormat="1">
      <alignment horizontal="right" vertical="center" wrapText="1"/>
    </xf>
    <xf numFmtId="49" fontId="29" fillId="36" borderId="14" xfId="0" applyFont="1" applyFill="1" applyBorder="1" applyNumberFormat="1">
      <alignment horizontal="left" vertical="center" indent="1"/>
    </xf>
    <xf numFmtId="0" fontId="19" fillId="34" borderId="23" xfId="0" applyFont="1" applyFill="1" applyBorder="1" applyNumberFormat="1">
      <alignment horizontal="left" vertical="center" wrapText="1"/>
    </xf>
    <xf numFmtId="49" fontId="19" fillId="38" borderId="23" xfId="0" applyFont="1" applyFill="1" applyBorder="1" applyNumberFormat="1">
      <alignment horizontal="left" vertical="center" wrapText="1" indent="6"/>
      <protection locked="0"/>
    </xf>
    <xf numFmtId="4" fontId="37" fillId="36" borderId="13" xfId="0" applyFont="1" applyFill="1" applyBorder="1" applyNumberFormat="1">
      <alignment horizontal="center" vertical="center" wrapText="1"/>
    </xf>
    <xf numFmtId="49" fontId="29" fillId="36" borderId="14" xfId="0" applyFont="1" applyFill="1" applyBorder="1" applyNumberFormat="1">
      <alignment vertical="center" wrapText="1"/>
    </xf>
    <xf numFmtId="49" fontId="29" fillId="36" borderId="15" xfId="0" applyFont="1" applyFill="1" applyBorder="1" applyNumberFormat="1">
      <alignment vertical="center" wrapText="1"/>
    </xf>
    <xf numFmtId="49" fontId="37" fillId="0" borderId="24" xfId="0" applyFont="1" applyBorder="1" applyNumberFormat="1">
      <alignment vertical="top"/>
    </xf>
    <xf numFmtId="0" fontId="101" fillId="0" borderId="0" xfId="0" applyFont="1" applyNumberFormat="1">
      <alignment horizontal="center" vertical="center" wrapText="1"/>
    </xf>
    <xf numFmtId="49" fontId="37" fillId="0" borderId="0" xfId="0" applyFont="1" applyNumberFormat="1">
      <alignment horizontal="center" vertical="center" wrapText="1"/>
    </xf>
    <xf numFmtId="49" fontId="37" fillId="0" borderId="0" xfId="0" applyFont="1" applyNumberFormat="1">
      <alignment horizontal="left" vertical="center" wrapText="1" indent="1"/>
    </xf>
    <xf numFmtId="0" fontId="37" fillId="0" borderId="0" xfId="0" applyFont="1" applyNumberFormat="1">
      <alignment horizontal="left" vertical="center" wrapText="1" indent="4"/>
    </xf>
    <xf numFmtId="0" fontId="37" fillId="0" borderId="24" xfId="0" applyFont="1" applyBorder="1" applyNumberFormat="1">
      <alignment horizontal="left" vertical="center" wrapText="1" indent="1"/>
    </xf>
    <xf numFmtId="4" fontId="37" fillId="0" borderId="12" xfId="0" applyFont="1" applyBorder="1" applyNumberFormat="1">
      <alignment horizontal="right" vertical="center" wrapText="1"/>
    </xf>
    <xf numFmtId="172" fontId="37" fillId="0" borderId="12" xfId="0" applyFont="1" applyBorder="1" applyNumberFormat="1">
      <alignment horizontal="right" vertical="center" wrapText="1"/>
    </xf>
    <xf numFmtId="174" fontId="37" fillId="0" borderId="12" xfId="0" applyFont="1" applyBorder="1" applyNumberFormat="1">
      <alignment horizontal="center" vertical="center" wrapText="1"/>
    </xf>
    <xf numFmtId="49" fontId="37" fillId="0" borderId="12" xfId="0" applyFont="1" applyBorder="1" applyNumberFormat="1">
      <alignment horizontal="center" vertical="center" wrapText="1"/>
    </xf>
    <xf numFmtId="0" fontId="36" fillId="0" borderId="0" xfId="0" applyFont="1" applyNumberFormat="1">
      <alignment horizontal="left" vertical="center"/>
    </xf>
    <xf numFmtId="49" fontId="36" fillId="0" borderId="0" xfId="0" applyFont="1" applyNumberFormat="1">
      <alignment horizontal="left" vertical="center"/>
    </xf>
    <xf numFmtId="0" fontId="36" fillId="0" borderId="0" xfId="0" applyFont="1" applyNumberFormat="1">
      <alignment horizontal="left" vertical="center"/>
    </xf>
    <xf numFmtId="0" fontId="59" fillId="0" borderId="0" xfId="0" applyFont="1" applyNumberFormat="1">
      <alignment horizontal="left" vertical="center"/>
    </xf>
    <xf numFmtId="0" fontId="37" fillId="0" borderId="0" xfId="0" applyFont="1" applyNumberFormat="1">
      <alignment horizontal="left" vertical="center"/>
    </xf>
    <xf numFmtId="0" fontId="59" fillId="34" borderId="0" xfId="0" applyFont="1" applyFill="1" applyNumberFormat="1">
      <alignment vertical="center" wrapText="1"/>
    </xf>
    <xf numFmtId="0" fontId="19" fillId="34" borderId="37" xfId="0" applyFont="1" applyFill="1" applyBorder="1" applyNumberFormat="1">
      <alignment horizontal="center" vertical="center" wrapText="1"/>
    </xf>
    <xf numFmtId="0" fontId="0" fillId="34" borderId="37" xfId="0" applyFont="1" applyFill="1" applyBorder="1" applyNumberFormat="1">
      <alignment horizontal="center" vertical="center" wrapText="1"/>
    </xf>
    <xf numFmtId="0" fontId="0" fillId="34" borderId="20" xfId="0" applyFont="1" applyFill="1" applyBorder="1" applyNumberFormat="1">
      <alignment horizontal="center" vertical="center" wrapText="1"/>
    </xf>
    <xf numFmtId="0" fontId="19" fillId="34" borderId="22" xfId="0" applyFont="1" applyFill="1" applyBorder="1" applyNumberFormat="1">
      <alignment horizontal="center" vertical="center" wrapText="1"/>
    </xf>
    <xf numFmtId="0" fontId="0" fillId="34" borderId="22" xfId="0" applyFont="1" applyFill="1" applyBorder="1" applyNumberFormat="1">
      <alignment horizontal="center" vertical="center" wrapText="1"/>
    </xf>
    <xf numFmtId="0" fontId="0" fillId="34" borderId="0" xfId="0" applyFont="1" applyFill="1" applyNumberFormat="1">
      <alignment horizontal="center" vertical="center" wrapText="1"/>
    </xf>
    <xf numFmtId="0" fontId="0" fillId="34" borderId="24" xfId="0" applyFont="1" applyFill="1" applyBorder="1" applyNumberFormat="1">
      <alignment horizontal="center" vertical="center" wrapText="1"/>
    </xf>
    <xf numFmtId="0" fontId="19" fillId="38" borderId="12" xfId="0" applyFont="1" applyFill="1" applyBorder="1" applyNumberFormat="1">
      <alignment horizontal="center" vertical="center" wrapText="1"/>
      <protection locked="0"/>
    </xf>
    <xf numFmtId="0" fontId="19" fillId="34" borderId="12" xfId="0" applyFont="1" applyFill="1" applyBorder="1" applyNumberFormat="1">
      <alignment horizontal="center" vertical="center" wrapText="1"/>
    </xf>
    <xf numFmtId="0" fontId="19" fillId="34" borderId="30" xfId="0" applyFont="1" applyFill="1" applyBorder="1" applyNumberFormat="1">
      <alignment horizontal="center" vertical="center" wrapText="1"/>
    </xf>
    <xf numFmtId="0" fontId="0" fillId="34" borderId="30" xfId="0" applyFont="1" applyFill="1" applyBorder="1" applyNumberFormat="1">
      <alignment horizontal="center" vertical="center" wrapText="1"/>
    </xf>
    <xf numFmtId="0" fontId="0" fillId="34" borderId="27" xfId="0" applyFont="1" applyFill="1" applyBorder="1" applyNumberFormat="1">
      <alignment horizontal="center" vertical="center" wrapText="1"/>
    </xf>
    <xf numFmtId="0" fontId="0" fillId="34" borderId="29" xfId="0" applyFont="1" applyFill="1" applyBorder="1" applyNumberFormat="1">
      <alignment horizontal="center" vertical="center" wrapText="1"/>
    </xf>
    <xf numFmtId="0" fontId="19" fillId="34" borderId="23" xfId="0" applyFont="1" applyFill="1" applyBorder="1" applyNumberFormat="1">
      <alignment horizontal="center" vertical="center" wrapText="1"/>
    </xf>
    <xf numFmtId="49" fontId="19" fillId="0" borderId="12" xfId="0" applyFont="1" applyBorder="1" applyNumberFormat="1">
      <alignment horizontal="left" vertical="center" wrapText="1" indent="1"/>
    </xf>
    <xf numFmtId="0" fontId="19" fillId="0" borderId="12" xfId="0" applyFont="1" applyBorder="1" applyNumberFormat="1">
      <alignment horizontal="left" vertical="center" wrapText="1" indent="1"/>
    </xf>
    <xf numFmtId="49" fontId="19" fillId="36" borderId="14" xfId="0" applyFont="1" applyFill="1" applyBorder="1" applyNumberFormat="1">
      <alignment horizontal="center" vertical="center" wrapText="1"/>
    </xf>
    <xf numFmtId="49" fontId="63" fillId="0" borderId="24" xfId="0" applyFont="1" applyBorder="1" applyNumberFormat="1">
      <alignment vertical="top"/>
    </xf>
    <xf numFmtId="0" fontId="19" fillId="0" borderId="0" xfId="0" applyFont="1" applyNumberFormat="1">
      <alignment horizontal="left" vertical="top" wrapText="1"/>
    </xf>
    <xf numFmtId="0" fontId="19" fillId="34" borderId="12" xfId="0" applyFont="1" applyFill="1" applyBorder="1" applyNumberFormat="1">
      <alignment horizontal="left"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0" fontId="19" fillId="35" borderId="14" xfId="0" applyFont="1" applyFill="1" applyBorder="1" applyNumberFormat="1">
      <alignment horizontal="left" vertical="center" wrapText="1"/>
      <protection locked="0"/>
    </xf>
    <xf numFmtId="0" fontId="19" fillId="35" borderId="15" xfId="0" applyFont="1" applyFill="1" applyBorder="1" applyNumberFormat="1">
      <alignment horizontal="left" vertical="center" wrapText="1"/>
      <protection locked="0"/>
    </xf>
    <xf numFmtId="0" fontId="19" fillId="35" borderId="13" xfId="0" applyFont="1" applyFill="1" applyBorder="1" applyNumberFormat="1">
      <alignment horizontal="left" vertical="center" wrapText="1"/>
      <protection locked="0"/>
    </xf>
    <xf numFmtId="49" fontId="19" fillId="35" borderId="14" xfId="0" applyFont="1" applyFill="1" applyBorder="1" applyNumberFormat="1">
      <alignment horizontal="left" vertical="center" wrapText="1"/>
      <protection locked="0"/>
    </xf>
    <xf numFmtId="49" fontId="19" fillId="35" borderId="15" xfId="0" applyFont="1" applyFill="1" applyBorder="1" applyNumberFormat="1">
      <alignment horizontal="left" vertical="center" wrapText="1"/>
      <protection locked="0"/>
    </xf>
    <xf numFmtId="49" fontId="19" fillId="35" borderId="13" xfId="0" applyFont="1" applyFill="1" applyBorder="1" applyNumberFormat="1">
      <alignment horizontal="left" vertical="center" wrapText="1"/>
      <protection locked="0"/>
    </xf>
    <xf numFmtId="49" fontId="19" fillId="35" borderId="12" xfId="0" applyFont="1" applyFill="1" applyBorder="1" applyNumberFormat="1">
      <alignment horizontal="left" vertical="center" wrapText="1" indent="6"/>
      <protection locked="0"/>
    </xf>
    <xf numFmtId="4" fontId="19" fillId="0" borderId="37" xfId="0" applyFont="1" applyBorder="1" applyNumberFormat="1">
      <alignment horizontal="right" vertical="center" wrapText="1"/>
    </xf>
    <xf numFmtId="0" fontId="34" fillId="0" borderId="12" xfId="0" applyFont="1" applyBorder="1" applyNumberFormat="1">
      <alignment horizontal="left" vertical="top" wrapText="1"/>
    </xf>
    <xf numFmtId="49" fontId="19" fillId="0" borderId="12" xfId="0" applyFont="1" applyBorder="1" applyNumberFormat="1">
      <alignment horizontal="left" vertical="center" wrapText="1"/>
    </xf>
    <xf numFmtId="4" fontId="19" fillId="0" borderId="30" xfId="0" applyFont="1" applyBorder="1" applyNumberFormat="1">
      <alignment horizontal="right" vertical="center" wrapText="1"/>
    </xf>
    <xf numFmtId="49" fontId="0" fillId="36" borderId="29" xfId="0" applyFont="1" applyFill="1" applyBorder="1" applyNumberFormat="1">
      <alignment horizontal="center" vertical="center" wrapText="1"/>
    </xf>
    <xf numFmtId="49" fontId="29" fillId="36" borderId="15" xfId="0" applyFont="1" applyFill="1" applyBorder="1" applyNumberFormat="1">
      <alignment horizontal="left" vertical="center" indent="3"/>
    </xf>
    <xf numFmtId="0" fontId="37" fillId="0" borderId="0" xfId="0" applyFont="1" applyNumberFormat="1">
      <alignment horizontal="center" vertical="center"/>
    </xf>
    <xf numFmtId="0" fontId="36" fillId="0" borderId="0" xfId="0" applyFont="1" applyNumberFormat="1">
      <alignment horizontal="center" vertical="center" wrapText="1"/>
    </xf>
    <xf numFmtId="0" fontId="100" fillId="0" borderId="0" xfId="0" applyFont="1" applyNumberFormat="1">
      <alignment vertical="center" wrapText="1"/>
    </xf>
    <xf numFmtId="0" fontId="19" fillId="0" borderId="0" xfId="0" applyFont="1" applyNumberFormat="1">
      <alignment horizontal="right" vertical="center" wrapText="1"/>
    </xf>
    <xf numFmtId="0" fontId="19"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70" fillId="34" borderId="19" xfId="0" applyFont="1" applyFill="1" applyBorder="1" applyNumberFormat="1">
      <alignment horizontal="center" vertical="center" wrapText="1"/>
    </xf>
    <xf numFmtId="0" fontId="19" fillId="34" borderId="12" xfId="0" applyFont="1" applyFill="1" applyBorder="1" applyNumberFormat="1">
      <alignment horizontal="left"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49" fontId="19" fillId="0" borderId="12" xfId="0" applyFont="1" applyBorder="1" applyNumberFormat="1">
      <alignment horizontal="left" vertical="center" wrapText="1"/>
    </xf>
    <xf numFmtId="49" fontId="19" fillId="0" borderId="0" xfId="0" applyFont="1" applyNumberFormat="1">
      <alignment vertical="center" wrapText="1"/>
    </xf>
    <xf numFmtId="0" fontId="19" fillId="34" borderId="12" xfId="0" applyFont="1" applyFill="1" applyBorder="1" applyNumberFormat="1">
      <alignment horizontal="left"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49" fontId="19" fillId="0" borderId="12" xfId="0" applyFont="1" applyBorder="1" applyNumberFormat="1">
      <alignment horizontal="left" vertical="center" wrapText="1"/>
    </xf>
    <xf numFmtId="0" fontId="37" fillId="0" borderId="0" xfId="0" applyFont="1" applyNumberFormat="1">
      <alignment horizontal="center" vertical="center"/>
    </xf>
    <xf numFmtId="0" fontId="36" fillId="0" borderId="0" xfId="0" applyFont="1" applyNumberFormat="1">
      <alignment horizontal="center" vertical="center" wrapText="1"/>
    </xf>
    <xf numFmtId="0" fontId="19" fillId="0" borderId="0" xfId="0" applyFont="1" applyNumberFormat="1">
      <alignment horizontal="right" vertical="center" wrapText="1"/>
    </xf>
    <xf numFmtId="0" fontId="19"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70" fillId="34" borderId="19" xfId="0" applyFont="1" applyFill="1" applyBorder="1" applyNumberFormat="1">
      <alignment horizontal="center" vertical="center" wrapText="1"/>
    </xf>
    <xf numFmtId="49" fontId="19" fillId="0" borderId="0" xfId="0" applyFont="1" applyNumberFormat="1">
      <alignment vertical="center" wrapText="1"/>
    </xf>
    <xf numFmtId="0" fontId="19" fillId="34" borderId="12" xfId="0" applyFont="1" applyFill="1" applyBorder="1" applyNumberFormat="1">
      <alignment horizontal="left" vertical="center" wrapText="1"/>
    </xf>
    <xf numFmtId="0" fontId="101" fillId="0" borderId="0" xfId="0" applyFont="1" applyNumberFormat="1">
      <alignment vertical="center" wrapText="1"/>
    </xf>
    <xf numFmtId="0" fontId="101" fillId="34" borderId="0" xfId="0" applyFont="1" applyFill="1" applyNumberFormat="1">
      <alignment horizontal="center" vertical="center" wrapText="1"/>
    </xf>
    <xf numFmtId="0" fontId="37" fillId="34" borderId="12" xfId="0" applyFont="1" applyFill="1" applyBorder="1" applyNumberFormat="1">
      <alignment horizontal="left" vertical="center" wrapText="1" indent="3"/>
    </xf>
    <xf numFmtId="0" fontId="37" fillId="0" borderId="0" xfId="0" applyFont="1" applyNumberFormat="1">
      <alignment horizontal="center" vertical="center" wrapText="1"/>
    </xf>
    <xf numFmtId="49" fontId="19" fillId="35" borderId="17" xfId="0" applyFont="1" applyFill="1" applyBorder="1" applyNumberFormat="1">
      <alignment horizontal="left" vertical="center" wrapText="1" indent="6"/>
      <protection locked="0"/>
    </xf>
    <xf numFmtId="4" fontId="19" fillId="38" borderId="12" xfId="0" applyFont="1" applyFill="1" applyBorder="1" applyNumberFormat="1">
      <alignment horizontal="left" vertical="center" wrapText="1" indent="1"/>
      <protection locked="0"/>
    </xf>
    <xf numFmtId="49" fontId="19" fillId="39" borderId="12" xfId="0" applyFont="1" applyFill="1" applyBorder="1" applyNumberFormat="1">
      <alignment horizontal="left" vertical="center" wrapText="1" indent="1"/>
      <protection locked="0"/>
    </xf>
    <xf numFmtId="4" fontId="19" fillId="38" borderId="12" xfId="0" applyFont="1" applyFill="1" applyBorder="1" applyNumberFormat="1">
      <alignment horizontal="center" vertical="center" wrapText="1"/>
      <protection locked="0"/>
    </xf>
    <xf numFmtId="49" fontId="19" fillId="39" borderId="20" xfId="0" applyFont="1" applyFill="1" applyBorder="1" applyNumberFormat="1">
      <alignment horizontal="center" vertical="center" wrapText="1"/>
    </xf>
    <xf numFmtId="49" fontId="19" fillId="34" borderId="12" xfId="0" applyFont="1" applyFill="1" applyBorder="1" applyNumberFormat="1">
      <alignment horizontal="center" vertical="center" wrapText="1"/>
    </xf>
    <xf numFmtId="49" fontId="19" fillId="38" borderId="12" xfId="0" applyFont="1" applyFill="1" applyBorder="1" applyNumberFormat="1">
      <alignment horizontal="left" vertical="center" wrapText="1" indent="1"/>
      <protection locked="0"/>
    </xf>
    <xf numFmtId="49" fontId="19" fillId="35" borderId="36" xfId="0" applyFont="1" applyFill="1" applyBorder="1" applyNumberFormat="1">
      <alignment horizontal="left" vertical="center" wrapText="1" indent="6"/>
      <protection locked="0"/>
    </xf>
    <xf numFmtId="49" fontId="19" fillId="39" borderId="29" xfId="0" applyFont="1" applyFill="1" applyBorder="1" applyNumberFormat="1">
      <alignment horizontal="center" vertical="center" wrapText="1"/>
    </xf>
    <xf numFmtId="49" fontId="29" fillId="36" borderId="27" xfId="0" applyFont="1" applyFill="1" applyBorder="1" applyNumberFormat="1">
      <alignment horizontal="left" vertical="center"/>
    </xf>
    <xf numFmtId="49" fontId="19" fillId="35" borderId="23" xfId="0" applyFont="1" applyFill="1" applyBorder="1" applyNumberFormat="1">
      <alignment horizontal="left" vertical="center" wrapText="1" indent="6"/>
      <protection locked="0"/>
    </xf>
    <xf numFmtId="0" fontId="37" fillId="0" borderId="0" xfId="0" applyFont="1" applyNumberFormat="1">
      <alignment horizontal="center" vertical="center"/>
    </xf>
    <xf numFmtId="0" fontId="37" fillId="0" borderId="0" xfId="0" applyFont="1" applyNumberFormat="1">
      <alignment horizontal="left" vertical="center" wrapText="1" indent="1"/>
    </xf>
    <xf numFmtId="0" fontId="19" fillId="34" borderId="12" xfId="0" applyFont="1" applyFill="1" applyBorder="1" applyNumberFormat="1">
      <alignment horizontal="center" vertical="center" wrapText="1"/>
    </xf>
    <xf numFmtId="0" fontId="37" fillId="0" borderId="19" xfId="0" applyFont="1" applyBorder="1" applyNumberFormat="1">
      <alignment horizontal="left" vertical="center" wrapText="1"/>
    </xf>
    <xf numFmtId="0" fontId="19" fillId="0" borderId="0" xfId="0" applyFont="1" applyNumberFormat="1">
      <alignment horizontal="left" vertical="top" wrapText="1"/>
    </xf>
    <xf numFmtId="0" fontId="36" fillId="0" borderId="0" xfId="0" applyFont="1" applyNumberFormat="1">
      <alignment horizontal="center" vertical="center" wrapText="1"/>
    </xf>
    <xf numFmtId="0" fontId="19" fillId="34" borderId="12" xfId="0" applyFont="1" applyFill="1" applyBorder="1" applyNumberFormat="1">
      <alignment horizontal="left"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49" fontId="19" fillId="0" borderId="12" xfId="0" applyFont="1" applyBorder="1" applyNumberFormat="1">
      <alignment horizontal="left" vertical="center" wrapText="1"/>
    </xf>
    <xf numFmtId="0" fontId="37" fillId="0" borderId="0" xfId="0" applyFont="1" applyNumberFormat="1">
      <alignment horizontal="center" vertical="center"/>
    </xf>
    <xf numFmtId="0" fontId="36" fillId="0" borderId="0" xfId="0" applyFont="1" applyNumberFormat="1">
      <alignment horizontal="center" vertical="center" wrapText="1"/>
    </xf>
    <xf numFmtId="0" fontId="19" fillId="0" borderId="0" xfId="0" applyFont="1" applyNumberFormat="1">
      <alignment horizontal="right" vertical="center" wrapText="1"/>
    </xf>
    <xf numFmtId="0" fontId="19"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70" fillId="34" borderId="19" xfId="0" applyFont="1" applyFill="1" applyBorder="1" applyNumberFormat="1">
      <alignment horizontal="center" vertical="center" wrapText="1"/>
    </xf>
    <xf numFmtId="49" fontId="19" fillId="0" borderId="0" xfId="0" applyFont="1" applyNumberFormat="1">
      <alignment vertical="center" wrapText="1"/>
    </xf>
    <xf numFmtId="49" fontId="19" fillId="39" borderId="12" xfId="0" applyFont="1" applyFill="1" applyBorder="1" applyNumberFormat="1">
      <alignment horizontal="center" vertical="center" wrapText="1"/>
    </xf>
    <xf numFmtId="49" fontId="19" fillId="34" borderId="12" xfId="0" applyFont="1" applyFill="1" applyBorder="1" applyNumberFormat="1">
      <alignment horizontal="center" vertical="center" wrapText="1"/>
    </xf>
    <xf numFmtId="49" fontId="19" fillId="38" borderId="12" xfId="0" applyFont="1" applyFill="1" applyBorder="1" applyNumberFormat="1">
      <alignment horizontal="left" vertical="center" wrapText="1" indent="1"/>
      <protection locked="0"/>
    </xf>
    <xf numFmtId="49" fontId="37" fillId="0" borderId="12" xfId="0" applyFont="1" applyBorder="1" applyNumberFormat="1">
      <alignment horizontal="center" vertical="center" wrapText="1"/>
    </xf>
    <xf numFmtId="0" fontId="19" fillId="34" borderId="12" xfId="0" applyFont="1" applyFill="1" applyBorder="1" applyNumberFormat="1">
      <alignment horizontal="center" vertical="center" wrapText="1"/>
    </xf>
    <xf numFmtId="0" fontId="19" fillId="0" borderId="0" xfId="0" applyFont="1" applyNumberFormat="1">
      <alignment horizontal="left" vertical="top" wrapText="1"/>
    </xf>
    <xf numFmtId="49" fontId="37" fillId="0" borderId="0" xfId="0" applyFont="1" applyNumberFormat="1">
      <alignment horizontal="center" vertical="center" wrapText="1"/>
    </xf>
    <xf numFmtId="49" fontId="19" fillId="0" borderId="0" xfId="0" applyFont="1" applyNumberFormat="1">
      <alignment horizontal="center" vertical="center" wrapText="1"/>
    </xf>
    <xf numFmtId="0" fontId="19" fillId="0" borderId="28" xfId="0" applyFont="1" applyBorder="1" applyNumberFormat="1">
      <alignment horizontal="center" vertical="center" wrapText="1"/>
    </xf>
    <xf numFmtId="0" fontId="19" fillId="38" borderId="12" xfId="0" applyFont="1" applyFill="1" applyBorder="1" applyNumberFormat="1">
      <alignment horizontal="left" vertical="center" wrapText="1" indent="2"/>
      <protection locked="0"/>
    </xf>
    <xf numFmtId="0" fontId="19" fillId="0" borderId="12" xfId="0" applyFont="1" applyBorder="1" applyNumberFormat="1">
      <alignment horizontal="center" vertical="center" wrapText="1"/>
    </xf>
    <xf numFmtId="0" fontId="19" fillId="0" borderId="12" xfId="0" applyFont="1" applyBorder="1" applyNumberFormat="1">
      <alignment vertical="center" wrapText="1"/>
    </xf>
    <xf numFmtId="0" fontId="74" fillId="0" borderId="0" xfId="0" applyFont="1" applyNumberFormat="1">
      <alignment vertical="center" wrapText="1"/>
    </xf>
    <xf numFmtId="0" fontId="37" fillId="0" borderId="28" xfId="0" applyFont="1" applyBorder="1" applyNumberFormat="1">
      <alignment horizontal="center" vertical="center" wrapText="1"/>
    </xf>
    <xf numFmtId="0" fontId="37" fillId="0" borderId="12" xfId="0" applyFont="1" applyBorder="1" applyNumberFormat="1">
      <alignment horizontal="left" vertical="center" wrapText="1" indent="2"/>
    </xf>
    <xf numFmtId="0" fontId="37" fillId="0" borderId="12" xfId="0" applyFont="1" applyBorder="1" applyNumberFormat="1">
      <alignment horizontal="center" vertical="center" wrapText="1"/>
    </xf>
    <xf numFmtId="0" fontId="37" fillId="0" borderId="12" xfId="0" applyFont="1" applyBorder="1" applyNumberFormat="1">
      <alignment vertical="center" wrapText="1"/>
    </xf>
    <xf numFmtId="0" fontId="19" fillId="0" borderId="12" xfId="0" applyFont="1" applyBorder="1" applyNumberFormat="1">
      <alignment horizontal="left" vertical="center" wrapText="1" indent="3"/>
    </xf>
    <xf numFmtId="49" fontId="19" fillId="38" borderId="12" xfId="0" applyFont="1" applyFill="1" applyBorder="1" applyNumberFormat="1">
      <alignment horizontal="center" vertical="center" wrapText="1"/>
      <protection locked="0"/>
    </xf>
    <xf numFmtId="4" fontId="19" fillId="35" borderId="12" xfId="0" applyFont="1" applyFill="1" applyBorder="1" applyNumberFormat="1">
      <alignment horizontal="right" vertical="center" wrapText="1"/>
      <protection locked="0"/>
    </xf>
    <xf numFmtId="0" fontId="19" fillId="35" borderId="12" xfId="0" applyFont="1" applyFill="1" applyBorder="1" applyNumberFormat="1">
      <alignment horizontal="left" vertical="center" wrapText="1"/>
      <protection locked="0"/>
    </xf>
    <xf numFmtId="49" fontId="81" fillId="0" borderId="0" xfId="0" applyFont="1" applyNumberFormat="1">
      <alignment horizontal="center" vertical="center" wrapText="1"/>
    </xf>
    <xf numFmtId="49" fontId="19" fillId="0" borderId="0" xfId="0" applyFont="1" applyNumberFormat="1">
      <alignment horizontal="center" vertical="top" wrapText="1"/>
    </xf>
    <xf numFmtId="0" fontId="19" fillId="0" borderId="12" xfId="0" applyFont="1" applyBorder="1" applyNumberFormat="1">
      <alignment horizontal="center" vertical="center" wrapText="1"/>
    </xf>
    <xf numFmtId="0" fontId="19" fillId="0" borderId="13" xfId="0" applyFont="1" applyBorder="1" applyNumberFormat="1">
      <alignment vertical="top" wrapText="1"/>
    </xf>
    <xf numFmtId="0" fontId="44" fillId="0" borderId="0" xfId="0" applyFont="1" applyNumberFormat="1">
      <alignment vertical="center" wrapText="1"/>
    </xf>
    <xf numFmtId="0" fontId="19" fillId="0" borderId="13" xfId="0" applyFont="1" applyBorder="1" applyNumberFormat="1">
      <alignment horizontal="center" vertical="center" wrapText="1"/>
    </xf>
    <xf numFmtId="173" fontId="19" fillId="35" borderId="12" xfId="0" applyFont="1" applyFill="1" applyBorder="1" applyNumberFormat="1">
      <alignment horizontal="right" vertical="center" wrapText="1"/>
      <protection locked="0"/>
    </xf>
    <xf numFmtId="0" fontId="19" fillId="0" borderId="20" xfId="0" applyFont="1" applyBorder="1" applyNumberFormat="1">
      <alignment vertical="center" wrapText="1"/>
    </xf>
    <xf numFmtId="0" fontId="20" fillId="0" borderId="0" xfId="0" applyFont="1" applyNumberFormat="1">
      <alignment vertical="center" wrapText="1"/>
    </xf>
    <xf numFmtId="0" fontId="35" fillId="0" borderId="0" xfId="0" applyFont="1" applyNumberFormat="1">
      <alignment vertical="center" wrapText="1"/>
    </xf>
    <xf numFmtId="0" fontId="19" fillId="0" borderId="0" xfId="0" applyFont="1" applyNumberFormat="1">
      <alignment horizontal="left" vertical="center" wrapText="1" indent="3"/>
    </xf>
    <xf numFmtId="0" fontId="37" fillId="0" borderId="0" xfId="0" applyFont="1" applyNumberFormat="1">
      <alignment vertical="center" wrapText="1"/>
    </xf>
    <xf numFmtId="0" fontId="87" fillId="34" borderId="0" xfId="0" applyFont="1" applyFill="1" applyNumberFormat="1">
      <alignment horizontal="right" vertical="center"/>
    </xf>
    <xf numFmtId="0" fontId="19" fillId="0" borderId="14" xfId="0" applyFont="1" applyBorder="1" applyNumberFormat="1">
      <alignment vertical="center" wrapText="1"/>
    </xf>
    <xf numFmtId="0" fontId="19" fillId="0" borderId="15" xfId="0" applyFont="1" applyBorder="1" applyNumberFormat="1">
      <alignment horizontal="right" vertical="center" wrapText="1" indent="1"/>
    </xf>
    <xf numFmtId="0" fontId="19" fillId="0" borderId="13" xfId="0" applyFont="1" applyBorder="1" applyNumberFormat="1">
      <alignment horizontal="right" vertical="center" wrapText="1" indent="1"/>
    </xf>
    <xf numFmtId="0" fontId="19" fillId="33" borderId="14" xfId="0" applyFont="1" applyFill="1" applyBorder="1" applyNumberFormat="1">
      <alignment horizontal="left" vertical="top" wrapText="1"/>
    </xf>
    <xf numFmtId="0" fontId="19" fillId="0" borderId="14" xfId="0" applyFont="1" applyBorder="1" applyNumberFormat="1">
      <alignment horizontal="right" vertical="center" wrapText="1"/>
    </xf>
    <xf numFmtId="0" fontId="19" fillId="0" borderId="15" xfId="0" applyFont="1" applyBorder="1" applyNumberFormat="1">
      <alignment horizontal="right" vertical="center" wrapText="1"/>
    </xf>
    <xf numFmtId="0" fontId="19" fillId="0" borderId="15" xfId="0" applyFont="1" applyBorder="1" applyNumberFormat="1">
      <alignment horizontal="right" vertical="center" wrapText="1" indent="1"/>
    </xf>
    <xf numFmtId="0" fontId="19" fillId="0" borderId="12" xfId="0" applyFont="1" applyBorder="1" applyNumberFormat="1">
      <alignment horizontal="center" vertical="center" wrapText="1"/>
    </xf>
    <xf numFmtId="0" fontId="19" fillId="0" borderId="12" xfId="0" applyFont="1" applyBorder="1" applyNumberFormat="1">
      <alignment horizontal="left" vertical="center" wrapText="1"/>
    </xf>
    <xf numFmtId="0" fontId="19" fillId="0" borderId="12" xfId="0" applyFont="1" applyBorder="1" applyNumberFormat="1">
      <alignment horizontal="center" vertical="center" wrapText="1"/>
    </xf>
    <xf numFmtId="4" fontId="19" fillId="38" borderId="12" xfId="0" applyFont="1" applyFill="1" applyBorder="1" applyNumberFormat="1">
      <alignment horizontal="right" vertical="center" wrapText="1"/>
      <protection locked="0"/>
    </xf>
    <xf numFmtId="4" fontId="19" fillId="33" borderId="12" xfId="0" applyFont="1" applyFill="1" applyBorder="1" applyNumberFormat="1">
      <alignment horizontal="right" vertical="center" wrapText="1"/>
    </xf>
    <xf numFmtId="0" fontId="19" fillId="0" borderId="12" xfId="0" applyFont="1" applyBorder="1" applyNumberFormat="1">
      <alignment horizontal="left" vertical="center" wrapText="1" indent="1"/>
    </xf>
    <xf numFmtId="49" fontId="81" fillId="45" borderId="0" xfId="0" applyFont="1" applyFill="1" applyNumberFormat="1">
      <alignment horizontal="center" vertical="center" textRotation="90" wrapText="1"/>
    </xf>
    <xf numFmtId="0" fontId="63" fillId="0" borderId="0" xfId="0" applyFont="1" applyNumberFormat="1">
      <alignment vertical="center" wrapText="1"/>
    </xf>
    <xf numFmtId="0" fontId="63" fillId="0" borderId="0" xfId="0" applyFont="1" applyNumberFormat="1">
      <alignment horizontal="center" vertical="center" wrapText="1"/>
    </xf>
    <xf numFmtId="49" fontId="63" fillId="0" borderId="0" xfId="0" applyFont="1" applyNumberFormat="1">
      <alignment horizontal="center" vertical="center" wrapText="1"/>
    </xf>
    <xf numFmtId="49" fontId="63" fillId="0" borderId="28" xfId="0" applyFont="1" applyBorder="1" applyNumberFormat="1">
      <alignment horizontal="center" vertical="center" wrapText="1"/>
    </xf>
    <xf numFmtId="0" fontId="63" fillId="0" borderId="12" xfId="0" applyFont="1" applyBorder="1" applyNumberFormat="1">
      <alignment horizontal="left" vertical="center" wrapText="1" indent="2"/>
    </xf>
    <xf numFmtId="0" fontId="63" fillId="0" borderId="12" xfId="0" applyFont="1" applyBorder="1" applyNumberFormat="1">
      <alignment horizontal="center" vertical="center" wrapText="1"/>
    </xf>
    <xf numFmtId="0" fontId="63" fillId="0" borderId="12" xfId="0" applyFont="1" applyBorder="1" applyNumberFormat="1">
      <alignment vertical="center" wrapText="1"/>
    </xf>
    <xf numFmtId="0" fontId="75" fillId="0" borderId="0" xfId="0" applyFont="1" applyNumberFormat="1">
      <alignment vertical="center" wrapText="1"/>
    </xf>
    <xf numFmtId="0" fontId="53" fillId="0" borderId="0" xfId="0" applyFont="1" applyNumberFormat="1">
      <alignment vertical="center" wrapText="1"/>
    </xf>
    <xf numFmtId="0" fontId="63" fillId="0" borderId="28" xfId="0" applyFont="1" applyBorder="1" applyNumberFormat="1">
      <alignment horizontal="center" vertical="center" wrapText="1"/>
    </xf>
    <xf numFmtId="0" fontId="63" fillId="0" borderId="12" xfId="0" applyFont="1" applyBorder="1" applyNumberFormat="1">
      <alignment horizontal="left" vertical="center" wrapText="1" indent="3"/>
    </xf>
    <xf numFmtId="4" fontId="63" fillId="0" borderId="12" xfId="0" applyFont="1" applyBorder="1" applyNumberFormat="1">
      <alignment horizontal="right" vertical="center" wrapText="1"/>
    </xf>
    <xf numFmtId="0" fontId="25" fillId="0" borderId="0" xfId="0" applyFont="1" applyNumberFormat="1">
      <alignment horizontal="center" vertical="center" wrapText="1"/>
    </xf>
    <xf numFmtId="49" fontId="19" fillId="36" borderId="14" xfId="0" applyFont="1" applyFill="1" applyBorder="1" applyNumberFormat="1">
      <alignment vertical="center" wrapText="1"/>
    </xf>
    <xf numFmtId="0" fontId="19" fillId="36" borderId="15" xfId="0" applyFont="1" applyFill="1" applyBorder="1" applyNumberFormat="1">
      <alignment vertical="center" wrapText="1"/>
    </xf>
    <xf numFmtId="0" fontId="36" fillId="36" borderId="13" xfId="0" applyFont="1" applyFill="1" applyBorder="1" applyNumberFormat="1">
      <alignment vertical="center" wrapText="1"/>
    </xf>
    <xf numFmtId="0" fontId="19" fillId="0" borderId="12" xfId="0" applyFont="1" applyBorder="1" applyNumberFormat="1">
      <alignment horizontal="left" vertical="center" wrapText="1" indent="2"/>
    </xf>
    <xf numFmtId="14" fontId="19" fillId="0" borderId="0" xfId="0" applyFont="1" applyNumberFormat="1">
      <alignment horizontal="center" vertical="center" wrapText="1"/>
    </xf>
    <xf numFmtId="49" fontId="81" fillId="45" borderId="0" xfId="0" applyFont="1" applyFill="1" applyNumberFormat="1">
      <alignment horizontal="center" vertical="center" wrapText="1"/>
    </xf>
    <xf numFmtId="49" fontId="39" fillId="0" borderId="0" xfId="0" applyFont="1" applyNumberFormat="1">
      <alignment horizontal="center" vertical="center"/>
    </xf>
    <xf numFmtId="173" fontId="19" fillId="38" borderId="12" xfId="0" applyFont="1" applyFill="1" applyBorder="1" applyNumberFormat="1">
      <alignment horizontal="right" vertical="center" wrapText="1"/>
      <protection locked="0"/>
    </xf>
    <xf numFmtId="49" fontId="81" fillId="0" borderId="0" xfId="0" applyFont="1" applyNumberFormat="1">
      <alignment horizontal="left" vertical="center" wrapText="1"/>
    </xf>
    <xf numFmtId="0" fontId="37" fillId="0" borderId="0" xfId="0" applyFont="1" applyNumberFormat="1">
      <alignment horizontal="left" vertical="center" wrapText="1"/>
    </xf>
    <xf numFmtId="49" fontId="19" fillId="0" borderId="0" xfId="0" applyFont="1" applyNumberFormat="1">
      <alignment horizontal="left" vertical="center" wrapText="1"/>
    </xf>
    <xf numFmtId="0" fontId="44" fillId="0" borderId="0" xfId="0" applyFont="1" applyNumberFormat="1">
      <alignment horizontal="left" vertical="center" wrapText="1"/>
    </xf>
    <xf numFmtId="0" fontId="20" fillId="0" borderId="0" xfId="0" applyFont="1" applyNumberFormat="1">
      <alignment horizontal="left" vertical="center" wrapText="1"/>
    </xf>
    <xf numFmtId="49" fontId="19" fillId="39" borderId="12" xfId="0" applyFont="1" applyFill="1" applyBorder="1" applyNumberFormat="1">
      <alignment horizontal="left" vertical="center" wrapText="1"/>
    </xf>
    <xf numFmtId="0" fontId="19" fillId="0" borderId="17" xfId="0" applyFont="1" applyBorder="1" applyNumberFormat="1">
      <alignment horizontal="center" vertical="center" wrapText="1"/>
    </xf>
    <xf numFmtId="4" fontId="19" fillId="33" borderId="17" xfId="0" applyFont="1" applyFill="1" applyBorder="1" applyNumberFormat="1">
      <alignment horizontal="right" vertical="center" wrapText="1"/>
    </xf>
    <xf numFmtId="0" fontId="37" fillId="0" borderId="12" xfId="0" applyFont="1" applyBorder="1" applyNumberFormat="1">
      <alignment horizontal="left" vertical="center" wrapText="1" indent="3"/>
    </xf>
    <xf numFmtId="49" fontId="37" fillId="0" borderId="12" xfId="0" applyFont="1" applyBorder="1" applyNumberFormat="1">
      <alignment vertical="center" wrapText="1"/>
    </xf>
    <xf numFmtId="0" fontId="37" fillId="0" borderId="17" xfId="0" applyFont="1" applyBorder="1" applyNumberFormat="1">
      <alignment vertical="top" wrapText="1"/>
    </xf>
    <xf numFmtId="4" fontId="19" fillId="38" borderId="13" xfId="0" applyFont="1" applyFill="1" applyBorder="1" applyNumberFormat="1">
      <alignment horizontal="right" vertical="center" wrapText="1"/>
      <protection locked="0"/>
    </xf>
    <xf numFmtId="49" fontId="43" fillId="35" borderId="13" xfId="0" applyFont="1" applyFill="1" applyBorder="1" applyNumberFormat="1">
      <alignment horizontal="left" vertical="center" wrapText="1"/>
      <protection locked="0"/>
    </xf>
    <xf numFmtId="49" fontId="43" fillId="35" borderId="12" xfId="0" applyFont="1" applyFill="1" applyBorder="1" applyNumberFormat="1">
      <alignment horizontal="left" vertical="center" wrapText="1"/>
      <protection locked="0"/>
    </xf>
    <xf numFmtId="0" fontId="36" fillId="0" borderId="0" xfId="0" applyFont="1" applyNumberFormat="1">
      <alignment vertical="center" wrapText="1"/>
    </xf>
    <xf numFmtId="0" fontId="37" fillId="0" borderId="0" xfId="0" applyFont="1" applyNumberFormat="1">
      <alignment vertical="center" wrapText="1"/>
    </xf>
    <xf numFmtId="49" fontId="19" fillId="0" borderId="0" xfId="0" applyFont="1" applyNumberFormat="1">
      <alignment horizontal="center" vertical="center" wrapText="1"/>
    </xf>
    <xf numFmtId="0" fontId="19" fillId="0" borderId="12" xfId="0" applyFont="1" applyBorder="1" applyNumberFormat="1">
      <alignment horizontal="center" vertical="center" wrapText="1"/>
    </xf>
    <xf numFmtId="173" fontId="19" fillId="38" borderId="13" xfId="0" applyFont="1" applyFill="1" applyBorder="1" applyNumberFormat="1">
      <alignment horizontal="right" vertical="center" wrapText="1"/>
      <protection locked="0"/>
    </xf>
    <xf numFmtId="0" fontId="74" fillId="0" borderId="0" xfId="0" applyFont="1" applyNumberFormat="1">
      <alignment vertical="center" wrapText="1"/>
    </xf>
    <xf numFmtId="0" fontId="44" fillId="0" borderId="0" xfId="0" applyFont="1" applyNumberFormat="1">
      <alignment vertical="center" wrapText="1"/>
    </xf>
    <xf numFmtId="0" fontId="20" fillId="0" borderId="0" xfId="0" applyFont="1" applyNumberFormat="1">
      <alignment vertical="center" wrapText="1"/>
    </xf>
    <xf numFmtId="49" fontId="39" fillId="0" borderId="0" xfId="0" applyFont="1" applyNumberFormat="1">
      <alignment horizontal="center" vertical="center"/>
    </xf>
    <xf numFmtId="0" fontId="19" fillId="0" borderId="0" xfId="0" applyFont="1" applyNumberFormat="1">
      <alignment vertical="center" wrapText="1"/>
    </xf>
    <xf numFmtId="173" fontId="19" fillId="33" borderId="13" xfId="0" applyFont="1" applyFill="1" applyBorder="1" applyNumberFormat="1">
      <alignment horizontal="right" vertical="center" wrapText="1"/>
    </xf>
    <xf numFmtId="173" fontId="19" fillId="33" borderId="12" xfId="0" applyFont="1" applyFill="1" applyBorder="1" applyNumberFormat="1">
      <alignment horizontal="right" vertical="center" wrapText="1"/>
    </xf>
    <xf numFmtId="49" fontId="81" fillId="45" borderId="0" xfId="0" applyFont="1" applyFill="1" applyNumberFormat="1">
      <alignment horizontal="center" vertical="center" textRotation="90" wrapText="1"/>
    </xf>
    <xf numFmtId="0" fontId="19" fillId="38" borderId="12" xfId="0" applyFont="1" applyFill="1" applyBorder="1" applyNumberFormat="1">
      <alignment horizontal="center" vertical="center" wrapText="1"/>
      <protection locked="0"/>
    </xf>
    <xf numFmtId="4" fontId="19" fillId="38" borderId="29" xfId="0" applyFont="1" applyFill="1" applyBorder="1" applyNumberFormat="1">
      <alignment horizontal="right" vertical="center" wrapText="1"/>
      <protection locked="0"/>
    </xf>
    <xf numFmtId="4" fontId="19" fillId="38" borderId="23" xfId="0" applyFont="1" applyFill="1" applyBorder="1" applyNumberFormat="1">
      <alignment horizontal="right" vertical="center" wrapText="1"/>
      <protection locked="0"/>
    </xf>
    <xf numFmtId="0" fontId="37" fillId="0" borderId="36" xfId="0" applyFont="1" applyBorder="1" applyNumberFormat="1">
      <alignment horizontal="left" vertical="center" wrapText="1" indent="1"/>
    </xf>
    <xf numFmtId="0" fontId="37" fillId="0" borderId="36" xfId="0" applyFont="1" applyBorder="1" applyNumberFormat="1">
      <alignment horizontal="center" vertical="center" wrapText="1"/>
    </xf>
    <xf numFmtId="0" fontId="37" fillId="0" borderId="17" xfId="0" applyFont="1" applyBorder="1" applyNumberFormat="1">
      <alignment vertical="center" wrapText="1"/>
    </xf>
    <xf numFmtId="49" fontId="19" fillId="36" borderId="37" xfId="0" applyFont="1" applyFill="1" applyBorder="1" applyNumberFormat="1">
      <alignment vertical="center" wrapText="1"/>
    </xf>
    <xf numFmtId="49" fontId="29" fillId="36" borderId="19" xfId="0" applyFont="1" applyFill="1" applyBorder="1" applyNumberFormat="1">
      <alignment horizontal="left" vertical="center" indent="1"/>
    </xf>
    <xf numFmtId="0" fontId="19" fillId="0" borderId="23" xfId="0" applyFont="1" applyBorder="1" applyNumberFormat="1">
      <alignment vertical="top" wrapText="1"/>
    </xf>
    <xf numFmtId="0" fontId="19" fillId="0" borderId="13" xfId="0" applyFont="1" applyBorder="1" applyNumberFormat="1">
      <alignment horizontal="center" vertical="center" wrapText="1"/>
    </xf>
    <xf numFmtId="0" fontId="19" fillId="0" borderId="13" xfId="0" applyFont="1" applyBorder="1" applyNumberFormat="1">
      <alignment horizontal="center" vertical="center" wrapText="1"/>
    </xf>
    <xf numFmtId="0" fontId="19" fillId="0" borderId="20" xfId="0" applyFont="1" applyBorder="1" applyNumberFormat="1">
      <alignment horizontal="center" vertical="center" wrapText="1"/>
    </xf>
    <xf numFmtId="173" fontId="19" fillId="38" borderId="17" xfId="0" applyFont="1" applyFill="1" applyBorder="1" applyNumberFormat="1">
      <alignment horizontal="right" vertical="center" wrapText="1"/>
      <protection locked="0"/>
    </xf>
    <xf numFmtId="0" fontId="37" fillId="0" borderId="23" xfId="0" applyFont="1" applyBorder="1" applyNumberFormat="1">
      <alignment horizontal="left" vertical="center" wrapText="1" indent="1"/>
    </xf>
    <xf numFmtId="0" fontId="37" fillId="0" borderId="17" xfId="0" applyFont="1" applyBorder="1" applyNumberFormat="1">
      <alignment horizontal="center" vertical="center" wrapText="1"/>
    </xf>
    <xf numFmtId="0" fontId="25" fillId="0" borderId="0" xfId="0" applyFont="1" applyNumberFormat="1">
      <alignment horizontal="center" vertical="center" wrapText="1"/>
    </xf>
    <xf numFmtId="49" fontId="19" fillId="36" borderId="37" xfId="0" applyFont="1" applyFill="1" applyBorder="1" applyNumberFormat="1">
      <alignment vertical="center" wrapText="1"/>
    </xf>
    <xf numFmtId="49" fontId="29" fillId="36" borderId="19" xfId="0" applyFont="1" applyFill="1" applyBorder="1" applyNumberFormat="1">
      <alignment horizontal="left" vertical="center" indent="1"/>
    </xf>
    <xf numFmtId="0" fontId="19" fillId="36" borderId="15" xfId="0" applyFont="1" applyFill="1" applyBorder="1" applyNumberFormat="1">
      <alignment vertical="center" wrapText="1"/>
    </xf>
    <xf numFmtId="0" fontId="36" fillId="36" borderId="13" xfId="0" applyFont="1" applyFill="1" applyBorder="1" applyNumberFormat="1">
      <alignment vertical="center" wrapText="1"/>
    </xf>
    <xf numFmtId="0" fontId="19" fillId="0" borderId="23" xfId="0" applyFont="1" applyBorder="1" applyNumberFormat="1">
      <alignment vertical="top" wrapText="1"/>
    </xf>
    <xf numFmtId="49" fontId="29" fillId="36" borderId="15" xfId="0" applyFont="1" applyFill="1" applyBorder="1" applyNumberFormat="1">
      <alignment horizontal="left" vertical="center" indent="1"/>
    </xf>
    <xf numFmtId="0" fontId="37" fillId="0" borderId="17" xfId="0" applyFont="1" applyBorder="1" applyNumberFormat="1">
      <alignment horizontal="left" vertical="center" wrapText="1" indent="1"/>
    </xf>
    <xf numFmtId="49" fontId="43" fillId="35" borderId="12" xfId="0" applyFont="1" applyFill="1" applyBorder="1" applyNumberFormat="1">
      <alignment horizontal="left" vertical="center" wrapText="1"/>
      <protection locked="0"/>
    </xf>
    <xf numFmtId="0" fontId="19" fillId="0" borderId="0" xfId="0" applyFont="1" applyNumberFormat="1">
      <alignment vertical="top" wrapText="1"/>
    </xf>
    <xf numFmtId="0" fontId="19" fillId="0" borderId="0" xfId="0" applyFont="1" applyNumberFormat="1">
      <alignment horizontal="left" vertical="top" wrapText="1"/>
    </xf>
    <xf numFmtId="0" fontId="44" fillId="0" borderId="0" xfId="0" applyFont="1" applyNumberFormat="1">
      <alignment vertical="center"/>
    </xf>
    <xf numFmtId="0" fontId="81" fillId="0" borderId="0" xfId="0" applyFont="1" applyNumberFormat="1">
      <alignment vertical="center" wrapText="1"/>
    </xf>
    <xf numFmtId="0" fontId="19" fillId="0" borderId="0" xfId="0" applyFont="1" applyNumberFormat="1">
      <alignment vertical="center" wrapText="1"/>
    </xf>
    <xf numFmtId="0" fontId="19" fillId="0" borderId="19" xfId="0" applyFont="1" applyBorder="1" applyNumberFormat="1">
      <alignment vertical="center" wrapText="1"/>
    </xf>
    <xf numFmtId="0" fontId="19" fillId="0" borderId="0" xfId="0" applyFont="1" applyNumberFormat="1">
      <alignment horizontal="center" vertical="center" wrapText="1"/>
    </xf>
    <xf numFmtId="49" fontId="20" fillId="0" borderId="0" xfId="0" applyFont="1" applyNumberFormat="1">
      <alignment horizontal="center" vertical="center" wrapText="1"/>
    </xf>
    <xf numFmtId="0" fontId="19" fillId="0" borderId="27" xfId="0" applyFont="1" applyBorder="1" applyNumberFormat="1">
      <alignment vertical="center" wrapText="1"/>
    </xf>
    <xf numFmtId="0" fontId="37" fillId="0" borderId="0" xfId="0" applyFont="1" applyNumberFormat="1">
      <alignment vertical="center" wrapText="1"/>
    </xf>
    <xf numFmtId="0" fontId="20" fillId="0" borderId="0" xfId="0" applyFont="1" applyNumberFormat="1">
      <alignment vertical="center" wrapText="1"/>
    </xf>
    <xf numFmtId="0" fontId="39" fillId="0" borderId="0" xfId="0" applyFont="1" applyNumberFormat="1">
      <alignment horizontal="center" vertical="center" wrapText="1"/>
    </xf>
    <xf numFmtId="49" fontId="53" fillId="0" borderId="0" xfId="0" applyFont="1" applyNumberFormat="1">
      <alignment horizontal="center" vertical="center" wrapText="1"/>
    </xf>
    <xf numFmtId="0" fontId="63" fillId="0" borderId="0" xfId="0" applyFont="1" applyNumberFormat="1">
      <alignment horizontal="center" vertical="center" wrapText="1"/>
    </xf>
    <xf numFmtId="0" fontId="90" fillId="0" borderId="0" xfId="0" applyFont="1" applyNumberFormat="1">
      <alignment horizontal="center" vertical="center" wrapText="1"/>
    </xf>
    <xf numFmtId="0" fontId="91" fillId="34" borderId="0" xfId="0" applyFont="1" applyFill="1" applyNumberFormat="1">
      <alignment horizontal="right" vertical="center"/>
    </xf>
    <xf numFmtId="0" fontId="53" fillId="0" borderId="0" xfId="0" applyFont="1" applyNumberFormat="1">
      <alignment vertical="center" wrapText="1"/>
    </xf>
    <xf numFmtId="0" fontId="62" fillId="0" borderId="0" xfId="0" applyFont="1" applyNumberFormat="1">
      <alignment vertical="center" wrapText="1"/>
    </xf>
    <xf numFmtId="0" fontId="19" fillId="0" borderId="12" xfId="0" applyFont="1" applyBorder="1" applyNumberFormat="1">
      <alignment horizontal="center" vertical="center" wrapText="1"/>
    </xf>
    <xf numFmtId="49" fontId="37" fillId="0" borderId="0" xfId="0" applyFont="1" applyNumberFormat="1">
      <alignment horizontal="center" vertical="center" wrapText="1"/>
    </xf>
    <xf numFmtId="49" fontId="37" fillId="0" borderId="0" xfId="0" applyFont="1" applyNumberFormat="1">
      <alignment horizontal="center" vertical="center" wrapText="1"/>
    </xf>
    <xf numFmtId="49" fontId="20" fillId="0" borderId="0" xfId="0" applyFont="1" applyNumberFormat="1">
      <alignment horizontal="center" vertical="center" wrapText="1"/>
    </xf>
    <xf numFmtId="49" fontId="19" fillId="0" borderId="0" xfId="0" applyFont="1" applyNumberFormat="1">
      <alignment horizontal="center" vertical="center" wrapText="1"/>
    </xf>
    <xf numFmtId="4" fontId="19" fillId="0" borderId="0" xfId="0" applyFont="1" applyNumberFormat="1">
      <alignment horizontal="right" vertical="center" wrapText="1"/>
    </xf>
    <xf numFmtId="9" fontId="39" fillId="0" borderId="0" xfId="0" applyFont="1" applyNumberFormat="1">
      <alignment horizontal="center" vertical="center" wrapText="1"/>
    </xf>
    <xf numFmtId="0" fontId="62" fillId="0" borderId="0" xfId="0" applyFont="1" applyNumberFormat="1">
      <alignment vertical="center" wrapText="1"/>
    </xf>
    <xf numFmtId="0" fontId="37" fillId="0" borderId="0" xfId="0" applyFont="1" applyNumberFormat="1">
      <alignment vertical="center" wrapText="1"/>
    </xf>
    <xf numFmtId="0" fontId="20"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37"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3" borderId="12" xfId="0" applyFont="1" applyFill="1" applyBorder="1" applyNumberFormat="1">
      <alignment horizontal="left" vertical="center" wrapText="1" indent="1"/>
    </xf>
    <xf numFmtId="0" fontId="19" fillId="0" borderId="13" xfId="0" applyFont="1" applyBorder="1" applyNumberFormat="1">
      <alignment horizontal="left" vertical="center" wrapText="1" indent="1"/>
    </xf>
    <xf numFmtId="49" fontId="37" fillId="0" borderId="22" xfId="0" applyFont="1" applyBorder="1" applyNumberFormat="1">
      <alignment vertical="top"/>
    </xf>
    <xf numFmtId="49" fontId="37" fillId="0" borderId="0" xfId="0" applyFont="1" applyNumberFormat="1">
      <alignment vertical="top"/>
    </xf>
    <xf numFmtId="49" fontId="36" fillId="0" borderId="0" xfId="0" applyFont="1" applyNumberFormat="1">
      <alignment vertical="top"/>
    </xf>
    <xf numFmtId="49" fontId="37" fillId="0" borderId="0" xfId="0" applyFont="1" applyNumberFormat="1">
      <alignment vertical="top"/>
    </xf>
    <xf numFmtId="49" fontId="36" fillId="0" borderId="0" xfId="0" applyFont="1" applyNumberFormat="1">
      <alignment vertical="top"/>
    </xf>
    <xf numFmtId="0" fontId="36" fillId="0" borderId="0" xfId="0" applyFont="1" applyNumberFormat="1">
      <alignment horizontal="center" vertical="top"/>
    </xf>
    <xf numFmtId="49" fontId="36" fillId="0" borderId="0" xfId="0" applyFont="1" applyNumberFormat="1">
      <alignment vertical="top"/>
    </xf>
    <xf numFmtId="0" fontId="36" fillId="0" borderId="0" xfId="0" applyFont="1" applyNumberFormat="1">
      <alignment vertical="top"/>
    </xf>
    <xf numFmtId="0" fontId="64" fillId="0" borderId="0" xfId="0" applyFont="1" applyNumberFormat="1">
      <alignment vertical="top"/>
    </xf>
    <xf numFmtId="0" fontId="77" fillId="0" borderId="0" xfId="0" applyFont="1" applyNumberFormat="1">
      <alignment vertical="top"/>
    </xf>
    <xf numFmtId="49" fontId="37" fillId="0" borderId="36" xfId="0" applyFont="1" applyBorder="1" applyNumberFormat="1">
      <alignment horizontal="center" vertical="center" wrapText="1"/>
    </xf>
    <xf numFmtId="0" fontId="36" fillId="0" borderId="0" xfId="0" applyFont="1" applyNumberFormat="1">
      <alignment horizontal="center" vertical="center" wrapText="1"/>
    </xf>
    <xf numFmtId="0" fontId="19" fillId="0" borderId="23" xfId="0" applyFont="1" applyBorder="1" applyNumberFormat="1">
      <alignment horizontal="left" vertical="center" wrapText="1"/>
    </xf>
    <xf numFmtId="2" fontId="19" fillId="0" borderId="23" xfId="0" applyFont="1" applyBorder="1" applyNumberFormat="1">
      <alignment horizontal="center" vertical="center" wrapText="1"/>
    </xf>
    <xf numFmtId="0" fontId="19" fillId="0" borderId="12" xfId="0" applyFont="1" applyBorder="1" applyNumberFormat="1">
      <alignment horizontal="left" vertical="center" wrapText="1"/>
    </xf>
    <xf numFmtId="49" fontId="37" fillId="0" borderId="22" xfId="0" applyFont="1" applyBorder="1" applyNumberFormat="1">
      <alignment vertical="top"/>
    </xf>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37" fillId="0" borderId="12" xfId="0" applyFont="1" applyBorder="1" applyNumberFormat="1">
      <alignment horizontal="left" vertical="center" wrapText="1"/>
    </xf>
    <xf numFmtId="0" fontId="37" fillId="0" borderId="12" xfId="0" applyFont="1" applyBorder="1" applyNumberFormat="1">
      <alignment vertical="center" wrapText="1"/>
    </xf>
    <xf numFmtId="0" fontId="37" fillId="0" borderId="22" xfId="0" applyFont="1" applyBorder="1" applyNumberFormat="1">
      <alignment vertical="center" wrapText="1"/>
    </xf>
    <xf numFmtId="49" fontId="29" fillId="36" borderId="14" xfId="0" applyFont="1" applyFill="1" applyBorder="1" applyNumberFormat="1">
      <alignment horizontal="left" vertical="center"/>
    </xf>
    <xf numFmtId="49" fontId="29" fillId="36" borderId="15" xfId="0" applyFont="1" applyFill="1" applyBorder="1" applyNumberFormat="1">
      <alignment horizontal="left" vertical="center" indent="1"/>
    </xf>
    <xf numFmtId="49" fontId="29" fillId="36" borderId="15" xfId="0" applyFont="1" applyFill="1" applyBorder="1" applyNumberFormat="1">
      <alignment horizontal="left" vertical="center"/>
    </xf>
    <xf numFmtId="49" fontId="29" fillId="36" borderId="13" xfId="0" applyFont="1" applyFill="1" applyBorder="1" applyNumberFormat="1">
      <alignment horizontal="left" vertical="center" indent="1"/>
    </xf>
    <xf numFmtId="0" fontId="19" fillId="0" borderId="23" xfId="0" applyFont="1" applyBorder="1" applyNumberFormat="1">
      <alignment horizontal="left" vertical="center" wrapText="1"/>
    </xf>
    <xf numFmtId="0" fontId="19" fillId="0" borderId="12" xfId="0" applyFont="1" applyBorder="1" applyNumberFormat="1">
      <alignment horizontal="left" vertical="center" wrapText="1"/>
    </xf>
    <xf numFmtId="0" fontId="36" fillId="0" borderId="0" xfId="0" applyFont="1" applyNumberFormat="1">
      <alignment horizontal="center" vertical="top"/>
    </xf>
    <xf numFmtId="0" fontId="37" fillId="0" borderId="0" xfId="0" applyFont="1" applyNumberFormat="1">
      <alignment horizontal="center" vertical="center" wrapText="1"/>
    </xf>
    <xf numFmtId="49" fontId="37" fillId="0" borderId="23" xfId="0" applyFont="1" applyBorder="1" applyNumberFormat="1">
      <alignment horizontal="center" vertical="center" wrapText="1"/>
    </xf>
    <xf numFmtId="49" fontId="29" fillId="0" borderId="19" xfId="0" applyFont="1" applyBorder="1" applyNumberFormat="1">
      <alignment horizontal="right" vertical="center"/>
    </xf>
    <xf numFmtId="0" fontId="19" fillId="0" borderId="0" xfId="0" applyFont="1" applyNumberFormat="1">
      <alignment horizontal="right" vertical="center" wrapText="1"/>
    </xf>
    <xf numFmtId="0" fontId="0" fillId="0" borderId="0" xfId="0" applyFont="1" applyNumberFormat="1">
      <alignment vertical="center"/>
    </xf>
    <xf numFmtId="0" fontId="34" fillId="0" borderId="0" xfId="0" applyFont="1" applyNumberFormat="1">
      <alignment horizontal="right" vertical="top" wrapText="1"/>
    </xf>
    <xf numFmtId="0" fontId="34" fillId="0" borderId="0" xfId="0" applyFont="1" applyNumberFormat="1">
      <alignment horizontal="left" vertical="top"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33" borderId="14" xfId="0" applyFont="1" applyFill="1" applyBorder="1" applyNumberFormat="1">
      <alignment horizontal="left" vertical="top" wrapText="1"/>
    </xf>
    <xf numFmtId="0" fontId="37" fillId="0" borderId="14" xfId="0" applyFont="1" applyBorder="1" applyNumberFormat="1">
      <alignment vertical="center" wrapText="1"/>
    </xf>
    <xf numFmtId="0" fontId="37" fillId="0" borderId="15" xfId="0" applyFont="1" applyBorder="1" applyNumberFormat="1">
      <alignment horizontal="right" vertical="center" wrapText="1" indent="1"/>
    </xf>
    <xf numFmtId="0" fontId="37" fillId="0" borderId="13" xfId="0" applyFont="1" applyBorder="1" applyNumberFormat="1">
      <alignment horizontal="right" vertical="center" wrapText="1" indent="1"/>
    </xf>
    <xf numFmtId="0" fontId="37" fillId="0" borderId="14" xfId="0" applyFont="1" applyBorder="1" applyNumberFormat="1">
      <alignment horizontal="left" vertical="top" wrapText="1"/>
    </xf>
    <xf numFmtId="0" fontId="19" fillId="0" borderId="15" xfId="0" applyFont="1" applyBorder="1" applyNumberFormat="1">
      <alignment horizontal="right" vertical="center" wrapText="1" indent="1"/>
    </xf>
    <xf numFmtId="0" fontId="19" fillId="0" borderId="12" xfId="0" applyFont="1" applyBorder="1" applyNumberFormat="1">
      <alignment horizontal="center" vertical="center" wrapText="1"/>
    </xf>
    <xf numFmtId="49" fontId="19" fillId="0" borderId="28" xfId="0" applyFont="1" applyBorder="1" applyNumberFormat="1">
      <alignment horizontal="center" vertical="center" wrapText="1"/>
    </xf>
    <xf numFmtId="0" fontId="19" fillId="0" borderId="12" xfId="0" applyFont="1" applyBorder="1" applyNumberFormat="1">
      <alignment horizontal="left" vertical="center" wrapText="1"/>
    </xf>
    <xf numFmtId="49" fontId="19" fillId="0" borderId="60" xfId="0" applyFont="1" applyBorder="1" applyNumberFormat="1">
      <alignment horizontal="center" vertical="center" wrapText="1"/>
    </xf>
    <xf numFmtId="0" fontId="19" fillId="0" borderId="12" xfId="0" applyFont="1" applyBorder="1" applyNumberFormat="1">
      <alignment horizontal="left" vertical="center" wrapText="1" indent="1"/>
    </xf>
    <xf numFmtId="0" fontId="19" fillId="0" borderId="13" xfId="0" applyFont="1" applyBorder="1" applyNumberFormat="1">
      <alignment horizontal="center" vertical="center" wrapText="1"/>
    </xf>
    <xf numFmtId="49" fontId="19" fillId="0" borderId="61" xfId="0" applyFont="1" applyBorder="1" applyNumberFormat="1">
      <alignment horizontal="center" vertical="center" wrapText="1"/>
    </xf>
    <xf numFmtId="0" fontId="19" fillId="0" borderId="13" xfId="0" applyFont="1" applyBorder="1" applyNumberFormat="1">
      <alignment horizontal="center" vertical="center" wrapText="1"/>
    </xf>
    <xf numFmtId="4" fontId="19" fillId="38" borderId="17" xfId="0" applyFont="1" applyFill="1" applyBorder="1" applyNumberFormat="1">
      <alignment horizontal="right" vertical="center" wrapText="1"/>
      <protection locked="0"/>
    </xf>
    <xf numFmtId="0" fontId="19" fillId="0" borderId="17" xfId="0" applyFont="1" applyBorder="1" applyNumberFormat="1">
      <alignment horizontal="center" vertical="center" wrapText="1"/>
    </xf>
    <xf numFmtId="49" fontId="29" fillId="36" borderId="19" xfId="0" applyFont="1" applyFill="1" applyBorder="1" applyNumberFormat="1">
      <alignment horizontal="left" vertical="center" indent="2"/>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33" borderId="14" xfId="0" applyFont="1" applyFill="1" applyBorder="1" applyNumberFormat="1">
      <alignment horizontal="left" vertical="top" wrapText="1"/>
    </xf>
    <xf numFmtId="0" fontId="19" fillId="0" borderId="15" xfId="0" applyFont="1" applyBorder="1" applyNumberFormat="1">
      <alignment horizontal="right" vertical="center" wrapText="1" indent="1"/>
    </xf>
    <xf numFmtId="0" fontId="19" fillId="0" borderId="12" xfId="0" applyFont="1" applyBorder="1" applyNumberFormat="1">
      <alignment horizontal="center" vertical="center" wrapText="1"/>
    </xf>
    <xf numFmtId="0" fontId="19"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19" fillId="0" borderId="59" xfId="0" applyFont="1" applyBorder="1" applyNumberFormat="1">
      <alignment horizontal="center" vertical="center" wrapText="1"/>
    </xf>
    <xf numFmtId="0" fontId="19" fillId="0" borderId="17" xfId="0" applyFont="1" applyBorder="1" applyNumberFormat="1">
      <alignment horizontal="left" vertical="center" wrapText="1" indent="1"/>
    </xf>
    <xf numFmtId="0" fontId="19"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36" fillId="0" borderId="0" xfId="0" applyFont="1" applyNumberFormat="1">
      <alignment horizontal="center" vertical="center" wrapText="1"/>
    </xf>
    <xf numFmtId="49" fontId="36" fillId="0" borderId="0" xfId="0" applyFont="1" applyNumberFormat="1">
      <alignment horizontal="center" vertical="center" wrapText="1"/>
    </xf>
    <xf numFmtId="0" fontId="37" fillId="0" borderId="27" xfId="0" applyFont="1" applyBorder="1" applyNumberFormat="1">
      <alignment vertical="center" wrapText="1"/>
    </xf>
    <xf numFmtId="0" fontId="19" fillId="33" borderId="14" xfId="0" applyFont="1" applyFill="1" applyBorder="1" applyNumberFormat="1">
      <alignment horizontal="left" vertical="top" wrapText="1"/>
    </xf>
    <xf numFmtId="0" fontId="19" fillId="33" borderId="13" xfId="0" applyFont="1" applyFill="1" applyBorder="1" applyNumberFormat="1">
      <alignment horizontal="left" vertical="top" wrapText="1"/>
    </xf>
    <xf numFmtId="49" fontId="36" fillId="0" borderId="0" xfId="0" applyFont="1" applyNumberFormat="1">
      <alignment horizontal="center" vertical="center" wrapText="1"/>
    </xf>
    <xf numFmtId="49" fontId="36" fillId="0" borderId="0" xfId="0" applyFont="1" applyNumberFormat="1">
      <alignment horizontal="center" vertical="center" wrapText="1"/>
    </xf>
    <xf numFmtId="0" fontId="19" fillId="0" borderId="0" xfId="0" applyFont="1" applyNumberFormat="1">
      <alignment horizontal="left" vertical="top" wrapText="1"/>
    </xf>
    <xf numFmtId="0" fontId="19" fillId="0" borderId="0" xfId="0" applyFont="1" applyNumberFormat="1">
      <alignment vertical="top"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4" xfId="0" applyFont="1" applyBorder="1" applyNumberFormat="1">
      <alignment horizontal="center" vertical="center" wrapText="1"/>
    </xf>
    <xf numFmtId="0" fontId="19" fillId="0" borderId="0" xfId="0" applyFont="1" applyNumberFormat="1">
      <alignment horizontal="left" vertical="top" wrapText="1"/>
    </xf>
    <xf numFmtId="49" fontId="37" fillId="0" borderId="0" xfId="0" applyFont="1" applyNumberFormat="1">
      <alignment horizontal="center" vertical="center" wrapText="1"/>
    </xf>
    <xf numFmtId="0" fontId="37" fillId="0" borderId="0" xfId="0" applyFont="1" applyNumberFormat="1">
      <alignment horizontal="center" vertical="center" wrapText="1"/>
    </xf>
    <xf numFmtId="49" fontId="19" fillId="55" borderId="0" xfId="0" applyFont="1" applyFill="1" applyNumberFormat="1">
      <alignment horizontal="center" vertical="center" textRotation="90" wrapText="1"/>
    </xf>
    <xf numFmtId="49" fontId="19" fillId="0" borderId="12" xfId="0" applyFont="1" applyBorder="1" applyNumberFormat="1">
      <alignment horizontal="center" vertical="center" wrapText="1"/>
    </xf>
    <xf numFmtId="0" fontId="19" fillId="0" borderId="12" xfId="0" applyFont="1" applyBorder="1" applyNumberFormat="1">
      <alignment horizontal="left" vertical="center" wrapText="1"/>
    </xf>
    <xf numFmtId="4" fontId="19" fillId="0" borderId="12" xfId="0" applyFont="1" applyBorder="1" applyNumberFormat="1">
      <alignment horizontal="center" vertical="center" wrapText="1"/>
    </xf>
    <xf numFmtId="49" fontId="43" fillId="35" borderId="14" xfId="0" applyFont="1" applyFill="1" applyBorder="1" applyNumberFormat="1">
      <alignment horizontal="left" vertical="center" wrapText="1"/>
      <protection locked="0"/>
    </xf>
    <xf numFmtId="0" fontId="62" fillId="0" borderId="22" xfId="0" applyFont="1" applyBorder="1" applyNumberFormat="1">
      <alignment vertical="center" wrapText="1"/>
    </xf>
    <xf numFmtId="49" fontId="19" fillId="0" borderId="12" xfId="0" applyFont="1" applyBorder="1" applyNumberFormat="1">
      <alignment horizontal="center" vertical="center" wrapText="1"/>
    </xf>
    <xf numFmtId="49" fontId="43" fillId="35" borderId="14" xfId="0" applyFont="1" applyFill="1" applyBorder="1" applyNumberFormat="1">
      <alignment horizontal="left" vertical="center" wrapText="1"/>
      <protection locked="0"/>
    </xf>
    <xf numFmtId="0" fontId="19" fillId="0" borderId="12" xfId="0" applyFont="1" applyBorder="1" applyNumberFormat="1">
      <alignment horizontal="center" vertical="center" wrapText="1"/>
    </xf>
    <xf numFmtId="49" fontId="19" fillId="35" borderId="12" xfId="0" applyFont="1" applyFill="1" applyBorder="1" applyNumberFormat="1">
      <alignment horizontal="left" vertical="center" wrapText="1"/>
      <protection locked="0"/>
    </xf>
    <xf numFmtId="3" fontId="19" fillId="35" borderId="14" xfId="0" applyFont="1" applyFill="1" applyBorder="1" applyNumberFormat="1">
      <alignment horizontal="right" vertical="center" wrapText="1"/>
      <protection locked="0"/>
    </xf>
    <xf numFmtId="4" fontId="19" fillId="35" borderId="14" xfId="0" applyFont="1" applyFill="1" applyBorder="1" applyNumberFormat="1">
      <alignment horizontal="right" vertical="center" wrapText="1"/>
      <protection locked="0"/>
    </xf>
    <xf numFmtId="49" fontId="19" fillId="38" borderId="12" xfId="0" applyFont="1" applyFill="1" applyBorder="1" applyNumberFormat="1">
      <alignment horizontal="left" vertical="center" wrapText="1"/>
      <protection locked="0"/>
    </xf>
    <xf numFmtId="49" fontId="19" fillId="38" borderId="12" xfId="0" applyFont="1" applyFill="1" applyBorder="1" applyNumberFormat="1">
      <alignment horizontal="left" vertical="center" wrapText="1"/>
      <protection locked="0"/>
    </xf>
    <xf numFmtId="0" fontId="25" fillId="0" borderId="0" xfId="0" applyFont="1" applyNumberFormat="1">
      <alignment horizontal="center" vertical="center" wrapText="1"/>
    </xf>
    <xf numFmtId="0" fontId="19" fillId="0" borderId="17" xfId="0" applyFont="1" applyBorder="1" applyNumberFormat="1">
      <alignment horizontal="center" vertical="center" wrapText="1"/>
    </xf>
    <xf numFmtId="0" fontId="19" fillId="0" borderId="14" xfId="0" applyFont="1" applyBorder="1" applyNumberFormat="1">
      <alignment horizontal="center" vertical="center" wrapText="1"/>
    </xf>
    <xf numFmtId="0" fontId="73" fillId="0" borderId="0" xfId="0" applyFont="1" applyNumberFormat="1">
      <alignment vertical="center" wrapText="1"/>
    </xf>
    <xf numFmtId="0" fontId="19" fillId="0" borderId="12" xfId="0" applyFont="1" applyBorder="1" applyNumberFormat="1">
      <alignment horizontal="left" vertical="center" wrapText="1" indent="2"/>
    </xf>
    <xf numFmtId="3" fontId="34" fillId="35" borderId="12" xfId="0" applyFont="1" applyFill="1" applyBorder="1" applyNumberFormat="1">
      <alignment horizontal="right" vertical="center"/>
      <protection locked="0"/>
    </xf>
    <xf numFmtId="49" fontId="19" fillId="35" borderId="14" xfId="0" applyFont="1" applyFill="1" applyBorder="1" applyNumberFormat="1">
      <alignment horizontal="left" vertical="center" wrapText="1"/>
      <protection locked="0"/>
    </xf>
    <xf numFmtId="0" fontId="19" fillId="0" borderId="0" xfId="0" applyFont="1" applyNumberFormat="1">
      <alignment vertical="top" wrapText="1"/>
    </xf>
    <xf numFmtId="0" fontId="19" fillId="0" borderId="0" xfId="0" applyFont="1" applyNumberFormat="1">
      <alignment vertical="top"/>
    </xf>
    <xf numFmtId="49" fontId="36" fillId="0" borderId="0" xfId="0" applyFont="1" applyNumberFormat="1">
      <alignment horizontal="center" vertical="center" wrapText="1"/>
    </xf>
    <xf numFmtId="0" fontId="19" fillId="0" borderId="0" xfId="0" applyFont="1" applyNumberFormat="1">
      <alignment vertical="top" wrapText="1"/>
    </xf>
    <xf numFmtId="0" fontId="19" fillId="0" borderId="0" xfId="0" applyFont="1" applyNumberFormat="1">
      <alignment vertical="top"/>
    </xf>
    <xf numFmtId="49" fontId="43" fillId="0" borderId="12" xfId="0" applyFont="1" applyBorder="1" applyNumberFormat="1">
      <alignment horizontal="left" vertical="center" wrapText="1"/>
    </xf>
    <xf numFmtId="49" fontId="19" fillId="0" borderId="32" xfId="0" applyFont="1" applyBorder="1" applyNumberFormat="1">
      <alignment horizontal="center" vertical="center" wrapText="1"/>
    </xf>
    <xf numFmtId="0" fontId="19" fillId="0" borderId="32" xfId="0" applyFont="1" applyBorder="1" applyNumberFormat="1">
      <alignment horizontal="left" vertical="center" wrapText="1"/>
    </xf>
    <xf numFmtId="4" fontId="19" fillId="0" borderId="40" xfId="0" applyFont="1" applyBorder="1" applyNumberFormat="1">
      <alignment horizontal="center" vertical="center" wrapText="1"/>
    </xf>
    <xf numFmtId="49" fontId="43" fillId="0" borderId="30" xfId="0" applyFont="1" applyBorder="1" applyNumberFormat="1">
      <alignment horizontal="left" vertical="center" wrapText="1"/>
    </xf>
    <xf numFmtId="49" fontId="19" fillId="0" borderId="31" xfId="0" applyFont="1" applyBorder="1" applyNumberFormat="1">
      <alignment horizontal="center" vertical="center" wrapText="1"/>
    </xf>
    <xf numFmtId="0" fontId="19" fillId="0" borderId="33" xfId="0" applyFont="1" applyBorder="1" applyNumberFormat="1">
      <alignment horizontal="left" vertical="center" wrapText="1" indent="1"/>
    </xf>
    <xf numFmtId="4" fontId="19" fillId="38" borderId="31" xfId="0" applyFont="1" applyFill="1" applyBorder="1" applyNumberFormat="1">
      <alignment horizontal="right" vertical="center" wrapText="1"/>
      <protection locked="0"/>
    </xf>
    <xf numFmtId="49" fontId="43" fillId="0" borderId="14" xfId="0" applyFont="1" applyBorder="1" applyNumberFormat="1">
      <alignment horizontal="left" vertical="center" wrapText="1"/>
    </xf>
    <xf numFmtId="4" fontId="19" fillId="0" borderId="17" xfId="0" applyFont="1" applyBorder="1" applyNumberFormat="1">
      <alignment horizontal="center" vertical="center" wrapText="1"/>
    </xf>
    <xf numFmtId="4" fontId="19" fillId="38" borderId="35" xfId="0" applyFont="1" applyFill="1" applyBorder="1" applyNumberFormat="1">
      <alignment horizontal="right" vertical="center" wrapText="1"/>
      <protection locked="0"/>
    </xf>
    <xf numFmtId="0" fontId="19" fillId="0" borderId="33" xfId="0" applyFont="1" applyBorder="1" applyNumberFormat="1">
      <alignment horizontal="left" vertical="center" wrapText="1"/>
    </xf>
    <xf numFmtId="49" fontId="43" fillId="0" borderId="15" xfId="0" applyFont="1" applyBorder="1" applyNumberFormat="1">
      <alignment horizontal="left" vertical="center" wrapText="1"/>
    </xf>
    <xf numFmtId="0" fontId="19" fillId="0" borderId="31" xfId="0" applyFont="1" applyBorder="1" applyNumberFormat="1">
      <alignment horizontal="left" vertical="center" wrapText="1" indent="1"/>
    </xf>
    <xf numFmtId="4" fontId="19" fillId="0" borderId="32" xfId="0" applyFont="1" applyBorder="1" applyNumberFormat="1">
      <alignment horizontal="center" vertical="center" wrapText="1"/>
    </xf>
    <xf numFmtId="0" fontId="19" fillId="0" borderId="31" xfId="0" applyFont="1" applyBorder="1" applyNumberFormat="1">
      <alignment horizontal="left" vertical="center" wrapText="1"/>
    </xf>
    <xf numFmtId="0" fontId="19" fillId="0" borderId="31" xfId="0" applyFont="1" applyBorder="1" applyNumberFormat="1">
      <alignment horizontal="left" vertical="center" wrapText="1" indent="2"/>
    </xf>
    <xf numFmtId="4" fontId="19" fillId="0" borderId="31" xfId="0" applyFont="1" applyBorder="1" applyNumberFormat="1">
      <alignment horizontal="center" vertical="center" wrapText="1"/>
    </xf>
    <xf numFmtId="49" fontId="19" fillId="0" borderId="34" xfId="0" applyFont="1" applyBorder="1" applyNumberFormat="1">
      <alignment horizontal="center" vertical="center" wrapText="1"/>
    </xf>
    <xf numFmtId="49" fontId="43" fillId="38" borderId="12" xfId="0" applyFont="1" applyFill="1" applyBorder="1" applyNumberFormat="1">
      <alignment horizontal="left" vertical="center" wrapText="1"/>
      <protection locked="0"/>
    </xf>
    <xf numFmtId="0" fontId="19" fillId="0" borderId="35" xfId="0" applyFont="1" applyBorder="1" applyNumberFormat="1">
      <alignment horizontal="left" vertical="center" wrapText="1"/>
    </xf>
    <xf numFmtId="4" fontId="19" fillId="0" borderId="35" xfId="0" applyFont="1" applyBorder="1" applyNumberFormat="1">
      <alignment horizontal="center" vertical="center" wrapText="1"/>
    </xf>
    <xf numFmtId="49" fontId="43" fillId="0" borderId="37" xfId="0" applyFont="1" applyBorder="1" applyNumberFormat="1">
      <alignment horizontal="left" vertical="center" wrapText="1"/>
    </xf>
    <xf numFmtId="49" fontId="19" fillId="0" borderId="33" xfId="0" applyFont="1" applyBorder="1" applyNumberFormat="1">
      <alignment horizontal="center" vertical="center" wrapText="1"/>
    </xf>
    <xf numFmtId="4" fontId="19" fillId="38" borderId="14" xfId="0" applyFont="1" applyFill="1" applyBorder="1" applyNumberFormat="1">
      <alignment horizontal="right" vertical="center" wrapText="1"/>
      <protection locked="0"/>
    </xf>
    <xf numFmtId="4" fontId="19" fillId="38" borderId="33" xfId="0" applyFont="1" applyFill="1" applyBorder="1" applyNumberFormat="1">
      <alignment horizontal="right" vertical="center" wrapText="1"/>
      <protection locked="0"/>
    </xf>
    <xf numFmtId="4" fontId="19" fillId="0" borderId="33" xfId="0" applyFont="1" applyBorder="1" applyNumberFormat="1">
      <alignment horizontal="center" vertical="center" wrapText="1"/>
    </xf>
    <xf numFmtId="4" fontId="19" fillId="38" borderId="34" xfId="0" applyFont="1" applyFill="1" applyBorder="1" applyNumberFormat="1">
      <alignment horizontal="right" vertical="center" wrapText="1"/>
      <protection locked="0"/>
    </xf>
    <xf numFmtId="49" fontId="43" fillId="38" borderId="14" xfId="0" applyFont="1" applyFill="1" applyBorder="1" applyNumberFormat="1">
      <alignment horizontal="left" vertical="center" wrapText="1"/>
      <protection locked="0"/>
    </xf>
    <xf numFmtId="0" fontId="36" fillId="0" borderId="0" xfId="0" applyFont="1" applyNumberFormat="1">
      <alignment horizontal="center" vertical="center" wrapText="1"/>
    </xf>
    <xf numFmtId="49" fontId="19" fillId="0" borderId="0" xfId="0" applyFont="1" applyNumberFormat="1">
      <alignment vertical="center" wrapText="1"/>
    </xf>
    <xf numFmtId="0" fontId="25" fillId="0" borderId="24" xfId="0" applyFont="1" applyBorder="1" applyNumberFormat="1">
      <alignment horizontal="center" vertical="center" wrapText="1"/>
    </xf>
    <xf numFmtId="0" fontId="0" fillId="0" borderId="14" xfId="0" applyFont="1" applyBorder="1" applyNumberFormat="1">
      <alignment horizontal="center" vertical="center"/>
    </xf>
    <xf numFmtId="0" fontId="19" fillId="0" borderId="13" xfId="0" applyFont="1" applyBorder="1" applyNumberFormat="1">
      <alignment horizontal="center" vertical="center" wrapText="1"/>
    </xf>
    <xf numFmtId="174" fontId="0" fillId="35" borderId="12" xfId="0" applyFont="1" applyFill="1" applyBorder="1" applyNumberFormat="1">
      <alignment horizontal="left" vertical="center" wrapText="1" indent="1"/>
      <protection locked="0"/>
    </xf>
    <xf numFmtId="49" fontId="19" fillId="38" borderId="14" xfId="0" applyFont="1" applyFill="1" applyBorder="1" applyNumberFormat="1">
      <alignment horizontal="left" vertical="center" wrapText="1"/>
      <protection locked="0"/>
    </xf>
    <xf numFmtId="0" fontId="19" fillId="0" borderId="0" xfId="0" applyFont="1" applyNumberFormat="1">
      <alignment horizontal="left" vertical="center" wrapText="1"/>
    </xf>
    <xf numFmtId="0" fontId="19" fillId="33" borderId="14" xfId="0" applyFont="1" applyFill="1" applyBorder="1" applyNumberFormat="1">
      <alignment horizontal="left" vertical="top" wrapText="1" indent="1"/>
    </xf>
    <xf numFmtId="0" fontId="19" fillId="33" borderId="13" xfId="0" applyFont="1" applyFill="1" applyBorder="1" applyNumberFormat="1">
      <alignment horizontal="left" vertical="top" wrapText="1" indent="1"/>
    </xf>
    <xf numFmtId="0" fontId="19" fillId="0" borderId="15" xfId="0" applyFont="1" applyBorder="1" applyNumberFormat="1">
      <alignment horizontal="right" vertical="center" wrapText="1" indent="1"/>
    </xf>
    <xf numFmtId="0" fontId="19" fillId="0" borderId="13" xfId="0" applyFont="1" applyBorder="1" applyNumberFormat="1">
      <alignment horizontal="right" vertical="center" wrapText="1" inden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4" xfId="0" applyFont="1" applyBorder="1" applyNumberFormat="1">
      <alignment horizontal="center" vertical="center" wrapText="1"/>
    </xf>
    <xf numFmtId="0" fontId="24"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19" fillId="0" borderId="13" xfId="0" applyFont="1" applyBorder="1" applyNumberFormat="1">
      <alignment horizontal="center" vertical="center" wrapText="1"/>
    </xf>
    <xf numFmtId="0" fontId="19" fillId="36" borderId="14" xfId="0" applyFont="1" applyFill="1" applyBorder="1" applyNumberFormat="1">
      <alignment vertical="center" wrapText="1"/>
    </xf>
    <xf numFmtId="0" fontId="19" fillId="0" borderId="13" xfId="0" applyFont="1" applyBorder="1" applyNumberFormat="1">
      <alignment horizontal="center" vertical="center" wrapText="1"/>
    </xf>
    <xf numFmtId="0" fontId="19" fillId="36" borderId="19" xfId="0" applyFont="1" applyFill="1" applyBorder="1" applyNumberFormat="1">
      <alignment vertical="center" wrapText="1"/>
    </xf>
    <xf numFmtId="0" fontId="19" fillId="0" borderId="15" xfId="0" applyFont="1" applyBorder="1" applyNumberFormat="1">
      <alignment horizontal="center" vertical="center" wrapText="1"/>
    </xf>
    <xf numFmtId="49" fontId="19" fillId="39" borderId="12" xfId="0" applyFont="1" applyFill="1" applyBorder="1" applyNumberFormat="1">
      <alignment horizontal="center" vertical="center" wrapText="1"/>
    </xf>
    <xf numFmtId="49" fontId="19" fillId="39" borderId="12" xfId="0" applyFont="1" applyFill="1" applyBorder="1" applyNumberFormat="1">
      <alignment horizontal="center" vertical="center" wrapText="1"/>
    </xf>
    <xf numFmtId="0" fontId="19" fillId="0" borderId="12" xfId="0" applyFont="1" applyBorder="1" applyNumberFormat="1">
      <alignment horizontal="center" vertical="center" wrapText="1"/>
    </xf>
    <xf numFmtId="0" fontId="19" fillId="0" borderId="13" xfId="0" applyFont="1" applyBorder="1" applyNumberFormat="1">
      <alignment vertical="center" wrapText="1"/>
    </xf>
    <xf numFmtId="0" fontId="19" fillId="36" borderId="27" xfId="0" applyFont="1" applyFill="1" applyBorder="1" applyNumberFormat="1">
      <alignment vertical="center" wrapText="1"/>
    </xf>
    <xf numFmtId="0" fontId="24" fillId="0" borderId="0" xfId="0" applyFont="1" applyNumberFormat="1">
      <alignment horizontal="center" vertical="center" wrapText="1"/>
    </xf>
    <xf numFmtId="49" fontId="36" fillId="0" borderId="0" xfId="0" applyFont="1" applyNumberFormat="1">
      <alignment horizontal="center" vertical="center" wrapText="1"/>
    </xf>
    <xf numFmtId="0" fontId="19" fillId="0" borderId="0" xfId="0" applyFont="1" applyNumberFormat="1">
      <alignment vertical="center" wrapText="1"/>
    </xf>
    <xf numFmtId="49" fontId="36" fillId="0" borderId="0" xfId="0" applyFont="1" applyNumberFormat="1">
      <alignment horizontal="center" vertical="center" wrapText="1"/>
    </xf>
    <xf numFmtId="0" fontId="19" fillId="0" borderId="0" xfId="0" applyFont="1" applyNumberFormat="1">
      <alignment vertical="center" wrapText="1"/>
    </xf>
    <xf numFmtId="49" fontId="36" fillId="0" borderId="0" xfId="0" applyFont="1" applyNumberFormat="1">
      <alignment horizontal="center" vertical="center" wrapText="1"/>
    </xf>
    <xf numFmtId="49" fontId="88" fillId="0" borderId="0" xfId="0" applyFont="1" applyNumberFormat="1">
      <alignment horizontal="center" vertical="center" wrapText="1"/>
    </xf>
    <xf numFmtId="0" fontId="0" fillId="34" borderId="14" xfId="0" applyFont="1" applyFill="1" applyBorder="1" applyNumberFormat="1">
      <alignment horizontal="center" vertical="center" wrapText="1"/>
    </xf>
    <xf numFmtId="0" fontId="0" fillId="34" borderId="15" xfId="0" applyFont="1" applyFill="1" applyBorder="1" applyNumberFormat="1">
      <alignment horizontal="center" vertical="center" wrapText="1"/>
    </xf>
    <xf numFmtId="0" fontId="0" fillId="34" borderId="13" xfId="0" applyFont="1" applyFill="1" applyBorder="1" applyNumberFormat="1">
      <alignment horizontal="center" vertical="center" wrapText="1"/>
    </xf>
    <xf numFmtId="0" fontId="0" fillId="34" borderId="17" xfId="0" applyFont="1" applyFill="1" applyBorder="1" applyNumberFormat="1">
      <alignment horizontal="center" vertical="center" wrapText="1"/>
    </xf>
    <xf numFmtId="0" fontId="19" fillId="34" borderId="17" xfId="0" applyFont="1" applyFill="1" applyBorder="1" applyNumberFormat="1">
      <alignment horizontal="center" vertical="center" wrapText="1"/>
    </xf>
    <xf numFmtId="0" fontId="0" fillId="34" borderId="17" xfId="0" applyFont="1" applyFill="1" applyBorder="1" applyNumberFormat="1">
      <alignment horizontal="center" vertical="center" wrapText="1"/>
    </xf>
    <xf numFmtId="0" fontId="0" fillId="34" borderId="37" xfId="0" applyFont="1" applyFill="1" applyBorder="1" applyNumberFormat="1">
      <alignment horizontal="center" vertical="center" wrapText="1"/>
    </xf>
    <xf numFmtId="0" fontId="19" fillId="0" borderId="12" xfId="0" applyFont="1" applyBorder="1" applyNumberFormat="1">
      <alignment horizontal="center" vertical="center" wrapText="1"/>
    </xf>
    <xf numFmtId="0" fontId="37" fillId="0" borderId="0" xfId="0" applyFont="1" applyNumberFormat="1">
      <alignment horizontal="center" vertical="center" wrapText="1"/>
    </xf>
    <xf numFmtId="49" fontId="37"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19" fillId="0" borderId="12" xfId="0" applyFont="1" applyBorder="1" applyNumberFormat="1">
      <alignment horizontal="left" vertical="center" wrapText="1"/>
    </xf>
    <xf numFmtId="49" fontId="37" fillId="0" borderId="0" xfId="0" applyFont="1" applyNumberFormat="1">
      <alignment horizontal="center" vertical="center" wrapText="1"/>
    </xf>
    <xf numFmtId="49" fontId="19" fillId="0" borderId="14" xfId="0" applyFont="1" applyBorder="1" applyNumberFormat="1">
      <alignment horizontal="center" vertical="center" wrapText="1"/>
    </xf>
    <xf numFmtId="49" fontId="29" fillId="36" borderId="14" xfId="0" applyFont="1" applyFill="1" applyBorder="1" applyNumberFormat="1">
      <alignment horizontal="left" vertical="center" indent="1"/>
    </xf>
    <xf numFmtId="0" fontId="19" fillId="36" borderId="29" xfId="0" applyFont="1" applyFill="1" applyBorder="1" applyNumberFormat="1">
      <alignment vertical="center" wrapText="1"/>
    </xf>
    <xf numFmtId="0" fontId="36" fillId="0" borderId="0" xfId="0" applyFont="1" applyNumberFormat="1">
      <alignment vertical="center" wrapText="1"/>
    </xf>
    <xf numFmtId="0" fontId="36" fillId="0" borderId="0" xfId="0" applyFont="1" applyNumberFormat="1">
      <alignment vertical="center" wrapText="1"/>
    </xf>
    <xf numFmtId="0" fontId="36" fillId="0" borderId="0" xfId="0" applyFont="1" applyNumberFormat="1">
      <alignment vertical="center" wrapText="1"/>
    </xf>
    <xf numFmtId="0" fontId="20" fillId="0" borderId="0" xfId="0" applyFont="1" applyNumberFormat="1">
      <alignment vertical="center" wrapText="1"/>
    </xf>
    <xf numFmtId="0" fontId="20" fillId="0" borderId="0" xfId="0" applyFont="1" applyNumberFormat="1">
      <alignment vertical="center" wrapText="1"/>
    </xf>
    <xf numFmtId="0" fontId="20" fillId="0" borderId="0" xfId="0" applyFont="1" applyNumberFormat="1">
      <alignment vertical="center" wrapText="1"/>
    </xf>
    <xf numFmtId="0" fontId="19" fillId="0" borderId="0" xfId="0" applyFont="1" applyNumberFormat="1">
      <alignment horizontal="left" vertical="center" wrapText="1" indent="3"/>
    </xf>
    <xf numFmtId="0" fontId="19" fillId="34" borderId="0" xfId="0" applyFont="1" applyFill="1" applyNumberFormat="1">
      <alignment vertical="center" wrapText="1"/>
    </xf>
    <xf numFmtId="0" fontId="19" fillId="34" borderId="39" xfId="0" applyFont="1" applyFill="1" applyBorder="1" applyNumberFormat="1">
      <alignment vertical="center" wrapText="1"/>
    </xf>
    <xf numFmtId="0" fontId="19" fillId="34" borderId="39" xfId="0" applyFont="1" applyFill="1" applyBorder="1" applyNumberFormat="1">
      <alignment vertical="center" wrapText="1"/>
    </xf>
    <xf numFmtId="49" fontId="60" fillId="0" borderId="39" xfId="0" applyFont="1" applyBorder="1" applyNumberFormat="1">
      <alignment vertical="top"/>
    </xf>
    <xf numFmtId="49" fontId="60" fillId="0" borderId="39" xfId="0" applyFont="1" applyBorder="1" applyNumberFormat="1">
      <alignment vertical="top"/>
    </xf>
    <xf numFmtId="0" fontId="39" fillId="34" borderId="39" xfId="0" applyFont="1" applyFill="1" applyBorder="1" applyNumberFormat="1">
      <alignment horizontal="center" wrapText="1"/>
    </xf>
    <xf numFmtId="0" fontId="39" fillId="34" borderId="39" xfId="0" applyFont="1" applyFill="1" applyBorder="1" applyNumberFormat="1">
      <alignment horizontal="center" wrapText="1"/>
    </xf>
    <xf numFmtId="0" fontId="19" fillId="34" borderId="39" xfId="0" applyFont="1" applyFill="1" applyBorder="1" applyNumberFormat="1">
      <alignment vertical="center" wrapText="1"/>
    </xf>
    <xf numFmtId="0" fontId="19" fillId="34" borderId="39" xfId="0" applyFont="1" applyFill="1" applyBorder="1" applyNumberFormat="1">
      <alignment vertical="center" wrapText="1"/>
    </xf>
    <xf numFmtId="49" fontId="19" fillId="0" borderId="0" xfId="0" applyFont="1" applyNumberFormat="1">
      <alignment vertical="top"/>
    </xf>
    <xf numFmtId="0" fontId="19" fillId="0" borderId="62" xfId="0" applyFont="1" applyBorder="1" applyNumberFormat="1">
      <alignment horizontal="center" vertical="center"/>
    </xf>
    <xf numFmtId="0" fontId="19" fillId="0" borderId="63" xfId="0" applyFont="1" applyBorder="1" applyNumberFormat="1">
      <alignment horizontal="center" vertical="center"/>
    </xf>
    <xf numFmtId="0" fontId="19" fillId="0" borderId="65" xfId="0" applyFont="1" applyBorder="1" applyNumberFormat="1">
      <alignment horizontal="center" vertical="center"/>
    </xf>
    <xf numFmtId="0" fontId="19" fillId="0" borderId="38" xfId="0" applyFont="1" applyBorder="1" applyNumberFormat="1">
      <alignment vertical="center" wrapText="1"/>
    </xf>
    <xf numFmtId="0" fontId="19" fillId="34" borderId="12" xfId="0" applyFont="1" applyFill="1" applyBorder="1" applyNumberFormat="1">
      <alignment horizontal="center" vertical="center" wrapText="1"/>
    </xf>
    <xf numFmtId="0" fontId="19" fillId="34" borderId="37" xfId="0" applyFont="1" applyFill="1" applyBorder="1" applyNumberFormat="1">
      <alignment horizontal="center" vertical="center" wrapText="1"/>
    </xf>
    <xf numFmtId="0" fontId="19" fillId="34" borderId="20" xfId="0" applyFont="1" applyFill="1" applyBorder="1" applyNumberFormat="1">
      <alignment horizontal="center" vertical="center" wrapText="1"/>
    </xf>
    <xf numFmtId="0" fontId="19" fillId="0" borderId="0" xfId="0" applyFont="1" applyNumberFormat="1">
      <alignment vertical="center" wrapText="1"/>
    </xf>
    <xf numFmtId="0" fontId="19" fillId="34" borderId="0" xfId="0" applyFont="1" applyFill="1" applyNumberFormat="1">
      <alignment vertical="center" wrapText="1"/>
    </xf>
    <xf numFmtId="0" fontId="19" fillId="34" borderId="22" xfId="0" applyFont="1" applyFill="1" applyBorder="1" applyNumberFormat="1">
      <alignment horizontal="center" vertical="center" wrapText="1"/>
    </xf>
    <xf numFmtId="0" fontId="19" fillId="34" borderId="24" xfId="0" applyFont="1" applyFill="1" applyBorder="1" applyNumberFormat="1">
      <alignment horizontal="center" vertical="center" wrapText="1"/>
    </xf>
    <xf numFmtId="49" fontId="19" fillId="0" borderId="0" xfId="0" applyFont="1" applyNumberFormat="1">
      <alignment vertical="top"/>
    </xf>
    <xf numFmtId="0" fontId="19" fillId="0" borderId="0" xfId="0" applyFont="1" applyNumberFormat="1">
      <alignment vertical="center" wrapText="1"/>
    </xf>
    <xf numFmtId="49" fontId="88" fillId="0" borderId="0" xfId="0" applyFont="1" applyNumberFormat="1">
      <alignment horizontal="center" vertical="center" wrapText="1"/>
    </xf>
    <xf numFmtId="0" fontId="19" fillId="34" borderId="0" xfId="0" applyFont="1" applyFill="1" applyNumberFormat="1">
      <alignment vertical="center" wrapText="1"/>
    </xf>
    <xf numFmtId="0" fontId="0" fillId="0" borderId="12" xfId="0" applyFont="1" applyBorder="1" applyNumberFormat="1">
      <alignment horizontal="center" vertical="center" wrapText="1"/>
    </xf>
    <xf numFmtId="49" fontId="19" fillId="0" borderId="0" xfId="0" applyFont="1" applyNumberFormat="1">
      <alignment vertical="top"/>
    </xf>
    <xf numFmtId="0" fontId="19" fillId="34" borderId="30" xfId="0" applyFont="1" applyFill="1" applyBorder="1" applyNumberFormat="1">
      <alignment horizontal="center" vertical="center" wrapText="1"/>
    </xf>
    <xf numFmtId="0" fontId="19" fillId="34" borderId="29" xfId="0" applyFont="1" applyFill="1" applyBorder="1" applyNumberFormat="1">
      <alignment horizontal="center" vertical="center" wrapText="1"/>
    </xf>
    <xf numFmtId="0" fontId="19"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34" borderId="0" xfId="0" applyFont="1" applyFill="1" applyNumberFormat="1">
      <alignment vertical="center" wrapText="1"/>
    </xf>
    <xf numFmtId="0" fontId="19" fillId="0" borderId="0" xfId="0" applyFont="1" applyNumberFormat="1">
      <alignment vertical="center" wrapText="1"/>
    </xf>
    <xf numFmtId="0" fontId="19" fillId="0" borderId="0" xfId="0" applyFont="1" applyNumberFormat="1">
      <alignment vertical="center" wrapText="1"/>
    </xf>
    <xf numFmtId="0" fontId="19" fillId="0" borderId="0" xfId="0" applyFont="1" applyNumberFormat="1">
      <alignment vertical="center" wrapText="1"/>
    </xf>
    <xf numFmtId="0" fontId="19" fillId="0" borderId="0" xfId="0" applyFont="1" applyNumberFormat="1">
      <alignment vertical="center" wrapText="1"/>
    </xf>
    <xf numFmtId="0" fontId="19" fillId="0" borderId="0" xfId="0" applyFont="1" applyNumberFormat="1">
      <alignment vertical="center"/>
    </xf>
    <xf numFmtId="0" fontId="19" fillId="0" borderId="0" xfId="0" applyFont="1" applyNumberFormat="1">
      <alignment vertical="center"/>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0" fontId="19" fillId="0" borderId="0" xfId="0" applyFont="1" applyNumberFormat="1">
      <alignment horizontal="left" vertical="center" wrapText="1"/>
    </xf>
    <xf numFmtId="0" fontId="19" fillId="0" borderId="0" xfId="0" applyFont="1" applyNumberFormat="1">
      <alignment vertical="center" wrapText="1"/>
    </xf>
    <xf numFmtId="0" fontId="19" fillId="0" borderId="0" xfId="0" applyFont="1" applyNumberFormat="1">
      <alignment vertical="center" wrapText="1"/>
    </xf>
    <xf numFmtId="0" fontId="19" fillId="34" borderId="0" xfId="0" applyFont="1" applyFill="1" applyNumberFormat="1">
      <alignment vertical="center" wrapText="1"/>
    </xf>
    <xf numFmtId="0" fontId="19" fillId="34" borderId="19" xfId="0" applyFont="1" applyFill="1" applyBorder="1" applyNumberFormat="1">
      <alignment vertical="center" wrapText="1"/>
    </xf>
    <xf numFmtId="49" fontId="19" fillId="0" borderId="0" xfId="0" applyFont="1" applyNumberFormat="1">
      <alignment vertical="top"/>
    </xf>
    <xf numFmtId="49" fontId="37" fillId="0" borderId="0" xfId="0" applyFont="1" applyNumberFormat="1">
      <alignment vertical="top"/>
    </xf>
    <xf numFmtId="0" fontId="37" fillId="0" borderId="39" xfId="0" applyFont="1" applyBorder="1" applyNumberFormat="1">
      <alignment vertical="center" wrapText="1"/>
    </xf>
    <xf numFmtId="0" fontId="19" fillId="0" borderId="75" xfId="0" applyFont="1" applyBorder="1" applyNumberFormat="1">
      <alignment horizontal="center" vertical="center"/>
    </xf>
    <xf numFmtId="0" fontId="19" fillId="0" borderId="43" xfId="0" applyFont="1" applyBorder="1" applyNumberFormat="1">
      <alignment horizontal="center" vertical="center"/>
    </xf>
    <xf numFmtId="0" fontId="19"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19" fillId="0" borderId="22" xfId="0" applyFont="1" applyBorder="1" applyNumberFormat="1">
      <alignment vertical="top"/>
    </xf>
    <xf numFmtId="49" fontId="0" fillId="0" borderId="36" xfId="0" applyFont="1" applyBorder="1" applyNumberFormat="1">
      <alignment horizontal="center" vertical="center" wrapText="1"/>
    </xf>
    <xf numFmtId="0" fontId="0" fillId="33"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3" borderId="12" xfId="0" applyFont="1" applyFill="1" applyBorder="1" applyNumberFormat="1">
      <alignment horizontal="center" vertical="center"/>
    </xf>
    <xf numFmtId="0" fontId="19"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3"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5"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34" fillId="0" borderId="0" xfId="0" applyFont="1" applyNumberFormat="1">
      <alignment vertical="center"/>
    </xf>
    <xf numFmtId="49" fontId="89" fillId="0" borderId="0" xfId="0" applyFont="1" applyNumberFormat="1">
      <alignment vertical="center"/>
    </xf>
    <xf numFmtId="49" fontId="34" fillId="0" borderId="0" xfId="0" applyFont="1" applyNumberFormat="1">
      <alignment vertical="center"/>
    </xf>
    <xf numFmtId="49" fontId="34" fillId="0" borderId="0" xfId="0" applyFont="1" applyNumberFormat="1">
      <alignment vertical="center"/>
    </xf>
    <xf numFmtId="49" fontId="89" fillId="0" borderId="0" xfId="0" applyFont="1" applyNumberFormat="1">
      <alignment vertical="center" wrapText="1"/>
    </xf>
    <xf numFmtId="49" fontId="34" fillId="0" borderId="0" xfId="0" applyFont="1" applyNumberFormat="1">
      <alignment vertical="center" wrapText="1"/>
    </xf>
    <xf numFmtId="49" fontId="34" fillId="0" borderId="0" xfId="0" applyFont="1" applyNumberFormat="1">
      <alignment vertical="top"/>
    </xf>
    <xf numFmtId="49" fontId="34" fillId="0" borderId="0" xfId="0" applyFont="1" applyNumberFormat="1">
      <alignment vertical="center" wrapText="1"/>
    </xf>
    <xf numFmtId="49" fontId="19" fillId="0" borderId="0" xfId="0" applyFont="1" applyNumberFormat="1">
      <alignment horizontal="center" vertical="top" wrapText="1"/>
    </xf>
    <xf numFmtId="49" fontId="20" fillId="0" borderId="0" xfId="0" applyFont="1" applyNumberFormat="1">
      <alignment horizontal="center" vertical="top" wrapText="1"/>
    </xf>
    <xf numFmtId="49" fontId="19" fillId="34" borderId="0" xfId="0" applyFont="1" applyFill="1" applyNumberFormat="1">
      <alignment horizontal="center" vertical="top" wrapText="1"/>
    </xf>
    <xf numFmtId="0" fontId="19" fillId="0" borderId="20" xfId="0" applyFont="1" applyBorder="1" applyNumberFormat="1">
      <alignment horizontal="left" vertical="top" wrapText="1"/>
    </xf>
    <xf numFmtId="49" fontId="19" fillId="0" borderId="0" xfId="0" applyFont="1" applyNumberFormat="1">
      <alignment horizontal="center" vertical="center" wrapText="1"/>
    </xf>
    <xf numFmtId="49" fontId="20" fillId="0" borderId="0" xfId="0" applyFont="1" applyNumberFormat="1">
      <alignment horizontal="center" vertical="center" wrapText="1"/>
    </xf>
    <xf numFmtId="49" fontId="19" fillId="34" borderId="0" xfId="0" applyFont="1" applyFill="1" applyNumberFormat="1">
      <alignment horizontal="center" vertical="center" wrapText="1"/>
    </xf>
    <xf numFmtId="49" fontId="34" fillId="0" borderId="0" xfId="0" applyFont="1" applyNumberFormat="1">
      <alignment horizontal="center" vertical="center" wrapText="1"/>
    </xf>
    <xf numFmtId="49" fontId="89" fillId="0" borderId="0" xfId="0" applyFont="1" applyNumberFormat="1">
      <alignment horizontal="center" vertical="center" wrapText="1"/>
    </xf>
    <xf numFmtId="49" fontId="34" fillId="0" borderId="0" xfId="0" applyFont="1" applyNumberFormat="1">
      <alignment horizontal="center" vertical="center" wrapText="1"/>
    </xf>
    <xf numFmtId="0" fontId="34" fillId="0" borderId="0" xfId="0" applyFont="1" applyNumberFormat="1">
      <alignment horizontal="center" vertical="center" wrapText="1"/>
    </xf>
    <xf numFmtId="49" fontId="89" fillId="0" borderId="0" xfId="0" applyFont="1" applyNumberFormat="1">
      <alignment horizontal="center" vertical="center" wrapText="1"/>
    </xf>
    <xf numFmtId="49" fontId="19" fillId="0" borderId="0" xfId="0" applyFont="1" applyNumberFormat="1">
      <alignment horizontal="center" vertical="center" wrapText="1"/>
    </xf>
    <xf numFmtId="0" fontId="19" fillId="0" borderId="0" xfId="0" applyFont="1" applyNumberFormat="1">
      <alignment horizontal="center" vertical="center" wrapText="1"/>
    </xf>
    <xf numFmtId="0" fontId="19" fillId="48" borderId="14" xfId="0" applyFont="1" applyFill="1" applyBorder="1" applyNumberFormat="1">
      <alignment horizontal="center" vertical="center" wrapText="1"/>
    </xf>
    <xf numFmtId="0" fontId="19" fillId="48" borderId="15" xfId="0" applyFont="1" applyFill="1" applyBorder="1" applyNumberFormat="1">
      <alignment horizontal="center" vertical="center" wrapText="1"/>
    </xf>
    <xf numFmtId="0" fontId="19" fillId="48" borderId="13" xfId="0" applyFont="1" applyFill="1" applyBorder="1" applyNumberFormat="1">
      <alignment horizontal="center" vertical="center" wrapText="1"/>
    </xf>
    <xf numFmtId="49" fontId="36" fillId="46" borderId="14" xfId="0" applyFont="1" applyFill="1" applyBorder="1" applyNumberFormat="1">
      <alignment horizontal="center" vertical="center" wrapText="1"/>
    </xf>
    <xf numFmtId="49" fontId="36" fillId="46" borderId="15" xfId="0" applyFont="1" applyFill="1" applyBorder="1" applyNumberFormat="1">
      <alignment horizontal="center" vertical="center" wrapText="1"/>
    </xf>
    <xf numFmtId="49" fontId="36" fillId="46" borderId="13" xfId="0" applyFont="1" applyFill="1" applyBorder="1" applyNumberFormat="1">
      <alignment horizontal="center" vertical="center" wrapText="1"/>
    </xf>
    <xf numFmtId="49" fontId="36" fillId="49" borderId="14" xfId="0" applyFont="1" applyFill="1" applyBorder="1" applyNumberFormat="1">
      <alignment horizontal="center" vertical="center" wrapText="1"/>
    </xf>
    <xf numFmtId="49" fontId="36" fillId="49" borderId="15" xfId="0" applyFont="1" applyFill="1" applyBorder="1" applyNumberFormat="1">
      <alignment horizontal="center" vertical="center" wrapText="1"/>
    </xf>
    <xf numFmtId="49" fontId="36" fillId="49" borderId="13" xfId="0" applyFont="1" applyFill="1" applyBorder="1" applyNumberFormat="1">
      <alignment horizontal="center" vertical="center" wrapText="1"/>
    </xf>
    <xf numFmtId="49" fontId="19" fillId="50" borderId="14" xfId="0" applyFont="1" applyFill="1" applyBorder="1" applyNumberFormat="1">
      <alignment horizontal="center" vertical="center" wrapText="1"/>
    </xf>
    <xf numFmtId="49" fontId="19" fillId="50" borderId="15" xfId="0" applyFont="1" applyFill="1" applyBorder="1" applyNumberFormat="1">
      <alignment horizontal="center" vertical="center" wrapText="1"/>
    </xf>
    <xf numFmtId="49" fontId="19" fillId="40" borderId="19" xfId="0" applyFont="1" applyFill="1" applyBorder="1" applyNumberFormat="1">
      <alignment horizontal="center" vertical="center" wrapText="1"/>
    </xf>
    <xf numFmtId="49" fontId="19" fillId="40" borderId="0" xfId="0" applyFont="1" applyFill="1" applyNumberFormat="1">
      <alignment horizontal="center" vertical="center" wrapText="1"/>
    </xf>
    <xf numFmtId="49" fontId="19" fillId="0" borderId="14" xfId="0" applyFont="1" applyBorder="1" applyNumberFormat="1">
      <alignment horizontal="center" vertical="center" wrapText="1"/>
    </xf>
    <xf numFmtId="49" fontId="19" fillId="0" borderId="15" xfId="0" applyFont="1" applyBorder="1" applyNumberFormat="1">
      <alignment horizontal="center" vertical="center" wrapText="1"/>
    </xf>
    <xf numFmtId="49" fontId="19" fillId="0" borderId="13" xfId="0" applyFont="1" applyBorder="1" applyNumberFormat="1">
      <alignment horizontal="center" vertical="center" wrapText="1"/>
    </xf>
    <xf numFmtId="49" fontId="34" fillId="34" borderId="0" xfId="0" applyFont="1" applyFill="1" applyNumberFormat="1">
      <alignment vertical="center" wrapText="1"/>
    </xf>
    <xf numFmtId="49" fontId="19" fillId="34" borderId="12" xfId="0" applyFont="1" applyFill="1" applyBorder="1" applyNumberFormat="1">
      <alignment horizontal="center" vertical="center" wrapText="1"/>
    </xf>
    <xf numFmtId="49" fontId="19" fillId="40" borderId="12" xfId="0" applyFont="1" applyFill="1" applyBorder="1" applyNumberFormat="1">
      <alignment horizontal="center" vertical="center" wrapText="1"/>
    </xf>
    <xf numFmtId="0" fontId="19" fillId="40" borderId="12" xfId="0" applyFont="1" applyFill="1" applyBorder="1" applyNumberFormat="1">
      <alignment horizontal="center" vertical="center" wrapText="1"/>
    </xf>
    <xf numFmtId="0" fontId="19" fillId="40" borderId="14" xfId="0" applyFont="1" applyFill="1" applyBorder="1" applyNumberFormat="1">
      <alignment horizontal="center" vertical="center" wrapText="1"/>
    </xf>
    <xf numFmtId="0" fontId="19" fillId="34" borderId="14" xfId="0" applyFont="1" applyFill="1" applyBorder="1" applyNumberFormat="1">
      <alignment horizontal="center" vertical="center" wrapText="1"/>
    </xf>
    <xf numFmtId="0" fontId="19" fillId="34" borderId="15" xfId="0" applyFont="1" applyFill="1" applyBorder="1" applyNumberFormat="1">
      <alignment horizontal="center" vertical="center" wrapText="1"/>
    </xf>
    <xf numFmtId="0" fontId="19" fillId="34" borderId="13" xfId="0" applyFont="1" applyFill="1" applyBorder="1" applyNumberFormat="1">
      <alignment horizontal="center" vertical="center" wrapText="1"/>
    </xf>
    <xf numFmtId="0" fontId="19" fillId="40" borderId="13" xfId="0" applyFont="1" applyFill="1" applyBorder="1" applyNumberFormat="1">
      <alignment horizontal="center" vertical="center" wrapText="1"/>
    </xf>
    <xf numFmtId="49" fontId="19" fillId="0" borderId="0" xfId="0" applyFont="1" applyNumberFormat="1">
      <alignment vertical="center" wrapText="1"/>
    </xf>
    <xf numFmtId="49" fontId="34" fillId="0" borderId="0" xfId="0" applyFont="1" applyNumberFormat="1">
      <alignment vertical="top"/>
    </xf>
    <xf numFmtId="0" fontId="19" fillId="34" borderId="20" xfId="0" applyFont="1" applyFill="1" applyBorder="1" applyNumberFormat="1">
      <alignment horizontal="center" vertical="center" wrapText="1"/>
    </xf>
    <xf numFmtId="0" fontId="19" fillId="34" borderId="29" xfId="0" applyFont="1" applyFill="1" applyBorder="1" applyNumberFormat="1">
      <alignment horizontal="center" vertical="center" wrapText="1"/>
    </xf>
    <xf numFmtId="0" fontId="19" fillId="34" borderId="12" xfId="0" applyFont="1" applyFill="1" applyBorder="1" applyNumberFormat="1">
      <alignment horizontal="center" vertical="center" wrapText="1"/>
    </xf>
    <xf numFmtId="49" fontId="19" fillId="40" borderId="27" xfId="0" applyFont="1" applyFill="1" applyBorder="1" applyNumberFormat="1">
      <alignment horizontal="center" vertical="center" wrapText="1"/>
    </xf>
    <xf numFmtId="49" fontId="34" fillId="34" borderId="0" xfId="0" applyFont="1" applyFill="1" applyNumberFormat="1">
      <alignment vertical="center"/>
    </xf>
    <xf numFmtId="49" fontId="24" fillId="0" borderId="12" xfId="0" applyFont="1" applyBorder="1" applyNumberFormat="1">
      <alignment horizontal="center" vertical="center"/>
    </xf>
    <xf numFmtId="49" fontId="24" fillId="40" borderId="12" xfId="0" applyFont="1" applyFill="1" applyBorder="1" applyNumberFormat="1">
      <alignment horizontal="center" vertical="center"/>
    </xf>
    <xf numFmtId="0" fontId="24" fillId="0" borderId="12" xfId="0" applyFont="1" applyBorder="1" applyNumberFormat="1">
      <alignment horizontal="center" vertical="center"/>
    </xf>
    <xf numFmtId="49" fontId="24" fillId="0" borderId="23" xfId="0" applyFont="1" applyBorder="1" applyNumberFormat="1">
      <alignment horizontal="center" vertical="center"/>
    </xf>
    <xf numFmtId="49" fontId="19" fillId="0" borderId="0" xfId="0" applyFont="1" applyNumberFormat="1">
      <alignment vertical="center"/>
    </xf>
    <xf numFmtId="49" fontId="89" fillId="0" borderId="0" xfId="0" applyFont="1" applyNumberFormat="1">
      <alignment vertical="center"/>
    </xf>
    <xf numFmtId="49" fontId="36" fillId="0" borderId="17" xfId="0" applyFont="1" applyBorder="1" applyNumberFormat="1">
      <alignment horizontal="center" vertical="center"/>
    </xf>
    <xf numFmtId="49" fontId="19" fillId="0" borderId="17" xfId="0" applyFont="1" applyBorder="1" applyNumberFormat="1">
      <alignment horizontal="center" vertical="center"/>
    </xf>
    <xf numFmtId="0" fontId="19" fillId="0" borderId="17" xfId="0" applyFont="1" applyBorder="1" applyNumberFormat="1">
      <alignment horizontal="right" vertical="center"/>
    </xf>
    <xf numFmtId="0" fontId="19" fillId="0" borderId="17" xfId="0" applyFont="1" applyBorder="1" applyNumberFormat="1">
      <alignment horizontal="center" vertical="center"/>
    </xf>
    <xf numFmtId="0" fontId="19" fillId="0" borderId="12" xfId="0" applyFont="1" applyBorder="1" applyNumberFormat="1">
      <alignment horizontal="right" vertical="center"/>
    </xf>
    <xf numFmtId="49" fontId="19" fillId="0" borderId="0" xfId="0" applyFont="1" applyNumberFormat="1">
      <alignment vertical="center"/>
    </xf>
    <xf numFmtId="49" fontId="34" fillId="0" borderId="0" xfId="0" applyFont="1" applyNumberFormat="1">
      <alignment vertical="top"/>
    </xf>
    <xf numFmtId="4" fontId="34" fillId="34" borderId="0" xfId="0" applyFont="1" applyFill="1" applyNumberFormat="1">
      <alignment vertical="center"/>
    </xf>
    <xf numFmtId="49" fontId="34" fillId="0" borderId="0" xfId="0" applyFont="1" applyNumberFormat="1">
      <alignment vertical="center" wrapText="1"/>
    </xf>
    <xf numFmtId="49" fontId="34" fillId="0" borderId="0" xfId="0" applyFont="1" applyNumberFormat="1">
      <alignment vertical="top"/>
    </xf>
    <xf numFmtId="0" fontId="34" fillId="0" borderId="0" xfId="0" applyFont="1" applyNumberFormat="1">
      <alignment vertical="center" wrapText="1"/>
    </xf>
    <xf numFmtId="49" fontId="84" fillId="0" borderId="0" xfId="0" applyFont="1" applyNumberFormat="1">
      <alignment vertical="center" wrapText="1"/>
    </xf>
    <xf numFmtId="49" fontId="34" fillId="0" borderId="0" xfId="0" applyFont="1" applyNumberFormat="1">
      <alignment vertical="center" wrapText="1"/>
    </xf>
    <xf numFmtId="49" fontId="89" fillId="0" borderId="0" xfId="0" applyFont="1" applyNumberFormat="1">
      <alignment vertical="center" wrapText="1"/>
    </xf>
    <xf numFmtId="0" fontId="19" fillId="0" borderId="12" xfId="0" applyFont="1" applyBorder="1" applyNumberFormat="1">
      <alignment horizontal="center" vertical="center" wrapText="1"/>
    </xf>
    <xf numFmtId="0" fontId="19" fillId="33" borderId="14" xfId="0" applyFont="1" applyFill="1" applyBorder="1" applyNumberFormat="1">
      <alignment horizontal="left" vertical="top" wrapText="1" indent="1"/>
    </xf>
    <xf numFmtId="0" fontId="19" fillId="0" borderId="14" xfId="0" applyFont="1" applyBorder="1" applyNumberFormat="1">
      <alignment horizontal="center" vertical="center" wrapText="1"/>
    </xf>
    <xf numFmtId="0" fontId="19" fillId="0" borderId="12" xfId="0" applyFont="1" applyBorder="1" applyNumberFormat="1">
      <alignment horizontal="left" vertical="center" wrapText="1"/>
    </xf>
    <xf numFmtId="3" fontId="19" fillId="38" borderId="14" xfId="0" applyFont="1" applyFill="1" applyBorder="1" applyNumberFormat="1">
      <alignment vertical="center" wrapText="1"/>
      <protection locked="0"/>
    </xf>
    <xf numFmtId="0" fontId="19" fillId="0" borderId="12" xfId="0" applyFont="1" applyBorder="1" applyNumberFormat="1">
      <alignment vertical="top" wrapText="1"/>
    </xf>
    <xf numFmtId="0" fontId="19" fillId="0" borderId="12" xfId="0" applyFont="1" applyBorder="1" applyNumberFormat="1">
      <alignment horizontal="left" vertical="top" wrapText="1"/>
    </xf>
    <xf numFmtId="4" fontId="19" fillId="33" borderId="14" xfId="0" applyFont="1" applyFill="1" applyBorder="1" applyNumberFormat="1">
      <alignment horizontal="right" vertical="center" wrapText="1"/>
    </xf>
    <xf numFmtId="0" fontId="36" fillId="0" borderId="12" xfId="0" applyFont="1" applyBorder="1" applyNumberFormat="1">
      <alignment vertical="top" wrapText="1"/>
    </xf>
    <xf numFmtId="49" fontId="19" fillId="38" borderId="12" xfId="0" applyFont="1" applyFill="1" applyBorder="1" applyNumberFormat="1">
      <alignment horizontal="left" vertical="center" wrapText="1" indent="1"/>
      <protection locked="0"/>
    </xf>
    <xf numFmtId="0" fontId="19" fillId="0" borderId="0" xfId="0" applyFont="1" applyNumberFormat="1">
      <alignment horizontal="left" vertical="center" wrapText="1" indent="2"/>
    </xf>
    <xf numFmtId="0" fontId="28" fillId="34" borderId="0" xfId="0" applyFont="1" applyFill="1" applyNumberFormat="1">
      <alignment vertical="center" wrapText="1"/>
    </xf>
    <xf numFmtId="0" fontId="19" fillId="34" borderId="0" xfId="0" applyFont="1" applyFill="1" applyNumberFormat="1">
      <alignment vertical="center" wrapText="1"/>
    </xf>
    <xf numFmtId="0" fontId="19" fillId="34" borderId="0" xfId="0" applyFont="1" applyFill="1" applyNumberFormat="1">
      <alignment horizontal="right" vertical="center" wrapText="1"/>
    </xf>
    <xf numFmtId="0" fontId="19" fillId="0" borderId="20" xfId="0" applyFont="1" applyBorder="1" applyNumberFormat="1">
      <alignment horizontal="left" vertical="top" wrapText="1" indent="1"/>
    </xf>
    <xf numFmtId="0" fontId="19" fillId="0" borderId="17" xfId="0" applyFont="1" applyBorder="1" applyNumberFormat="1">
      <alignment horizontal="left" vertical="top" wrapText="1" indent="1"/>
    </xf>
    <xf numFmtId="0" fontId="19" fillId="0" borderId="37" xfId="0" applyFont="1" applyBorder="1" applyNumberFormat="1">
      <alignment horizontal="left" vertical="top" wrapText="1" indent="1"/>
    </xf>
    <xf numFmtId="49" fontId="19" fillId="0" borderId="0" xfId="0" applyFont="1" applyNumberFormat="1">
      <alignment vertical="center" wrapText="1"/>
    </xf>
    <xf numFmtId="0" fontId="19" fillId="0" borderId="29" xfId="0" applyFont="1" applyBorder="1" applyNumberFormat="1">
      <alignment horizontal="left" vertical="center" wrapText="1" indent="1"/>
    </xf>
    <xf numFmtId="0" fontId="19" fillId="0" borderId="23" xfId="0" applyFont="1" applyBorder="1" applyNumberFormat="1">
      <alignment horizontal="left" vertical="center" wrapText="1" indent="1"/>
    </xf>
    <xf numFmtId="0" fontId="19" fillId="0" borderId="30" xfId="0" applyFont="1" applyBorder="1" applyNumberFormat="1">
      <alignment horizontal="left" vertical="center" wrapText="1" indent="1"/>
    </xf>
    <xf numFmtId="0" fontId="19" fillId="34" borderId="0" xfId="0" applyFont="1" applyFill="1" applyNumberFormat="1">
      <alignment horizontal="center" vertical="center" wrapText="1"/>
    </xf>
    <xf numFmtId="0" fontId="19" fillId="34" borderId="0" xfId="0" applyFont="1" applyFill="1" applyNumberFormat="1">
      <alignment horizontal="right" vertical="center"/>
    </xf>
    <xf numFmtId="49" fontId="19" fillId="0" borderId="0" xfId="0" applyFont="1" applyNumberFormat="1">
      <alignment vertical="center" wrapText="1"/>
    </xf>
    <xf numFmtId="0" fontId="19" fillId="34" borderId="0" xfId="0" applyFont="1" applyFill="1" applyNumberFormat="1">
      <alignment horizontal="center" vertical="center" wrapText="1"/>
    </xf>
    <xf numFmtId="0" fontId="19" fillId="34" borderId="12" xfId="0" applyFont="1" applyFill="1" applyBorder="1" applyNumberFormat="1">
      <alignment horizontal="center" vertical="center"/>
    </xf>
    <xf numFmtId="0" fontId="19" fillId="34"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24" fillId="34" borderId="0" xfId="0" applyFont="1" applyFill="1" applyNumberFormat="1">
      <alignment horizontal="center" vertical="center" wrapText="1"/>
    </xf>
    <xf numFmtId="49" fontId="19" fillId="0" borderId="0" xfId="0" applyFont="1" applyNumberFormat="1">
      <alignment vertical="top"/>
    </xf>
    <xf numFmtId="49" fontId="0" fillId="34"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19"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8" borderId="12" xfId="0" applyFont="1" applyFill="1" applyBorder="1" applyNumberFormat="1">
      <alignment horizontal="left" vertical="center" wrapText="1" indent="2"/>
      <protection locked="0"/>
    </xf>
    <xf numFmtId="49" fontId="43" fillId="38" borderId="12" xfId="0" applyFont="1" applyFill="1" applyBorder="1" applyNumberFormat="1">
      <alignment horizontal="left" vertical="center" wrapText="1"/>
      <protection locked="0"/>
    </xf>
    <xf numFmtId="0" fontId="19" fillId="36" borderId="14" xfId="0" applyFont="1" applyFill="1" applyBorder="1" applyNumberFormat="1">
      <alignment vertical="center" wrapText="1"/>
    </xf>
    <xf numFmtId="49" fontId="29" fillId="36" borderId="15" xfId="0" applyFont="1" applyFill="1" applyBorder="1" applyNumberFormat="1">
      <alignment horizontal="left" vertical="center" indent="2"/>
    </xf>
    <xf numFmtId="49" fontId="33" fillId="36" borderId="13" xfId="0" applyFont="1" applyFill="1" applyBorder="1" applyNumberFormat="1">
      <alignment horizontal="center" vertical="top"/>
    </xf>
    <xf numFmtId="0" fontId="19" fillId="0" borderId="17" xfId="0" applyFont="1" applyBorder="1" applyNumberFormat="1">
      <alignment vertical="center" wrapText="1"/>
    </xf>
    <xf numFmtId="0" fontId="19" fillId="0" borderId="0" xfId="0" applyFont="1" applyNumberFormat="1">
      <alignment vertical="center" wrapText="1"/>
    </xf>
    <xf numFmtId="49" fontId="19" fillId="0" borderId="0" xfId="0" applyFont="1" applyNumberFormat="1">
      <alignment vertical="top"/>
    </xf>
    <xf numFmtId="0" fontId="36" fillId="0" borderId="0" xfId="0" applyFont="1" applyNumberFormat="1">
      <alignment vertical="center" wrapText="1"/>
    </xf>
    <xf numFmtId="0" fontId="28" fillId="34" borderId="0" xfId="0" applyFont="1" applyFill="1" applyNumberFormat="1">
      <alignment vertical="center" wrapText="1"/>
    </xf>
    <xf numFmtId="49" fontId="33" fillId="36" borderId="15" xfId="0" applyFont="1" applyFill="1" applyBorder="1" applyNumberFormat="1">
      <alignment horizontal="center" vertical="top"/>
    </xf>
    <xf numFmtId="0" fontId="37" fillId="0" borderId="0" xfId="0" applyFont="1" applyNumberFormat="1">
      <alignment vertical="center"/>
    </xf>
    <xf numFmtId="49" fontId="0" fillId="34"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4"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57" fillId="0" borderId="12" xfId="0" applyFont="1" applyBorder="1" applyNumberFormat="1">
      <alignment horizontal="center" vertical="center" wrapText="1"/>
    </xf>
    <xf numFmtId="0" fontId="57" fillId="0" borderId="12" xfId="0" applyFont="1" applyBorder="1" applyNumberFormat="1">
      <alignment horizontal="left" vertical="center" wrapText="1" indent="2"/>
    </xf>
    <xf numFmtId="49" fontId="61" fillId="0" borderId="14" xfId="0" applyFont="1" applyBorder="1" applyNumberFormat="1">
      <alignment horizontal="left" vertical="center" wrapText="1"/>
    </xf>
    <xf numFmtId="0" fontId="19" fillId="0" borderId="17" xfId="0" applyFont="1" applyBorder="1" applyNumberFormat="1">
      <alignment vertical="top" wrapText="1"/>
    </xf>
    <xf numFmtId="49" fontId="29" fillId="36" borderId="15" xfId="0" applyFont="1" applyFill="1" applyBorder="1" applyNumberFormat="1">
      <alignment horizontal="left" vertical="center" indent="1"/>
    </xf>
    <xf numFmtId="0" fontId="19" fillId="0" borderId="23" xfId="0" applyFont="1" applyBorder="1" applyNumberFormat="1">
      <alignment vertical="top" wrapText="1"/>
    </xf>
    <xf numFmtId="49" fontId="0" fillId="34"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19" fillId="0" borderId="12" xfId="0" applyFont="1" applyBorder="1" applyNumberFormat="1">
      <alignment vertical="center" wrapText="1"/>
    </xf>
    <xf numFmtId="0" fontId="0" fillId="0" borderId="12" xfId="0" applyFont="1" applyBorder="1" applyNumberFormat="1">
      <alignment horizontal="left" vertical="center" wrapText="1" indent="1"/>
    </xf>
    <xf numFmtId="0" fontId="19" fillId="0" borderId="0" xfId="0" applyFont="1" applyNumberFormat="1">
      <alignment vertical="top" wrapText="1"/>
    </xf>
    <xf numFmtId="49" fontId="19" fillId="0" borderId="0" xfId="0" applyFont="1" applyNumberFormat="1">
      <alignment vertical="center" wrapText="1"/>
    </xf>
    <xf numFmtId="0" fontId="28" fillId="0" borderId="0" xfId="0" applyFont="1" applyNumberFormat="1">
      <alignment vertical="center" wrapText="1"/>
    </xf>
    <xf numFmtId="49" fontId="36" fillId="0" borderId="0" xfId="0" applyFont="1" applyNumberFormat="1">
      <alignment vertical="top"/>
    </xf>
    <xf numFmtId="49" fontId="111" fillId="0" borderId="0" xfId="0" applyFont="1" applyNumberFormat="1">
      <alignment horizontal="center" vertical="center" wrapText="1"/>
    </xf>
    <xf numFmtId="0" fontId="0" fillId="38" borderId="12" xfId="0" applyFont="1" applyFill="1" applyBorder="1" applyNumberFormat="1">
      <alignment horizontal="left" vertical="center" wrapText="1" indent="1"/>
      <protection locked="0"/>
    </xf>
    <xf numFmtId="49" fontId="43" fillId="38"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8"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19" fillId="39"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8" borderId="12" xfId="0" applyFont="1" applyFill="1" applyBorder="1" applyNumberFormat="1">
      <alignment horizontal="left" vertical="center" wrapText="1"/>
      <protection locked="0"/>
    </xf>
    <xf numFmtId="0" fontId="19"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19"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19" fillId="0" borderId="12" xfId="0" applyFont="1" applyBorder="1" applyNumberFormat="1">
      <alignment vertical="top" wrapText="1"/>
    </xf>
    <xf numFmtId="49" fontId="36" fillId="0" borderId="0" xfId="0" applyFont="1" applyNumberFormat="1">
      <alignment vertical="top"/>
    </xf>
    <xf numFmtId="49" fontId="111" fillId="0" borderId="0" xfId="0" applyFont="1" applyNumberFormat="1">
      <alignment horizontal="center" vertical="center" wrapText="1"/>
    </xf>
    <xf numFmtId="49" fontId="0" fillId="34" borderId="12" xfId="0" applyFont="1" applyFill="1" applyBorder="1" applyNumberFormat="1">
      <alignment horizontal="center" vertical="center" wrapText="1"/>
    </xf>
    <xf numFmtId="0" fontId="0" fillId="38" borderId="12" xfId="0" applyFont="1" applyFill="1" applyBorder="1" applyNumberFormat="1">
      <alignment horizontal="left" vertical="center" wrapText="1" indent="1"/>
      <protection locked="0"/>
    </xf>
    <xf numFmtId="49" fontId="43" fillId="38" borderId="12" xfId="0" applyFont="1" applyFill="1" applyBorder="1" applyNumberFormat="1">
      <alignment horizontal="left" vertical="center" wrapText="1"/>
      <protection locked="0"/>
    </xf>
    <xf numFmtId="49" fontId="29" fillId="36"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38" borderId="12" xfId="0" applyFont="1" applyFill="1" applyBorder="1" applyNumberFormat="1">
      <alignment horizontal="left" vertical="center" wrapText="1"/>
      <protection locked="0"/>
    </xf>
    <xf numFmtId="49" fontId="29" fillId="36" borderId="15" xfId="0" applyFont="1" applyFill="1" applyBorder="1" applyNumberFormat="1">
      <alignment horizontal="left" vertical="center" indent="3"/>
    </xf>
    <xf numFmtId="0" fontId="0" fillId="0" borderId="12" xfId="0" applyFont="1" applyBorder="1" applyNumberFormat="1">
      <alignment horizontal="left" vertical="center" wrapText="1" indent="2"/>
    </xf>
    <xf numFmtId="49" fontId="19" fillId="39" borderId="12" xfId="0" applyFont="1" applyFill="1" applyBorder="1" applyNumberFormat="1">
      <alignment horizontal="left" vertical="center" wrapText="1"/>
    </xf>
    <xf numFmtId="49" fontId="19" fillId="0" borderId="0" xfId="0" applyFont="1" applyNumberFormat="1">
      <alignment vertical="top"/>
    </xf>
    <xf numFmtId="49" fontId="37" fillId="0" borderId="0" xfId="0" applyFont="1" applyNumberFormat="1">
      <alignment vertical="top"/>
    </xf>
    <xf numFmtId="0" fontId="19" fillId="0" borderId="0" xfId="0" applyFont="1" applyNumberFormat="1">
      <alignment horizontal="right" vertical="top" wrapText="1"/>
    </xf>
    <xf numFmtId="49" fontId="19" fillId="0" borderId="0" xfId="0" applyFont="1" applyNumberFormat="1">
      <alignment vertical="top" wrapText="1"/>
    </xf>
    <xf numFmtId="49" fontId="19" fillId="0" borderId="0" xfId="0" applyFont="1" applyNumberFormat="1">
      <alignment vertical="top"/>
    </xf>
    <xf numFmtId="0" fontId="0" fillId="0" borderId="13" xfId="0" applyFont="1" applyBorder="1" applyNumberFormat="1">
      <alignment horizontal="center" vertical="center" wrapText="1"/>
    </xf>
    <xf numFmtId="174" fontId="0" fillId="38" borderId="13" xfId="0" applyFont="1" applyFill="1" applyBorder="1" applyNumberFormat="1">
      <alignment horizontal="left" vertical="center" wrapText="1"/>
      <protection locked="0"/>
    </xf>
    <xf numFmtId="174" fontId="0" fillId="38" borderId="14" xfId="0" applyFont="1" applyFill="1" applyBorder="1" applyNumberFormat="1">
      <alignment horizontal="left" vertical="center" wrapText="1"/>
      <protection locked="0"/>
    </xf>
    <xf numFmtId="0" fontId="19" fillId="39"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49" fontId="33" fillId="36" borderId="13" xfId="0" applyFont="1" applyFill="1" applyBorder="1" applyNumberFormat="1">
      <alignment horizontal="center" vertical="top"/>
    </xf>
    <xf numFmtId="0" fontId="0" fillId="0" borderId="13" xfId="0" applyFont="1" applyBorder="1" applyNumberFormat="1">
      <alignment horizontal="center" vertical="center" wrapText="1"/>
    </xf>
    <xf numFmtId="0" fontId="19" fillId="0" borderId="0" xfId="0" applyFont="1" applyNumberFormat="1">
      <alignment horizontal="left" vertical="center" wrapText="1" indent="1"/>
    </xf>
    <xf numFmtId="0" fontId="0" fillId="0" borderId="12" xfId="0" applyFont="1" applyBorder="1" applyNumberFormat="1">
      <alignment horizontal="center" vertical="center" wrapText="1"/>
    </xf>
    <xf numFmtId="0" fontId="19" fillId="0" borderId="15" xfId="0" applyFont="1" applyBorder="1" applyNumberFormat="1">
      <alignment horizontal="left" vertical="top" wrapText="1" indent="1"/>
    </xf>
    <xf numFmtId="0" fontId="35" fillId="0" borderId="0" xfId="0" applyFont="1" applyNumberFormat="1">
      <alignment vertical="center" wrapText="1"/>
    </xf>
    <xf numFmtId="0" fontId="0" fillId="34" borderId="14" xfId="0" applyFont="1" applyFill="1" applyBorder="1" applyNumberFormat="1">
      <alignment horizontal="right" vertical="center" wrapText="1" indent="1"/>
    </xf>
    <xf numFmtId="0" fontId="62" fillId="0" borderId="0" xfId="0" applyFont="1" applyNumberFormat="1">
      <alignment vertical="center" wrapText="1"/>
    </xf>
    <xf numFmtId="49" fontId="24" fillId="34" borderId="0" xfId="0" applyFont="1" applyFill="1" applyNumberFormat="1">
      <alignment horizontal="center" vertical="center" wrapText="1"/>
    </xf>
    <xf numFmtId="49" fontId="24" fillId="34" borderId="19" xfId="0" applyFont="1" applyFill="1" applyBorder="1" applyNumberFormat="1">
      <alignment horizontal="center" vertical="center" wrapText="1"/>
    </xf>
    <xf numFmtId="49" fontId="0" fillId="34"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19" fillId="0" borderId="12" xfId="0" applyFont="1" applyBorder="1" applyNumberFormat="1">
      <alignment horizontal="left" vertical="center" wrapText="1"/>
    </xf>
    <xf numFmtId="0" fontId="28" fillId="34" borderId="0" xfId="0" applyFont="1" applyFill="1" applyNumberFormat="1">
      <alignment horizontal="center" vertical="top" wrapText="1"/>
    </xf>
    <xf numFmtId="0" fontId="0" fillId="33"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29" fillId="36" borderId="27" xfId="0" applyFont="1" applyFill="1" applyBorder="1" applyNumberFormat="1">
      <alignment horizontal="left" vertical="center" indent="2"/>
    </xf>
    <xf numFmtId="49" fontId="29" fillId="36" borderId="15" xfId="0" applyFont="1" applyFill="1" applyBorder="1" applyNumberFormat="1">
      <alignment horizontal="left" vertical="center"/>
    </xf>
    <xf numFmtId="0" fontId="28" fillId="34" borderId="24" xfId="0" applyFont="1" applyFill="1" applyBorder="1" applyNumberFormat="1">
      <alignment horizontal="center" vertical="top" wrapText="1"/>
    </xf>
    <xf numFmtId="49" fontId="0" fillId="34" borderId="23" xfId="0" applyFont="1" applyFill="1" applyBorder="1" applyNumberFormat="1">
      <alignment horizontal="center" vertical="center" wrapText="1"/>
    </xf>
    <xf numFmtId="0" fontId="0" fillId="33" borderId="23" xfId="0" applyFont="1" applyFill="1" applyBorder="1" applyNumberFormat="1">
      <alignment horizontal="left" vertical="center" wrapText="1" indent="1"/>
    </xf>
    <xf numFmtId="0" fontId="19" fillId="0" borderId="0" xfId="0" applyFont="1" applyNumberFormat="1">
      <alignment vertical="top" wrapText="1"/>
    </xf>
    <xf numFmtId="0" fontId="28" fillId="0" borderId="0" xfId="0" applyFont="1" applyNumberFormat="1">
      <alignment vertical="center" wrapText="1"/>
    </xf>
    <xf numFmtId="0" fontId="19" fillId="0" borderId="36" xfId="0" applyFont="1" applyBorder="1" applyNumberFormat="1">
      <alignment vertical="center" wrapText="1"/>
    </xf>
    <xf numFmtId="0" fontId="0" fillId="33" borderId="12" xfId="0" applyFont="1" applyFill="1" applyBorder="1" applyNumberFormat="1">
      <alignment horizontal="center" vertical="center" wrapText="1"/>
    </xf>
    <xf numFmtId="174" fontId="0" fillId="38" borderId="13" xfId="0" applyFont="1" applyFill="1" applyBorder="1" applyNumberFormat="1">
      <alignment horizontal="left" vertical="center" wrapText="1"/>
      <protection locked="0"/>
    </xf>
    <xf numFmtId="174" fontId="0" fillId="38" borderId="14" xfId="0" applyFont="1" applyFill="1" applyBorder="1" applyNumberFormat="1">
      <alignment horizontal="left" vertical="center" wrapText="1"/>
      <protection locked="0"/>
    </xf>
    <xf numFmtId="0" fontId="19" fillId="39"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62" fillId="0" borderId="0" xfId="0" applyFont="1" applyNumberFormat="1">
      <alignment vertical="center" wrapText="1"/>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0" fontId="19" fillId="0" borderId="12" xfId="0" applyFont="1" applyBorder="1" applyNumberFormat="1">
      <alignment vertical="top" wrapText="1"/>
    </xf>
    <xf numFmtId="49" fontId="0" fillId="34" borderId="14" xfId="0" applyFont="1" applyFill="1" applyBorder="1" applyNumberFormat="1">
      <alignment horizontal="center" vertical="center" wrapText="1"/>
    </xf>
    <xf numFmtId="0" fontId="19" fillId="0" borderId="36" xfId="0" applyFont="1" applyBorder="1" applyNumberFormat="1">
      <alignment horizontal="left" vertical="top" wrapText="1"/>
    </xf>
    <xf numFmtId="4" fontId="0" fillId="38" borderId="12" xfId="0" applyFont="1" applyFill="1" applyBorder="1" applyNumberFormat="1">
      <alignment horizontal="right" vertical="center" wrapText="1"/>
      <protection locked="0"/>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19" fillId="0" borderId="0" xfId="0" applyFont="1" applyNumberFormat="1">
      <alignment vertical="top"/>
    </xf>
    <xf numFmtId="49" fontId="19" fillId="0" borderId="19" xfId="0" applyFont="1" applyBorder="1" applyNumberFormat="1">
      <alignment vertical="top"/>
    </xf>
    <xf numFmtId="0" fontId="35" fillId="0" borderId="0" xfId="0" applyFont="1" applyNumberFormat="1">
      <alignment horizontal="right" vertical="top" wrapText="1"/>
    </xf>
    <xf numFmtId="0" fontId="19" fillId="0" borderId="0" xfId="0" applyFont="1" applyNumberFormat="1">
      <alignment vertical="center" wrapText="1"/>
    </xf>
    <xf numFmtId="49" fontId="19" fillId="0" borderId="0" xfId="0" applyFont="1" applyNumberFormat="1">
      <alignment vertical="top"/>
    </xf>
    <xf numFmtId="49" fontId="0" fillId="38" borderId="12" xfId="0" applyFont="1" applyFill="1" applyBorder="1" applyNumberFormat="1">
      <alignment horizontal="left" vertical="center" wrapText="1" indent="1"/>
      <protection locked="0"/>
    </xf>
    <xf numFmtId="0" fontId="54" fillId="0" borderId="0" xfId="0" applyFont="1" applyNumberFormat="1">
      <alignment vertical="center" wrapText="1"/>
    </xf>
    <xf numFmtId="0" fontId="19"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0" fontId="25" fillId="34" borderId="0" xfId="0" applyFont="1" applyFill="1" applyNumberFormat="1">
      <alignment horizontal="center" vertical="center" wrapText="1"/>
    </xf>
    <xf numFmtId="0" fontId="0" fillId="0" borderId="12" xfId="0" applyFont="1" applyBorder="1" applyNumberFormat="1">
      <alignment horizontal="left" vertical="center" wrapText="1"/>
    </xf>
    <xf numFmtId="0" fontId="19" fillId="0" borderId="19" xfId="0" applyFont="1" applyBorder="1" applyNumberFormat="1">
      <alignment vertical="center" wrapText="1"/>
    </xf>
    <xf numFmtId="49" fontId="29" fillId="0" borderId="19" xfId="0" applyFont="1" applyBorder="1" applyNumberFormat="1">
      <alignment horizontal="left" vertical="center"/>
    </xf>
    <xf numFmtId="49" fontId="29" fillId="0" borderId="19" xfId="0" applyFont="1" applyBorder="1" applyNumberFormat="1">
      <alignment horizontal="left" vertical="center" indent="2"/>
    </xf>
    <xf numFmtId="49" fontId="33" fillId="0" borderId="19" xfId="0" applyFont="1" applyBorder="1" applyNumberFormat="1">
      <alignment horizontal="center" vertical="top"/>
    </xf>
    <xf numFmtId="0" fontId="19" fillId="0" borderId="19" xfId="0" applyFont="1" applyBorder="1" applyNumberFormat="1">
      <alignment horizontal="left" vertical="top" wrapText="1"/>
    </xf>
    <xf numFmtId="49" fontId="19" fillId="0" borderId="0" xfId="0" applyFont="1" applyNumberFormat="1">
      <alignment vertical="center" wrapText="1"/>
    </xf>
    <xf numFmtId="0" fontId="73" fillId="0" borderId="0" xfId="0" applyFont="1" applyNumberFormat="1">
      <alignment vertical="center" wrapText="1"/>
    </xf>
    <xf numFmtId="0" fontId="19" fillId="0" borderId="12" xfId="0" applyFont="1" applyBorder="1" applyNumberFormat="1">
      <alignment horizontal="center" vertical="center" wrapText="1"/>
    </xf>
    <xf numFmtId="3" fontId="19" fillId="0" borderId="14" xfId="0" applyFont="1" applyBorder="1" applyNumberFormat="1">
      <alignment vertical="center" wrapText="1"/>
    </xf>
    <xf numFmtId="0" fontId="19" fillId="0" borderId="12"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2" xfId="0" applyFont="1" applyBorder="1" applyNumberFormat="1">
      <alignment horizontal="left" vertical="center" wrapText="1" indent="1"/>
    </xf>
    <xf numFmtId="4" fontId="19" fillId="0" borderId="14" xfId="0" applyFont="1" applyBorder="1" applyNumberFormat="1">
      <alignment horizontal="right" vertical="center" wrapText="1"/>
    </xf>
    <xf numFmtId="4" fontId="19" fillId="0" borderId="30" xfId="0" applyFont="1" applyBorder="1" applyNumberFormat="1">
      <alignment horizontal="right" vertical="center" wrapText="1"/>
    </xf>
    <xf numFmtId="0" fontId="43" fillId="0" borderId="0" xfId="0" applyFont="1" applyNumberFormat="1">
      <alignment vertical="center" wrapText="1"/>
    </xf>
    <xf numFmtId="0" fontId="20" fillId="0" borderId="0" xfId="0" applyFont="1" applyNumberFormat="1">
      <alignment vertical="center" wrapText="1"/>
    </xf>
    <xf numFmtId="0" fontId="25" fillId="34" borderId="0" xfId="0" applyFont="1" applyFill="1" applyNumberFormat="1">
      <alignment horizontal="center" vertical="center" wrapText="1"/>
    </xf>
    <xf numFmtId="0" fontId="19" fillId="34" borderId="0" xfId="0" applyFont="1" applyFill="1" applyNumberFormat="1"/>
    <xf numFmtId="49" fontId="20" fillId="0" borderId="0" xfId="0" applyFont="1" applyNumberFormat="1">
      <alignment vertical="top"/>
    </xf>
    <xf numFmtId="49" fontId="19" fillId="0" borderId="0" xfId="0" applyFont="1" applyNumberFormat="1">
      <alignment vertical="top"/>
    </xf>
    <xf numFmtId="49" fontId="25" fillId="0" borderId="0" xfId="0" applyFont="1" applyNumberFormat="1">
      <alignment horizontal="center" vertical="center"/>
    </xf>
    <xf numFmtId="0" fontId="32" fillId="34" borderId="0" xfId="0" applyFont="1" applyFill="1" applyNumberFormat="1">
      <alignment horizontal="center" vertical="center" wrapText="1"/>
    </xf>
    <xf numFmtId="0" fontId="20" fillId="34" borderId="0" xfId="0" applyFont="1" applyFill="1" applyNumberFormat="1"/>
    <xf numFmtId="0" fontId="19" fillId="34" borderId="12" xfId="0" applyFont="1" applyFill="1" applyBorder="1" applyNumberFormat="1">
      <alignment horizontal="center" vertical="center" wrapText="1"/>
    </xf>
    <xf numFmtId="49" fontId="19" fillId="0" borderId="0" xfId="0" applyFont="1" applyNumberFormat="1">
      <alignment vertical="top"/>
    </xf>
    <xf numFmtId="49" fontId="36" fillId="0" borderId="0" xfId="0" applyFont="1" applyNumberFormat="1">
      <alignment vertical="top"/>
    </xf>
    <xf numFmtId="49" fontId="19" fillId="0" borderId="0" xfId="0" applyFont="1" applyNumberFormat="1">
      <alignment vertical="top"/>
    </xf>
    <xf numFmtId="49" fontId="25" fillId="0" borderId="0" xfId="0" applyFont="1" applyNumberFormat="1">
      <alignment horizontal="center" vertical="center" wrapText="1"/>
    </xf>
    <xf numFmtId="49" fontId="19" fillId="0" borderId="12" xfId="0" applyFont="1" applyBorder="1" applyNumberFormat="1">
      <alignment horizontal="center" vertical="center" wrapText="1"/>
    </xf>
    <xf numFmtId="49" fontId="19" fillId="38" borderId="12" xfId="0" applyFont="1" applyFill="1" applyBorder="1" applyNumberFormat="1">
      <alignment horizontal="left" vertical="center" wrapText="1"/>
      <protection locked="0"/>
    </xf>
    <xf numFmtId="0" fontId="37" fillId="0" borderId="0" xfId="0" applyFont="1" applyNumberFormat="1">
      <alignment vertical="top"/>
    </xf>
    <xf numFmtId="49" fontId="37" fillId="0" borderId="0" xfId="0" applyFont="1" applyNumberFormat="1">
      <alignment vertical="top"/>
    </xf>
    <xf numFmtId="49" fontId="19" fillId="0" borderId="0" xfId="0" applyFont="1" applyNumberFormat="1">
      <alignment vertical="top"/>
    </xf>
    <xf numFmtId="49" fontId="29" fillId="36" borderId="15" xfId="0" applyFont="1" applyFill="1" applyBorder="1" applyNumberFormat="1">
      <alignment horizontal="left" vertical="center"/>
    </xf>
    <xf numFmtId="49" fontId="33" fillId="36" borderId="15" xfId="0" applyFont="1" applyFill="1" applyBorder="1" applyNumberFormat="1">
      <alignment horizontal="center" vertical="top"/>
    </xf>
    <xf numFmtId="49" fontId="19" fillId="0" borderId="0" xfId="0" applyFont="1" applyNumberFormat="1">
      <alignment horizontal="left" vertical="top" wrapText="1"/>
    </xf>
    <xf numFmtId="0" fontId="25" fillId="34" borderId="0" xfId="0" applyFont="1" applyFill="1" applyNumberFormat="1">
      <alignment horizontal="center" vertical="center"/>
    </xf>
    <xf numFmtId="0" fontId="19" fillId="34" borderId="0" xfId="0" applyFont="1" applyFill="1" applyNumberFormat="1"/>
    <xf numFmtId="0" fontId="19" fillId="0" borderId="13" xfId="0" applyFont="1" applyBorder="1" applyNumberFormat="1">
      <alignment horizontal="left" vertical="center" wrapText="1" indent="1"/>
    </xf>
    <xf numFmtId="0" fontId="19" fillId="0" borderId="14" xfId="0" applyFont="1" applyBorder="1" applyNumberFormat="1">
      <alignment horizontal="left" vertical="center" wrapText="1" indent="1"/>
    </xf>
    <xf numFmtId="0" fontId="54" fillId="0" borderId="0" xfId="0" applyFont="1" applyNumberFormat="1"/>
    <xf numFmtId="0" fontId="19" fillId="0" borderId="12" xfId="0" applyFont="1" applyBorder="1" applyNumberFormat="1">
      <alignment horizontal="center" vertical="center" wrapText="1"/>
    </xf>
    <xf numFmtId="0" fontId="19" fillId="34" borderId="17" xfId="0" applyFont="1" applyFill="1" applyBorder="1" applyNumberFormat="1">
      <alignment horizontal="center" vertical="center"/>
    </xf>
    <xf numFmtId="49" fontId="19" fillId="0" borderId="17" xfId="0" applyFont="1" applyBorder="1" applyNumberFormat="1">
      <alignment horizontal="left" vertical="center" wrapText="1"/>
    </xf>
    <xf numFmtId="0" fontId="25" fillId="34" borderId="0" xfId="0" applyFont="1" applyFill="1" applyNumberFormat="1">
      <alignment horizontal="center" vertical="center" wrapText="1"/>
    </xf>
    <xf numFmtId="0" fontId="19" fillId="34" borderId="12" xfId="0" applyFont="1" applyFill="1" applyBorder="1" applyNumberFormat="1">
      <alignment horizontal="center" vertical="center"/>
    </xf>
    <xf numFmtId="49" fontId="19" fillId="38" borderId="12" xfId="0" applyFont="1" applyFill="1" applyBorder="1" applyNumberFormat="1">
      <alignment horizontal="left" vertical="center" wrapText="1"/>
      <protection locked="0"/>
    </xf>
    <xf numFmtId="49" fontId="39" fillId="36" borderId="14" xfId="0" applyFont="1" applyFill="1" applyBorder="1" applyNumberFormat="1">
      <alignment horizontal="center" vertical="center"/>
    </xf>
    <xf numFmtId="49" fontId="29" fillId="36" borderId="13" xfId="0" applyFont="1" applyFill="1" applyBorder="1" applyNumberFormat="1">
      <alignment horizontal="left" vertical="center"/>
    </xf>
    <xf numFmtId="49" fontId="34" fillId="0" borderId="0" xfId="0" applyFont="1" applyNumberFormat="1">
      <alignment horizontal="right" vertical="top"/>
    </xf>
    <xf numFmtId="49" fontId="19" fillId="0" borderId="0" xfId="0" applyFont="1" applyNumberFormat="1">
      <alignment horizontal="left" vertical="top" wrapText="1"/>
    </xf>
    <xf numFmtId="49" fontId="34" fillId="0" borderId="0" xfId="0" applyFont="1" applyNumberFormat="1">
      <alignment vertical="top"/>
    </xf>
    <xf numFmtId="0" fontId="19" fillId="0" borderId="0" xfId="0" applyFont="1" applyNumberFormat="1"/>
    <xf numFmtId="0" fontId="25" fillId="0" borderId="0" xfId="0" applyFont="1" applyNumberFormat="1">
      <alignment horizontal="center" vertical="center"/>
    </xf>
    <xf numFmtId="49" fontId="19" fillId="34" borderId="12" xfId="0" applyFont="1" applyFill="1" applyBorder="1" applyNumberFormat="1">
      <alignment horizontal="center" vertical="center"/>
    </xf>
    <xf numFmtId="49" fontId="19" fillId="38" borderId="12" xfId="0" applyFont="1" applyFill="1" applyBorder="1" applyNumberFormat="1">
      <alignment horizontal="left" vertical="center" wrapText="1"/>
      <protection locked="0"/>
    </xf>
    <xf numFmtId="0" fontId="19" fillId="38" borderId="12" xfId="0" applyFont="1" applyFill="1" applyBorder="1" applyNumberFormat="1">
      <alignment horizontal="center" vertical="center" wrapText="1"/>
      <protection locked="0"/>
    </xf>
    <xf numFmtId="0" fontId="36" fillId="34" borderId="0" xfId="0" applyFont="1" applyFill="1" applyNumberFormat="1"/>
    <xf numFmtId="49" fontId="19"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0" fontId="19" fillId="38" borderId="12" xfId="0" applyFont="1" applyFill="1" applyBorder="1" applyNumberFormat="1">
      <alignment horizontal="left" vertical="center" wrapText="1"/>
      <protection locked="0"/>
    </xf>
    <xf numFmtId="0" fontId="58" fillId="34" borderId="0" xfId="0" applyFont="1" applyFill="1" applyNumberFormat="1"/>
    <xf numFmtId="0" fontId="19" fillId="34" borderId="12" xfId="0" applyFont="1" applyFill="1" applyBorder="1" applyNumberFormat="1">
      <alignment horizontal="left" vertical="center" wrapText="1"/>
    </xf>
    <xf numFmtId="0" fontId="19" fillId="0" borderId="12" xfId="0" applyFont="1" applyBorder="1" applyNumberFormat="1">
      <alignment horizontal="center" vertical="center" wrapText="1"/>
    </xf>
    <xf numFmtId="49" fontId="19" fillId="0" borderId="12" xfId="0" applyFont="1" applyBorder="1" applyNumberFormat="1">
      <alignment horizontal="center" vertical="center"/>
    </xf>
    <xf numFmtId="0" fontId="19" fillId="0" borderId="12" xfId="0" applyFont="1" applyBorder="1" applyNumberFormat="1">
      <alignment vertical="center" wrapText="1"/>
    </xf>
    <xf numFmtId="0" fontId="19" fillId="34" borderId="12" xfId="0" applyFont="1" applyFill="1" applyBorder="1" applyNumberFormat="1">
      <alignment horizontal="left" vertical="center" wrapText="1" indent="1"/>
    </xf>
    <xf numFmtId="49" fontId="19" fillId="35" borderId="12" xfId="0" applyFont="1" applyFill="1" applyBorder="1" applyNumberFormat="1">
      <alignment horizontal="left" vertical="center" wrapText="1"/>
      <protection locked="0"/>
    </xf>
    <xf numFmtId="0" fontId="37" fillId="34" borderId="0" xfId="0" applyFont="1" applyFill="1" applyNumberFormat="1">
      <alignment horizontal="center" vertical="center" wrapText="1"/>
    </xf>
    <xf numFmtId="0" fontId="19" fillId="34" borderId="24" xfId="0" applyFont="1" applyFill="1" applyBorder="1" applyNumberFormat="1">
      <alignment horizontal="center" vertical="center" wrapText="1"/>
    </xf>
    <xf numFmtId="0" fontId="0" fillId="34" borderId="17" xfId="0" applyFont="1" applyFill="1" applyBorder="1" applyNumberFormat="1">
      <alignment horizontal="left" vertical="top" wrapText="1"/>
    </xf>
    <xf numFmtId="0" fontId="57" fillId="34" borderId="0" xfId="0" applyFont="1" applyFill="1" applyNumberFormat="1"/>
    <xf numFmtId="0" fontId="63" fillId="34" borderId="0" xfId="0" applyFont="1" applyFill="1" applyNumberFormat="1">
      <alignment vertical="center" wrapText="1"/>
    </xf>
    <xf numFmtId="0" fontId="37" fillId="34" borderId="12" xfId="0" applyFont="1" applyFill="1" applyBorder="1" applyNumberFormat="1">
      <alignment horizontal="center" vertical="center"/>
    </xf>
    <xf numFmtId="0" fontId="0" fillId="34" borderId="36" xfId="0" applyFont="1" applyFill="1" applyBorder="1" applyNumberFormat="1">
      <alignment horizontal="left" vertical="top" wrapText="1"/>
    </xf>
    <xf numFmtId="0" fontId="0" fillId="34" borderId="23" xfId="0" applyFont="1" applyFill="1" applyBorder="1" applyNumberFormat="1">
      <alignment horizontal="left" vertical="top" wrapText="1"/>
    </xf>
    <xf numFmtId="0" fontId="74" fillId="34" borderId="0" xfId="0" applyFont="1" applyFill="1" applyNumberFormat="1"/>
    <xf numFmtId="0" fontId="19" fillId="0" borderId="12" xfId="0" applyFont="1" applyBorder="1" applyNumberFormat="1">
      <alignment horizontal="center" vertical="center" wrapText="1"/>
    </xf>
    <xf numFmtId="49" fontId="19" fillId="39" borderId="12" xfId="0" applyFont="1" applyFill="1" applyBorder="1" applyNumberFormat="1">
      <alignment horizontal="left" vertical="center" wrapText="1"/>
    </xf>
    <xf numFmtId="14" fontId="19" fillId="38" borderId="12" xfId="0" applyFont="1" applyFill="1" applyBorder="1" applyNumberFormat="1">
      <alignment horizontal="left" vertical="center" wrapText="1" indent="1"/>
      <protection locked="0"/>
    </xf>
    <xf numFmtId="0" fontId="102" fillId="0" borderId="0" xfId="0" applyFont="1" applyNumberFormat="1">
      <alignment vertical="center"/>
    </xf>
    <xf numFmtId="0" fontId="25" fillId="0" borderId="0" xfId="0" applyFont="1" applyNumberFormat="1">
      <alignment horizontal="center" vertical="center" wrapText="1"/>
    </xf>
    <xf numFmtId="4" fontId="19" fillId="0" borderId="17" xfId="0" applyFont="1" applyBorder="1" applyNumberFormat="1">
      <alignment horizontal="center" vertical="center" wrapText="1"/>
    </xf>
    <xf numFmtId="171" fontId="19" fillId="0" borderId="37" xfId="0" applyFont="1" applyBorder="1" applyNumberFormat="1">
      <alignment horizontal="center" vertical="center" wrapText="1"/>
    </xf>
    <xf numFmtId="171" fontId="19" fillId="0" borderId="17" xfId="0" applyFont="1" applyBorder="1" applyNumberFormat="1">
      <alignment horizontal="center" vertical="center" wrapText="1"/>
    </xf>
    <xf numFmtId="4" fontId="19" fillId="0" borderId="23" xfId="0" applyFont="1" applyBorder="1" applyNumberFormat="1">
      <alignment horizontal="center" vertical="center" wrapText="1"/>
    </xf>
    <xf numFmtId="14" fontId="19" fillId="39" borderId="12" xfId="0" applyFont="1" applyFill="1" applyBorder="1" applyNumberFormat="1">
      <alignment horizontal="left" vertical="center" wrapText="1"/>
    </xf>
    <xf numFmtId="49" fontId="19" fillId="0" borderId="20" xfId="0" applyFont="1" applyBorder="1" applyNumberFormat="1">
      <alignment horizontal="left" vertical="top" wrapText="1"/>
    </xf>
    <xf numFmtId="49" fontId="39" fillId="36" borderId="30" xfId="0" applyFont="1" applyFill="1" applyBorder="1" applyNumberFormat="1">
      <alignment horizontal="right" vertical="center" wrapText="1"/>
    </xf>
    <xf numFmtId="49" fontId="0" fillId="36" borderId="27" xfId="0" applyFont="1" applyFill="1" applyBorder="1" applyNumberFormat="1">
      <alignment horizontal="right" vertical="center" wrapText="1"/>
    </xf>
    <xf numFmtId="49" fontId="19" fillId="0" borderId="29" xfId="0" applyFont="1" applyBorder="1" applyNumberFormat="1">
      <alignment horizontal="left" vertical="top" wrapText="1"/>
    </xf>
    <xf numFmtId="0" fontId="102" fillId="0" borderId="0" xfId="0" applyFont="1" applyNumberFormat="1">
      <alignment vertical="center" wrapText="1"/>
    </xf>
    <xf numFmtId="49" fontId="0" fillId="0" borderId="0" xfId="0" applyFont="1" applyNumberFormat="1">
      <alignment vertical="top"/>
    </xf>
    <xf numFmtId="0" fontId="19" fillId="33" borderId="23" xfId="0" applyFont="1" applyFill="1" applyBorder="1" applyNumberFormat="1">
      <alignment horizontal="left" vertical="center" wrapText="1" indent="1"/>
    </xf>
    <xf numFmtId="174" fontId="37" fillId="0" borderId="0" xfId="0" applyFont="1" applyNumberFormat="1">
      <alignment horizontal="center" vertical="center" wrapText="1"/>
    </xf>
    <xf numFmtId="171" fontId="19" fillId="0" borderId="17" xfId="0" applyFont="1" applyBorder="1" applyNumberFormat="1">
      <alignment horizontal="center" vertical="center" wrapText="1"/>
    </xf>
    <xf numFmtId="171" fontId="19" fillId="0" borderId="14" xfId="0" applyFont="1" applyBorder="1" applyNumberFormat="1">
      <alignment horizontal="center" vertical="center" wrapText="1"/>
    </xf>
    <xf numFmtId="171" fontId="19" fillId="0" borderId="15" xfId="0" applyFont="1" applyBorder="1" applyNumberFormat="1">
      <alignment horizontal="center" vertical="center" wrapText="1"/>
    </xf>
    <xf numFmtId="171" fontId="19" fillId="0" borderId="13" xfId="0" applyFont="1" applyBorder="1" applyNumberFormat="1">
      <alignment horizontal="center" vertical="center" wrapText="1"/>
    </xf>
    <xf numFmtId="4" fontId="19" fillId="0" borderId="36" xfId="0" applyFont="1" applyBorder="1" applyNumberFormat="1">
      <alignment horizontal="center" vertical="center" wrapText="1"/>
    </xf>
    <xf numFmtId="171" fontId="19" fillId="0" borderId="23" xfId="0" applyFont="1" applyBorder="1" applyNumberFormat="1">
      <alignment horizontal="center" vertical="center" wrapText="1"/>
    </xf>
    <xf numFmtId="171" fontId="19" fillId="0" borderId="23" xfId="0" applyFont="1" applyBorder="1" applyNumberFormat="1">
      <alignment horizontal="center" vertical="center" wrapText="1"/>
    </xf>
    <xf numFmtId="0" fontId="19" fillId="0" borderId="23" xfId="0" applyFont="1" applyBorder="1" applyNumberFormat="1">
      <alignment horizontal="center" vertical="center" wrapText="1"/>
    </xf>
    <xf numFmtId="14" fontId="19" fillId="38" borderId="23" xfId="0" applyFont="1" applyFill="1" applyBorder="1" applyNumberFormat="1">
      <alignment horizontal="left" vertical="center" wrapText="1" indent="1"/>
      <protection locked="0"/>
    </xf>
    <xf numFmtId="0" fontId="19" fillId="33" borderId="12" xfId="0" applyFont="1" applyFill="1" applyBorder="1" applyNumberFormat="1">
      <alignment horizontal="left" vertical="center" wrapText="1"/>
    </xf>
    <xf numFmtId="14" fontId="19" fillId="39" borderId="12" xfId="0" applyFont="1" applyFill="1" applyBorder="1" applyNumberFormat="1">
      <alignment horizontal="left" vertical="center" wrapText="1"/>
    </xf>
    <xf numFmtId="49" fontId="19" fillId="39" borderId="14" xfId="0" applyFont="1" applyFill="1" applyBorder="1" applyNumberFormat="1">
      <alignment horizontal="left" vertical="center" wrapText="1"/>
    </xf>
    <xf numFmtId="49" fontId="19" fillId="39" borderId="12" xfId="0" applyFont="1" applyFill="1" applyBorder="1" applyNumberFormat="1">
      <alignment horizontal="left" vertical="center" wrapText="1"/>
    </xf>
    <xf numFmtId="49" fontId="39" fillId="36" borderId="27" xfId="0" applyFont="1" applyFill="1" applyBorder="1" applyNumberFormat="1">
      <alignment horizontal="right" vertical="center" wrapText="1"/>
    </xf>
    <xf numFmtId="49" fontId="43" fillId="36" borderId="27" xfId="0" applyFont="1" applyFill="1" applyBorder="1" applyNumberFormat="1">
      <alignment horizontal="left" vertical="center" wrapText="1"/>
    </xf>
    <xf numFmtId="49" fontId="43" fillId="36" borderId="23" xfId="0" applyFont="1" applyFill="1" applyBorder="1" applyNumberFormat="1">
      <alignment horizontal="left" vertical="center" wrapText="1"/>
    </xf>
    <xf numFmtId="0" fontId="37" fillId="0" borderId="27" xfId="0" applyFont="1" applyBorder="1" applyNumberFormat="1">
      <alignment horizontal="center" vertical="center" wrapText="1"/>
    </xf>
    <xf numFmtId="0" fontId="31" fillId="0" borderId="0" xfId="0" applyFont="1" applyNumberFormat="1">
      <alignment horizontal="center" vertical="center" wrapText="1"/>
    </xf>
    <xf numFmtId="0" fontId="19" fillId="0" borderId="0" xfId="0" applyFont="1" applyNumberFormat="1">
      <alignment horizontal="center" vertical="center" wrapText="1"/>
    </xf>
    <xf numFmtId="171" fontId="34" fillId="0" borderId="58" xfId="0" applyFont="1" applyBorder="1" applyNumberFormat="1">
      <alignment horizontal="center" vertical="center" wrapText="1"/>
    </xf>
    <xf numFmtId="171" fontId="34" fillId="0" borderId="58" xfId="0" applyFont="1" applyBorder="1" applyNumberFormat="1">
      <alignment horizontal="center" vertical="center" wrapText="1"/>
    </xf>
    <xf numFmtId="171" fontId="34" fillId="0" borderId="57" xfId="0" applyFont="1" applyBorder="1" applyNumberFormat="1">
      <alignment horizontal="center" vertical="center" wrapText="1"/>
    </xf>
    <xf numFmtId="171" fontId="34" fillId="0" borderId="51" xfId="0" applyFont="1" applyBorder="1" applyNumberFormat="1">
      <alignment horizontal="center" vertical="center" wrapText="1"/>
    </xf>
    <xf numFmtId="171" fontId="34" fillId="0" borderId="76" xfId="0" applyFont="1" applyBorder="1" applyNumberFormat="1">
      <alignment horizontal="center" vertical="center" wrapText="1"/>
    </xf>
    <xf numFmtId="0" fontId="37" fillId="0" borderId="0" xfId="0" applyFont="1" applyNumberFormat="1">
      <alignment horizontal="center" vertical="center"/>
    </xf>
    <xf numFmtId="0" fontId="37" fillId="0" borderId="0" xfId="0" applyFont="1" applyNumberFormat="1">
      <alignment horizontal="center" vertical="center"/>
    </xf>
    <xf numFmtId="0" fontId="45" fillId="0" borderId="0" xfId="0" applyFont="1" applyNumberFormat="1">
      <alignment horizontal="center" vertical="center"/>
    </xf>
    <xf numFmtId="171" fontId="19" fillId="0" borderId="12" xfId="0" applyFont="1" applyBorder="1" applyNumberFormat="1">
      <alignment horizontal="center" vertical="center" wrapText="1"/>
    </xf>
    <xf numFmtId="0" fontId="19" fillId="33" borderId="23" xfId="0" applyFont="1" applyFill="1" applyBorder="1" applyNumberFormat="1">
      <alignment horizontal="left" vertical="center" wrapText="1"/>
    </xf>
    <xf numFmtId="14" fontId="19" fillId="39" borderId="23" xfId="0" applyFont="1" applyFill="1" applyBorder="1" applyNumberFormat="1">
      <alignment horizontal="left" vertical="center" wrapText="1"/>
    </xf>
    <xf numFmtId="49" fontId="19" fillId="39" borderId="30" xfId="0" applyFont="1" applyFill="1" applyBorder="1" applyNumberFormat="1">
      <alignment horizontal="left" vertical="center" wrapText="1"/>
    </xf>
    <xf numFmtId="49" fontId="43" fillId="38" borderId="27" xfId="0" applyFont="1" applyFill="1" applyBorder="1" applyNumberFormat="1">
      <alignment horizontal="left" vertical="center" wrapText="1"/>
      <protection locked="0"/>
    </xf>
    <xf numFmtId="49" fontId="43" fillId="38" borderId="30" xfId="0" applyFont="1" applyFill="1" applyBorder="1" applyNumberFormat="1">
      <alignment horizontal="left" vertical="center" wrapText="1"/>
      <protection locked="0"/>
    </xf>
    <xf numFmtId="49" fontId="43" fillId="38" borderId="23" xfId="0" applyFont="1" applyFill="1" applyBorder="1" applyNumberFormat="1">
      <alignment horizontal="left" vertical="center" wrapText="1"/>
      <protection locked="0"/>
    </xf>
    <xf numFmtId="49" fontId="19" fillId="39" borderId="23" xfId="0" applyFont="1" applyFill="1" applyBorder="1" applyNumberFormat="1">
      <alignment horizontal="left" vertical="center" wrapText="1"/>
    </xf>
    <xf numFmtId="49" fontId="0" fillId="36" borderId="12" xfId="0" applyFont="1" applyFill="1" applyBorder="1" applyNumberFormat="1">
      <alignment horizontal="right" vertical="center" wrapText="1"/>
    </xf>
    <xf numFmtId="0" fontId="19" fillId="0" borderId="0" xfId="0" applyFont="1" applyNumberFormat="1"/>
    <xf numFmtId="49" fontId="19" fillId="0" borderId="12" xfId="0" applyFont="1" applyBorder="1" applyNumberFormat="1">
      <alignment horizontal="left" vertical="center" wrapText="1"/>
    </xf>
    <xf numFmtId="0" fontId="19" fillId="0" borderId="0" xfId="0" applyFont="1" applyNumberFormat="1"/>
    <xf numFmtId="0" fontId="25" fillId="34" borderId="0" xfId="0" applyFont="1" applyFill="1" applyNumberFormat="1">
      <alignment horizontal="center"/>
    </xf>
    <xf numFmtId="49" fontId="19" fillId="35" borderId="12" xfId="0" applyFont="1" applyFill="1" applyBorder="1" applyNumberFormat="1">
      <alignment horizontal="left" vertical="center" wrapText="1"/>
      <protection locked="0"/>
    </xf>
    <xf numFmtId="49" fontId="29" fillId="36" borderId="13" xfId="0" applyFont="1" applyFill="1" applyBorder="1" applyNumberFormat="1">
      <alignment horizontal="left" vertical="center"/>
    </xf>
    <xf numFmtId="49" fontId="0" fillId="0" borderId="15" xfId="0" applyFont="1" applyBorder="1" applyNumberFormat="1">
      <alignment horizontal="left" vertical="center" indent="1"/>
    </xf>
    <xf numFmtId="49" fontId="55" fillId="0" borderId="0" xfId="0" applyFont="1" applyNumberFormat="1">
      <alignment vertical="top"/>
    </xf>
    <xf numFmtId="49" fontId="0" fillId="0" borderId="25" xfId="0" applyFont="1" applyBorder="1" applyNumberFormat="1">
      <alignment horizontal="center" vertical="center"/>
    </xf>
    <xf numFmtId="49" fontId="0" fillId="0" borderId="0" xfId="0" applyFont="1" applyNumberFormat="1">
      <alignment vertical="top"/>
    </xf>
    <xf numFmtId="49" fontId="0" fillId="37" borderId="0" xfId="0" applyFont="1" applyFill="1" applyNumberFormat="1">
      <alignment vertical="top"/>
    </xf>
    <xf numFmtId="0" fontId="25" fillId="34" borderId="0" xfId="0" applyFont="1" applyFill="1" applyNumberFormat="1">
      <alignment horizontal="center" vertical="center" wrapText="1"/>
    </xf>
    <xf numFmtId="0" fontId="31" fillId="0" borderId="0" xfId="0" applyFont="1" applyNumberFormat="1">
      <alignment vertical="center" wrapText="1"/>
    </xf>
    <xf numFmtId="0" fontId="36" fillId="0" borderId="0" xfId="0" applyFont="1" applyNumberFormat="1">
      <alignment horizontal="center" vertical="center" wrapText="1"/>
    </xf>
    <xf numFmtId="0" fontId="36" fillId="0" borderId="12" xfId="0" applyFont="1" applyBorder="1" applyNumberFormat="1">
      <alignment horizontal="center" vertical="center" wrapText="1"/>
    </xf>
    <xf numFmtId="14" fontId="19" fillId="39" borderId="12" xfId="0" applyFont="1" applyFill="1" applyBorder="1" applyNumberFormat="1">
      <alignment horizontal="left" vertical="center" wrapText="1" indent="1"/>
    </xf>
    <xf numFmtId="49" fontId="19" fillId="33" borderId="12" xfId="0" applyFont="1" applyFill="1" applyBorder="1" applyNumberFormat="1">
      <alignment horizontal="center" vertical="center" wrapText="1"/>
    </xf>
    <xf numFmtId="49" fontId="41" fillId="37" borderId="0" xfId="0" applyFont="1" applyFill="1" applyNumberFormat="1">
      <alignment vertical="top"/>
    </xf>
    <xf numFmtId="49" fontId="41" fillId="0" borderId="0" xfId="0" applyFont="1" applyNumberFormat="1">
      <alignment vertical="top"/>
    </xf>
    <xf numFmtId="0" fontId="0" fillId="0" borderId="0" xfId="0" applyFont="1" applyNumberFormat="1">
      <alignment vertical="center"/>
    </xf>
    <xf numFmtId="0" fontId="24" fillId="0" borderId="24" xfId="0" applyFont="1" applyBorder="1" applyNumberFormat="1">
      <alignment horizontal="center" vertical="center" wrapText="1"/>
    </xf>
    <xf numFmtId="14" fontId="71" fillId="0" borderId="17" xfId="0" applyFont="1" applyBorder="1" applyNumberFormat="1">
      <alignment horizontal="center" vertical="center" wrapText="1"/>
    </xf>
    <xf numFmtId="0" fontId="65" fillId="0" borderId="12" xfId="0" applyFont="1" applyBorder="1" applyNumberFormat="1">
      <alignment horizontal="left" vertical="center" wrapText="1" indent="1"/>
    </xf>
    <xf numFmtId="0" fontId="71" fillId="0" borderId="17" xfId="0" applyFont="1" applyBorder="1" applyNumberFormat="1">
      <alignment horizontal="center" vertical="center" wrapText="1"/>
    </xf>
    <xf numFmtId="49" fontId="19" fillId="0" borderId="12" xfId="0" applyFont="1" applyBorder="1" applyNumberFormat="1">
      <alignment horizontal="center" vertical="center" wrapText="1"/>
    </xf>
    <xf numFmtId="0" fontId="64" fillId="0" borderId="0" xfId="0" applyFont="1" applyNumberFormat="1">
      <alignment vertical="center"/>
    </xf>
    <xf numFmtId="14" fontId="71" fillId="0" borderId="36" xfId="0" applyFont="1" applyBorder="1" applyNumberFormat="1">
      <alignment horizontal="center" vertical="center" wrapText="1"/>
    </xf>
    <xf numFmtId="0" fontId="65" fillId="0" borderId="12" xfId="0" applyFont="1" applyBorder="1" applyNumberFormat="1">
      <alignment horizontal="left" vertical="top" indent="1"/>
    </xf>
    <xf numFmtId="49" fontId="0" fillId="0" borderId="12" xfId="0" applyFont="1" applyBorder="1" applyNumberFormat="1">
      <alignment vertical="top"/>
    </xf>
    <xf numFmtId="0" fontId="24" fillId="0" borderId="12" xfId="0" applyFont="1" applyBorder="1" applyNumberFormat="1">
      <alignment horizontal="center" vertical="center" wrapText="1"/>
    </xf>
    <xf numFmtId="0" fontId="19" fillId="39" borderId="12" xfId="0" applyFont="1" applyFill="1" applyBorder="1" applyNumberFormat="1">
      <alignment horizontal="left" vertical="center" wrapText="1" indent="1"/>
    </xf>
    <xf numFmtId="0" fontId="24" fillId="0" borderId="12" xfId="0" applyFont="1" applyBorder="1" applyNumberFormat="1">
      <alignment horizontal="center" vertical="center" wrapText="1"/>
    </xf>
    <xf numFmtId="49" fontId="19" fillId="0" borderId="13" xfId="0" applyFont="1" applyBorder="1" applyNumberFormat="1">
      <alignment horizontal="center" vertical="center" wrapText="1"/>
    </xf>
    <xf numFmtId="49" fontId="65" fillId="38" borderId="12" xfId="0" applyFont="1" applyFill="1" applyBorder="1" applyNumberFormat="1">
      <alignment horizontal="left" vertical="center" wrapText="1" indent="1"/>
      <protection locked="0"/>
    </xf>
    <xf numFmtId="49" fontId="19" fillId="34" borderId="0" xfId="0" applyFont="1" applyFill="1" applyNumberFormat="1">
      <alignment horizontal="center" vertical="center" wrapText="1"/>
    </xf>
    <xf numFmtId="0" fontId="19" fillId="34" borderId="0" xfId="0" applyFont="1" applyFill="1" applyNumberFormat="1">
      <alignment horizontal="center" vertical="top" wrapText="1"/>
    </xf>
    <xf numFmtId="49" fontId="19" fillId="39" borderId="14" xfId="0" applyFont="1" applyFill="1" applyBorder="1" applyNumberFormat="1">
      <alignment horizontal="left" vertical="center" wrapText="1"/>
    </xf>
    <xf numFmtId="49" fontId="0" fillId="0" borderId="12" xfId="0" applyFont="1" applyBorder="1" applyNumberFormat="1">
      <alignment vertical="top"/>
    </xf>
    <xf numFmtId="49" fontId="19" fillId="0" borderId="0" xfId="0" applyFont="1" applyNumberFormat="1">
      <alignment vertical="top"/>
    </xf>
    <xf numFmtId="0" fontId="25" fillId="34" borderId="0" xfId="0" applyFont="1" applyFill="1" applyNumberFormat="1">
      <alignment vertical="top" wrapText="1"/>
    </xf>
    <xf numFmtId="0" fontId="19" fillId="34" borderId="14" xfId="0" applyFont="1" applyFill="1" applyBorder="1" applyNumberFormat="1">
      <alignment horizontal="center" vertical="center" wrapText="1"/>
    </xf>
    <xf numFmtId="0" fontId="37" fillId="34" borderId="12" xfId="0" applyFont="1" applyFill="1" applyBorder="1" applyNumberFormat="1">
      <alignment horizontal="center" vertical="center" wrapText="1"/>
    </xf>
    <xf numFmtId="14" fontId="19" fillId="39" borderId="29" xfId="0" applyFont="1" applyFill="1" applyBorder="1" applyNumberFormat="1">
      <alignment horizontal="left" vertical="center" wrapText="1"/>
    </xf>
    <xf numFmtId="49" fontId="112" fillId="38"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19" fillId="39"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25" fillId="0" borderId="0" xfId="0" applyFont="1" applyNumberFormat="1">
      <alignment horizontal="center" vertical="center" wrapText="1"/>
    </xf>
    <xf numFmtId="174" fontId="0" fillId="38" borderId="12" xfId="0" applyFont="1" applyFill="1" applyBorder="1" applyNumberFormat="1">
      <alignment horizontal="center" vertical="center" wrapText="1"/>
      <protection locked="0"/>
    </xf>
    <xf numFmtId="49" fontId="0" fillId="38" borderId="12" xfId="0" applyFont="1" applyFill="1" applyBorder="1" applyNumberFormat="1">
      <alignment horizontal="center" vertical="center" wrapText="1"/>
      <protection locked="0"/>
    </xf>
    <xf numFmtId="49" fontId="0" fillId="34" borderId="12" xfId="0" applyFont="1" applyFill="1" applyBorder="1" applyNumberFormat="1">
      <alignment horizontal="center" vertical="center" wrapText="1"/>
    </xf>
    <xf numFmtId="0" fontId="0" fillId="38" borderId="14" xfId="0" applyFont="1" applyFill="1" applyBorder="1" applyNumberFormat="1">
      <alignment horizontal="left" vertical="center" wrapText="1" indent="2"/>
      <protection locked="0"/>
    </xf>
    <xf numFmtId="0" fontId="25" fillId="0" borderId="24" xfId="0" applyFont="1" applyBorder="1" applyNumberFormat="1">
      <alignment horizontal="center" vertical="center" wrapText="1"/>
    </xf>
    <xf numFmtId="49" fontId="19" fillId="0" borderId="12" xfId="0" applyFont="1" applyBorder="1" applyNumberFormat="1">
      <alignment horizontal="center" vertical="top" wrapText="1"/>
    </xf>
    <xf numFmtId="0" fontId="0" fillId="33" borderId="12" xfId="0" applyFont="1" applyFill="1" applyBorder="1" applyNumberFormat="1">
      <alignment horizontal="left" vertical="top" wrapText="1" indent="1"/>
    </xf>
    <xf numFmtId="49" fontId="19" fillId="39" borderId="17" xfId="0" applyFont="1" applyFill="1" applyBorder="1" applyNumberFormat="1">
      <alignment horizontal="center" vertical="top" wrapText="1"/>
    </xf>
    <xf numFmtId="174" fontId="0" fillId="38" borderId="12" xfId="0" applyFont="1" applyFill="1" applyBorder="1" applyNumberFormat="1">
      <alignment horizontal="center" vertical="top" wrapText="1"/>
      <protection locked="0"/>
    </xf>
    <xf numFmtId="174" fontId="0" fillId="35" borderId="12" xfId="0" applyFont="1" applyFill="1" applyBorder="1" applyNumberFormat="1">
      <alignment horizontal="center" vertical="top" wrapText="1"/>
      <protection locked="0"/>
    </xf>
    <xf numFmtId="49" fontId="19" fillId="39" borderId="12" xfId="0" applyFont="1" applyFill="1" applyBorder="1" applyNumberFormat="1">
      <alignment horizontal="left" vertical="top" wrapText="1"/>
    </xf>
    <xf numFmtId="49" fontId="19" fillId="38" borderId="12" xfId="0" applyFont="1" applyFill="1" applyBorder="1" applyNumberFormat="1">
      <alignment horizontal="left" vertical="top" wrapText="1"/>
      <protection locked="0"/>
    </xf>
    <xf numFmtId="49" fontId="0" fillId="33" borderId="12" xfId="0" applyFont="1" applyFill="1" applyBorder="1" applyNumberFormat="1">
      <alignment horizontal="center" vertical="top" wrapText="1"/>
    </xf>
    <xf numFmtId="0" fontId="19" fillId="33" borderId="12" xfId="0" applyFont="1" applyFill="1" applyBorder="1" applyNumberFormat="1">
      <alignment horizontal="center" vertical="top" wrapText="1"/>
    </xf>
    <xf numFmtId="0" fontId="19" fillId="35" borderId="12" xfId="0" applyFont="1" applyFill="1" applyBorder="1" applyNumberFormat="1">
      <alignment horizontal="left" vertical="top" wrapText="1"/>
      <protection locked="0"/>
    </xf>
    <xf numFmtId="49" fontId="19" fillId="39" borderId="12" xfId="0" applyFont="1" applyFill="1" applyBorder="1" applyNumberFormat="1">
      <alignment horizontal="center" vertical="top" wrapText="1"/>
    </xf>
    <xf numFmtId="0" fontId="19" fillId="0" borderId="36" xfId="0" applyFont="1" applyBorder="1" applyNumberFormat="1">
      <alignment horizontal="center" vertical="center" wrapText="1"/>
    </xf>
    <xf numFmtId="0" fontId="19" fillId="0" borderId="12" xfId="0" applyFont="1" applyBorder="1" applyNumberFormat="1">
      <alignment horizontal="center" vertical="center" wrapText="1"/>
    </xf>
    <xf numFmtId="49" fontId="19" fillId="38" borderId="17" xfId="0" applyFont="1" applyFill="1" applyBorder="1" applyNumberFormat="1">
      <alignment horizontal="left" vertical="center" wrapText="1" indent="1"/>
      <protection locked="0"/>
    </xf>
    <xf numFmtId="0" fontId="19" fillId="0" borderId="24" xfId="0" applyFont="1" applyBorder="1" applyNumberFormat="1">
      <alignment vertical="top" wrapText="1"/>
    </xf>
    <xf numFmtId="49" fontId="19" fillId="39" borderId="23" xfId="0" applyFont="1" applyFill="1" applyBorder="1" applyNumberFormat="1">
      <alignment horizontal="center" vertical="top" wrapText="1"/>
    </xf>
    <xf numFmtId="49" fontId="0" fillId="38" borderId="12" xfId="0" applyFont="1" applyFill="1" applyBorder="1" applyNumberFormat="1">
      <alignment horizontal="center" vertical="top" wrapText="1"/>
      <protection locked="0"/>
    </xf>
    <xf numFmtId="49" fontId="0" fillId="35" borderId="12" xfId="0" applyFont="1" applyFill="1" applyBorder="1" applyNumberFormat="1">
      <alignment horizontal="center" vertical="top" wrapText="1"/>
      <protection locked="0"/>
    </xf>
    <xf numFmtId="49" fontId="19" fillId="39" borderId="14" xfId="0" applyFont="1" applyFill="1" applyBorder="1" applyNumberFormat="1">
      <alignment horizontal="center" vertical="top" wrapText="1"/>
    </xf>
    <xf numFmtId="49" fontId="19" fillId="0" borderId="36" xfId="0" applyFont="1" applyBorder="1" applyNumberFormat="1">
      <alignment horizontal="center" vertical="top" wrapText="1"/>
    </xf>
    <xf numFmtId="0" fontId="0" fillId="33" borderId="36" xfId="0" applyFont="1" applyFill="1" applyBorder="1" applyNumberFormat="1">
      <alignment horizontal="left" vertical="top" wrapText="1" indent="1"/>
    </xf>
    <xf numFmtId="49" fontId="19" fillId="39" borderId="36" xfId="0" applyFont="1" applyFill="1" applyBorder="1" applyNumberFormat="1">
      <alignment horizontal="center" vertical="top" wrapText="1"/>
    </xf>
    <xf numFmtId="49" fontId="0" fillId="38" borderId="36" xfId="0" applyFont="1" applyFill="1" applyBorder="1" applyNumberFormat="1">
      <alignment horizontal="center" vertical="top" wrapText="1"/>
      <protection locked="0"/>
    </xf>
    <xf numFmtId="49" fontId="0" fillId="35" borderId="36" xfId="0" applyFont="1" applyFill="1" applyBorder="1" applyNumberFormat="1">
      <alignment horizontal="center" vertical="top" wrapText="1"/>
      <protection locked="0"/>
    </xf>
    <xf numFmtId="49" fontId="19" fillId="39" borderId="36" xfId="0" applyFont="1" applyFill="1" applyBorder="1" applyNumberFormat="1">
      <alignment horizontal="left" vertical="top" wrapText="1"/>
    </xf>
    <xf numFmtId="49" fontId="19" fillId="38" borderId="36" xfId="0" applyFont="1" applyFill="1" applyBorder="1" applyNumberFormat="1">
      <alignment horizontal="left" vertical="top" wrapText="1"/>
      <protection locked="0"/>
    </xf>
    <xf numFmtId="49" fontId="0" fillId="33" borderId="36" xfId="0" applyFont="1" applyFill="1" applyBorder="1" applyNumberFormat="1">
      <alignment horizontal="center" vertical="top" wrapText="1"/>
    </xf>
    <xf numFmtId="0" fontId="19" fillId="33" borderId="36" xfId="0" applyFont="1" applyFill="1" applyBorder="1" applyNumberFormat="1">
      <alignment horizontal="center" vertical="top" wrapText="1"/>
    </xf>
    <xf numFmtId="0" fontId="19" fillId="35" borderId="36" xfId="0" applyFont="1" applyFill="1" applyBorder="1" applyNumberFormat="1">
      <alignment horizontal="left" vertical="top" wrapText="1"/>
      <protection locked="0"/>
    </xf>
    <xf numFmtId="0" fontId="93" fillId="0" borderId="48" xfId="0" applyFont="1" applyBorder="1" applyNumberFormat="1">
      <alignment horizontal="left" vertical="center" indent="1"/>
    </xf>
    <xf numFmtId="0" fontId="9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19" fillId="0" borderId="49" xfId="0" applyFont="1" applyBorder="1" applyNumberFormat="1">
      <alignment vertical="center" wrapText="1"/>
    </xf>
    <xf numFmtId="0" fontId="19" fillId="0" borderId="54" xfId="0" applyFont="1" applyBorder="1" applyNumberFormat="1">
      <alignment vertical="center" wrapText="1"/>
    </xf>
    <xf numFmtId="0" fontId="19" fillId="0" borderId="55" xfId="0" applyFont="1" applyBorder="1" applyNumberFormat="1">
      <alignment vertical="center" wrapText="1"/>
    </xf>
    <xf numFmtId="0" fontId="19" fillId="0" borderId="38" xfId="0" applyFont="1" applyBorder="1" applyNumberFormat="1">
      <alignment vertical="center" wrapText="1"/>
    </xf>
    <xf numFmtId="49" fontId="19" fillId="33" borderId="12" xfId="0" applyFont="1" applyFill="1" applyBorder="1" applyNumberFormat="1">
      <alignment horizontal="center" vertical="center" wrapText="1"/>
    </xf>
    <xf numFmtId="49" fontId="19" fillId="0" borderId="13" xfId="0" applyFont="1" applyBorder="1" applyNumberFormat="1">
      <alignment horizontal="center" vertical="center" wrapText="1"/>
    </xf>
    <xf numFmtId="49" fontId="19" fillId="39" borderId="13" xfId="0" applyFont="1" applyFill="1" applyBorder="1" applyNumberFormat="1">
      <alignment horizontal="left" vertical="center" wrapText="1"/>
    </xf>
    <xf numFmtId="49" fontId="19" fillId="38" borderId="12" xfId="0" applyFont="1" applyFill="1" applyBorder="1" applyNumberFormat="1">
      <alignment horizontal="left" vertical="center" wrapText="1"/>
      <protection locked="0"/>
    </xf>
    <xf numFmtId="49" fontId="19" fillId="39" borderId="14" xfId="0" applyFont="1" applyFill="1" applyBorder="1" applyNumberFormat="1">
      <alignment horizontal="center" vertical="center" wrapText="1"/>
    </xf>
    <xf numFmtId="49" fontId="95" fillId="36" borderId="43" xfId="0" applyFont="1" applyFill="1" applyBorder="1" applyNumberFormat="1">
      <alignment horizontal="left" vertical="center" indent="1"/>
    </xf>
    <xf numFmtId="49" fontId="84" fillId="36" borderId="43" xfId="0" applyFont="1" applyFill="1" applyBorder="1" applyNumberFormat="1">
      <alignment horizontal="center" vertical="center"/>
    </xf>
    <xf numFmtId="3" fontId="19" fillId="38" borderId="12" xfId="0" applyFont="1" applyFill="1" applyBorder="1" applyNumberFormat="1">
      <alignment horizontal="center" vertical="center" wrapText="1"/>
      <protection locked="0"/>
    </xf>
    <xf numFmtId="49" fontId="113" fillId="0" borderId="13" xfId="0" applyFont="1" applyBorder="1" applyNumberFormat="1">
      <alignment horizontal="center" vertical="center" wrapText="1"/>
    </xf>
    <xf numFmtId="0" fontId="34" fillId="0" borderId="12" xfId="0" applyFont="1" applyBorder="1" applyNumberFormat="1">
      <alignment horizontal="center" vertical="center"/>
    </xf>
    <xf numFmtId="49" fontId="19" fillId="39" borderId="17" xfId="0" applyFont="1" applyFill="1" applyBorder="1" applyNumberFormat="1">
      <alignment horizontal="left" vertical="center" wrapText="1" indent="1"/>
    </xf>
    <xf numFmtId="49" fontId="19" fillId="0" borderId="12" xfId="0" applyFont="1" applyBorder="1" applyNumberFormat="1">
      <alignment horizontal="left" vertical="center" wrapText="1"/>
    </xf>
    <xf numFmtId="49" fontId="95" fillId="36" borderId="14" xfId="0" applyFont="1" applyFill="1" applyBorder="1" applyNumberFormat="1">
      <alignment horizontal="left" vertical="center" indent="1"/>
    </xf>
    <xf numFmtId="49" fontId="95" fillId="36" borderId="15" xfId="0" applyFont="1" applyFill="1" applyBorder="1" applyNumberFormat="1">
      <alignment horizontal="left" vertical="center" indent="1"/>
    </xf>
    <xf numFmtId="49" fontId="34" fillId="36" borderId="15" xfId="0" applyFont="1" applyFill="1" applyBorder="1" applyNumberFormat="1">
      <alignment vertical="top" wrapText="1"/>
    </xf>
    <xf numFmtId="49" fontId="34" fillId="36" borderId="13" xfId="0" applyFont="1" applyFill="1" applyBorder="1" applyNumberFormat="1">
      <alignment vertical="top" wrapText="1"/>
    </xf>
    <xf numFmtId="49" fontId="19" fillId="39" borderId="36" xfId="0" applyFont="1" applyFill="1" applyBorder="1" applyNumberFormat="1">
      <alignment horizontal="left" vertical="center" wrapText="1" indent="1"/>
    </xf>
    <xf numFmtId="49" fontId="19" fillId="33" borderId="12" xfId="0" applyFont="1" applyFill="1" applyBorder="1" applyNumberFormat="1">
      <alignment horizontal="left" vertical="center" wrapText="1"/>
    </xf>
    <xf numFmtId="49" fontId="113" fillId="0" borderId="0" xfId="0" applyFont="1" applyNumberFormat="1">
      <alignment horizontal="center" vertical="top" wrapText="1"/>
    </xf>
    <xf numFmtId="0" fontId="34" fillId="0" borderId="12" xfId="0" applyFont="1" applyBorder="1" applyNumberFormat="1">
      <alignment horizontal="center" vertical="center"/>
    </xf>
    <xf numFmtId="0" fontId="34" fillId="39" borderId="12" xfId="0" applyFont="1" applyFill="1" applyBorder="1" applyNumberFormat="1">
      <alignment horizontal="left" vertical="center" wrapText="1" indent="1"/>
    </xf>
    <xf numFmtId="4" fontId="19" fillId="38" borderId="31" xfId="0" applyFont="1" applyFill="1" applyBorder="1" applyNumberFormat="1">
      <alignment horizontal="right" vertical="center" wrapText="1"/>
      <protection locked="0"/>
    </xf>
    <xf numFmtId="49" fontId="19" fillId="39" borderId="23" xfId="0" applyFont="1" applyFill="1" applyBorder="1" applyNumberFormat="1">
      <alignment horizontal="left" vertical="center" wrapText="1" indent="1"/>
    </xf>
    <xf numFmtId="49" fontId="29" fillId="36" borderId="15" xfId="0" applyFont="1" applyFill="1" applyBorder="1" applyNumberFormat="1">
      <alignment horizontal="left" vertical="center" indent="1"/>
    </xf>
    <xf numFmtId="49" fontId="34" fillId="36" borderId="52" xfId="0" applyFont="1" applyFill="1" applyBorder="1" applyNumberFormat="1">
      <alignment vertical="top" wrapText="1"/>
    </xf>
    <xf numFmtId="49" fontId="95" fillId="36" borderId="52" xfId="0" applyFont="1" applyFill="1" applyBorder="1" applyNumberFormat="1">
      <alignment horizontal="left" vertical="center" indent="1"/>
    </xf>
    <xf numFmtId="49" fontId="19" fillId="33" borderId="58" xfId="0" applyFont="1" applyFill="1" applyBorder="1" applyNumberFormat="1">
      <alignment horizontal="center" vertical="center" wrapText="1"/>
    </xf>
    <xf numFmtId="0" fontId="0" fillId="36" borderId="50" xfId="0" applyFont="1" applyFill="1" applyBorder="1" applyNumberFormat="1">
      <alignment horizontal="left" vertical="center"/>
    </xf>
    <xf numFmtId="49" fontId="29" fillId="36" borderId="51" xfId="0" applyFont="1" applyFill="1" applyBorder="1" applyNumberFormat="1">
      <alignment horizontal="left" vertical="center" indent="1"/>
    </xf>
    <xf numFmtId="0" fontId="19" fillId="36" borderId="50" xfId="0" applyFont="1" applyFill="1" applyBorder="1" applyNumberFormat="1">
      <alignment vertical="center" wrapText="1"/>
    </xf>
    <xf numFmtId="0" fontId="19" fillId="36" borderId="51" xfId="0" applyFont="1" applyFill="1" applyBorder="1" applyNumberFormat="1">
      <alignment vertical="center" wrapText="1"/>
    </xf>
    <xf numFmtId="0" fontId="19" fillId="36" borderId="53" xfId="0" applyFont="1" applyFill="1" applyBorder="1" applyNumberFormat="1">
      <alignment vertical="center" wrapText="1"/>
    </xf>
    <xf numFmtId="49" fontId="0" fillId="33" borderId="36" xfId="0" applyFont="1" applyFill="1" applyBorder="1" applyNumberFormat="1">
      <alignment vertical="top"/>
    </xf>
    <xf numFmtId="49" fontId="19" fillId="39" borderId="17" xfId="0" applyFont="1" applyFill="1" applyBorder="1" applyNumberFormat="1">
      <alignment vertical="center" wrapText="1"/>
    </xf>
    <xf numFmtId="49" fontId="0" fillId="38" borderId="36" xfId="0" applyFont="1" applyFill="1" applyBorder="1" applyNumberFormat="1">
      <alignment vertical="top"/>
      <protection locked="0"/>
    </xf>
    <xf numFmtId="49" fontId="113" fillId="0" borderId="12" xfId="0" applyFont="1" applyBorder="1" applyNumberFormat="1">
      <alignment horizontal="center" vertical="center" wrapText="1"/>
    </xf>
    <xf numFmtId="49" fontId="0" fillId="38" borderId="17" xfId="0" applyFont="1" applyFill="1" applyBorder="1" applyNumberFormat="1">
      <alignment vertical="top"/>
      <protection locked="0"/>
    </xf>
    <xf numFmtId="14" fontId="19" fillId="39" borderId="36" xfId="0" applyFont="1" applyFill="1" applyBorder="1" applyNumberFormat="1">
      <alignment horizontal="left" vertical="center" wrapText="1" indent="1"/>
    </xf>
    <xf numFmtId="49" fontId="19" fillId="39" borderId="36" xfId="0" applyFont="1" applyFill="1" applyBorder="1" applyNumberFormat="1">
      <alignment vertical="center" wrapText="1"/>
    </xf>
    <xf numFmtId="49" fontId="19" fillId="39" borderId="23" xfId="0" applyFont="1" applyFill="1" applyBorder="1" applyNumberFormat="1">
      <alignment vertical="center" wrapText="1"/>
    </xf>
    <xf numFmtId="49" fontId="0" fillId="38" borderId="23" xfId="0" applyFont="1" applyFill="1" applyBorder="1" applyNumberFormat="1">
      <alignment vertical="top"/>
      <protection locked="0"/>
    </xf>
    <xf numFmtId="49" fontId="113" fillId="0" borderId="36" xfId="0" applyFont="1" applyBorder="1" applyNumberFormat="1">
      <alignment horizontal="center" vertical="top" wrapText="1"/>
    </xf>
    <xf numFmtId="0" fontId="34" fillId="0" borderId="13" xfId="0" applyFont="1" applyBorder="1" applyNumberFormat="1">
      <alignment horizontal="center" vertical="center"/>
    </xf>
    <xf numFmtId="0" fontId="93" fillId="0" borderId="47" xfId="0" applyFont="1" applyBorder="1" applyNumberFormat="1">
      <alignment horizontal="left" vertical="center" indent="1"/>
    </xf>
    <xf numFmtId="49" fontId="19" fillId="0" borderId="56" xfId="0" applyFont="1" applyBorder="1" applyNumberFormat="1">
      <alignment horizontal="center" vertical="center"/>
    </xf>
    <xf numFmtId="0" fontId="19" fillId="0" borderId="56" xfId="0" applyFont="1" applyBorder="1" applyNumberFormat="1">
      <alignment horizontal="right" vertical="center"/>
    </xf>
    <xf numFmtId="0" fontId="19" fillId="0" borderId="56" xfId="0" applyFont="1" applyBorder="1" applyNumberFormat="1">
      <alignment horizontal="center" vertical="center"/>
    </xf>
    <xf numFmtId="0" fontId="19" fillId="0" borderId="15" xfId="0" applyFont="1" applyBorder="1" applyNumberFormat="1">
      <alignment horizontal="right" vertical="center"/>
    </xf>
    <xf numFmtId="0" fontId="19" fillId="0" borderId="13" xfId="0" applyFont="1" applyBorder="1" applyNumberFormat="1">
      <alignment horizontal="right" vertical="center"/>
    </xf>
    <xf numFmtId="49" fontId="0" fillId="0" borderId="0" xfId="0" applyFont="1" applyNumberFormat="1">
      <alignment vertical="top"/>
    </xf>
    <xf numFmtId="0" fontId="19" fillId="34" borderId="12" xfId="0" applyFont="1" applyFill="1" applyBorder="1" applyNumberFormat="1">
      <alignment horizontal="center" vertical="center"/>
    </xf>
    <xf numFmtId="0" fontId="19" fillId="39" borderId="12" xfId="0" applyFont="1" applyFill="1" applyBorder="1" applyNumberFormat="1">
      <alignment horizontal="left" vertical="center" wrapText="1" indent="1"/>
    </xf>
    <xf numFmtId="0" fontId="19" fillId="38" borderId="12" xfId="0" applyFont="1" applyFill="1" applyBorder="1" applyNumberFormat="1">
      <alignment horizontal="left" vertical="center" wrapText="1" indent="1"/>
      <protection locked="0"/>
    </xf>
    <xf numFmtId="0" fontId="19" fillId="35" borderId="12" xfId="0" applyFont="1" applyFill="1" applyBorder="1" applyNumberFormat="1">
      <alignment horizontal="left" vertical="center" indent="1"/>
      <protection locked="0"/>
    </xf>
    <xf numFmtId="0" fontId="19" fillId="40" borderId="12" xfId="0" applyFont="1" applyFill="1" applyBorder="1" applyNumberFormat="1">
      <alignment horizontal="right" vertical="center"/>
    </xf>
    <xf numFmtId="3" fontId="19" fillId="35" borderId="12" xfId="0" applyFont="1" applyFill="1" applyBorder="1" applyNumberFormat="1">
      <alignment horizontal="right" vertical="center"/>
      <protection locked="0"/>
    </xf>
    <xf numFmtId="4" fontId="19" fillId="35" borderId="12" xfId="0" applyFont="1" applyFill="1" applyBorder="1" applyNumberFormat="1">
      <alignment horizontal="right" vertical="center"/>
      <protection locked="0"/>
    </xf>
    <xf numFmtId="49" fontId="29" fillId="36" borderId="57" xfId="0" applyFont="1" applyFill="1" applyBorder="1" applyNumberFormat="1">
      <alignment horizontal="left" vertical="center" indent="1"/>
    </xf>
    <xf numFmtId="49" fontId="29" fillId="36" borderId="51" xfId="0" applyFont="1" applyFill="1" applyBorder="1" applyNumberFormat="1">
      <alignment horizontal="left" vertical="center" indent="1"/>
    </xf>
    <xf numFmtId="49" fontId="29" fillId="36" borderId="51" xfId="0" applyFont="1" applyFill="1" applyBorder="1" applyNumberFormat="1">
      <alignment horizontal="left" vertical="center" indent="1"/>
    </xf>
    <xf numFmtId="49" fontId="29" fillId="51" borderId="13" xfId="0" applyFont="1" applyFill="1" applyBorder="1" applyNumberFormat="1">
      <alignment horizontal="left" vertical="center" indent="1"/>
    </xf>
    <xf numFmtId="49" fontId="19" fillId="0" borderId="0" xfId="0" applyFont="1" applyNumberFormat="1">
      <alignment vertical="top"/>
    </xf>
    <xf numFmtId="49" fontId="19" fillId="0" borderId="17" xfId="0" applyFont="1" applyBorder="1" applyNumberFormat="1">
      <alignment horizontal="center" vertical="center" wrapText="1"/>
    </xf>
    <xf numFmtId="49" fontId="19" fillId="0" borderId="36" xfId="0" applyFont="1" applyBorder="1" applyNumberFormat="1">
      <alignment horizontal="center" vertical="center" wrapText="1"/>
    </xf>
    <xf numFmtId="0" fontId="36" fillId="0" borderId="0" xfId="0" applyFont="1" applyNumberFormat="1">
      <alignment horizontal="center" vertical="center" wrapText="1"/>
    </xf>
    <xf numFmtId="0" fontId="19" fillId="0" borderId="12" xfId="0" applyFont="1" applyBorder="1" applyNumberFormat="1">
      <alignment horizontal="left" vertical="center" wrapText="1"/>
    </xf>
    <xf numFmtId="0" fontId="37" fillId="0" borderId="0" xfId="0" applyFont="1" applyNumberFormat="1">
      <alignment horizontal="center" vertical="center" wrapText="1"/>
    </xf>
    <xf numFmtId="0" fontId="29" fillId="0" borderId="12" xfId="0" applyFont="1" applyBorder="1" applyNumberFormat="1">
      <alignment horizontal="left" vertical="center" indent="1"/>
    </xf>
    <xf numFmtId="0" fontId="36" fillId="0" borderId="0" xfId="0" applyFont="1" applyNumberFormat="1">
      <alignment horizontal="center" vertical="top"/>
    </xf>
    <xf numFmtId="49" fontId="19" fillId="0" borderId="23" xfId="0" applyFont="1" applyBorder="1" applyNumberFormat="1">
      <alignment horizontal="center" vertical="center" wrapText="1"/>
    </xf>
    <xf numFmtId="0" fontId="37" fillId="0" borderId="23" xfId="0" applyFont="1" applyBorder="1" applyNumberFormat="1">
      <alignment vertical="center" wrapText="1"/>
    </xf>
    <xf numFmtId="4" fontId="37" fillId="0" borderId="12" xfId="0" applyFont="1" applyBorder="1" applyNumberFormat="1">
      <alignment horizontal="right" vertical="center" wrapText="1"/>
    </xf>
    <xf numFmtId="2" fontId="37" fillId="0" borderId="23" xfId="0" applyFont="1" applyBorder="1" applyNumberFormat="1">
      <alignment horizontal="center" vertical="center" wrapText="1"/>
    </xf>
    <xf numFmtId="0" fontId="37" fillId="0" borderId="0" xfId="0" applyFont="1" applyNumberFormat="1">
      <alignment horizontal="center" vertical="top"/>
    </xf>
    <xf numFmtId="49" fontId="37" fillId="0" borderId="0" xfId="0" applyFont="1" applyNumberFormat="1">
      <alignment vertical="top"/>
    </xf>
    <xf numFmtId="49" fontId="37" fillId="0" borderId="14" xfId="0" applyFont="1" applyBorder="1" applyNumberFormat="1">
      <alignment horizontal="left" vertical="center"/>
    </xf>
    <xf numFmtId="49" fontId="37" fillId="0" borderId="15" xfId="0" applyFont="1" applyBorder="1" applyNumberFormat="1">
      <alignment horizontal="left" vertical="center" indent="1"/>
    </xf>
    <xf numFmtId="49" fontId="37" fillId="0" borderId="15" xfId="0" applyFont="1" applyBorder="1" applyNumberFormat="1">
      <alignment horizontal="left" vertical="center"/>
    </xf>
    <xf numFmtId="49" fontId="37" fillId="0" borderId="13" xfId="0" applyFont="1" applyBorder="1" applyNumberFormat="1">
      <alignment horizontal="left" vertical="center" indent="1"/>
    </xf>
    <xf numFmtId="0" fontId="37" fillId="0" borderId="12" xfId="0" applyFont="1" applyBorder="1" applyNumberFormat="1">
      <alignment horizontal="left" vertical="center" indent="1"/>
    </xf>
    <xf numFmtId="49" fontId="0" fillId="0" borderId="19" xfId="0" applyFont="1" applyBorder="1" applyNumberFormat="1">
      <alignment vertical="top"/>
    </xf>
    <xf numFmtId="49" fontId="25" fillId="0" borderId="17" xfId="0" applyFont="1" applyBorder="1" applyNumberFormat="1">
      <alignment horizontal="center" vertical="top" wrapText="1"/>
    </xf>
    <xf numFmtId="49" fontId="19" fillId="38"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3" borderId="12" xfId="0" applyFont="1" applyFill="1" applyBorder="1" applyNumberFormat="1">
      <alignment horizontal="right" vertical="center" wrapText="1"/>
    </xf>
    <xf numFmtId="49" fontId="19" fillId="0" borderId="36" xfId="0" applyFont="1" applyBorder="1" applyNumberFormat="1">
      <alignment horizontal="center" vertical="top" wrapText="1"/>
    </xf>
    <xf numFmtId="0" fontId="0" fillId="38" borderId="12" xfId="0" applyFont="1" applyFill="1" applyBorder="1" applyNumberFormat="1">
      <alignment horizontal="left" vertical="center" wrapText="1"/>
      <protection locked="0"/>
    </xf>
    <xf numFmtId="49" fontId="0" fillId="38"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8" borderId="12" xfId="0" applyFont="1" applyFill="1" applyBorder="1" applyNumberFormat="1">
      <alignment horizontal="left" vertical="center" wrapText="1"/>
      <protection locked="0"/>
    </xf>
    <xf numFmtId="4" fontId="0" fillId="38" borderId="12" xfId="0" applyFont="1" applyFill="1" applyBorder="1" applyNumberFormat="1">
      <alignment horizontal="right" vertical="center" wrapText="1"/>
      <protection locked="0"/>
    </xf>
    <xf numFmtId="49" fontId="0" fillId="38" borderId="12" xfId="0" applyFont="1" applyFill="1" applyBorder="1" applyNumberFormat="1">
      <alignment horizontal="center" vertical="center" wrapText="1"/>
      <protection locked="0"/>
    </xf>
    <xf numFmtId="4" fontId="36" fillId="0" borderId="12" xfId="0" applyFont="1" applyBorder="1" applyNumberFormat="1">
      <alignment horizontal="right" vertical="center" wrapText="1"/>
    </xf>
    <xf numFmtId="49" fontId="0" fillId="38" borderId="12" xfId="0" applyFont="1" applyFill="1" applyBorder="1" applyNumberFormat="1">
      <alignment horizontal="left" vertical="center" wrapText="1"/>
      <protection locked="0"/>
    </xf>
    <xf numFmtId="49" fontId="0" fillId="36" borderId="30" xfId="0" applyFont="1" applyFill="1" applyBorder="1" applyNumberFormat="1">
      <alignment horizontal="center" vertical="center"/>
    </xf>
    <xf numFmtId="49" fontId="0" fillId="36" borderId="15" xfId="0" applyFont="1" applyFill="1" applyBorder="1" applyNumberFormat="1">
      <alignment horizontal="center" vertical="center"/>
    </xf>
    <xf numFmtId="49" fontId="29" fillId="36" borderId="15" xfId="0" applyFont="1" applyFill="1" applyBorder="1" applyNumberFormat="1">
      <alignment horizontal="left" vertical="center"/>
    </xf>
    <xf numFmtId="49" fontId="29" fillId="36" borderId="13" xfId="0" applyFont="1" applyFill="1" applyBorder="1" applyNumberFormat="1">
      <alignment horizontal="left" vertical="center" indent="1"/>
    </xf>
    <xf numFmtId="49" fontId="19" fillId="0" borderId="23" xfId="0" applyFont="1" applyBorder="1" applyNumberFormat="1">
      <alignment horizontal="center" vertical="top" wrapText="1"/>
    </xf>
    <xf numFmtId="49" fontId="19" fillId="38"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19" fillId="39" borderId="12" xfId="0" applyFont="1" applyFill="1" applyBorder="1" applyNumberFormat="1">
      <alignment horizontal="left" vertical="top" wrapText="1"/>
    </xf>
    <xf numFmtId="49" fontId="0" fillId="38"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39" borderId="12" xfId="0" applyFont="1" applyFill="1" applyBorder="1" applyNumberFormat="1">
      <alignment horizontal="left" vertical="top"/>
    </xf>
    <xf numFmtId="49" fontId="0" fillId="39" borderId="36" xfId="0" applyFont="1" applyFill="1" applyBorder="1" applyNumberFormat="1">
      <alignment horizontal="left" vertical="center" wrapText="1"/>
      <protection locked="0"/>
    </xf>
    <xf numFmtId="49" fontId="19" fillId="39" borderId="36" xfId="0" applyFont="1" applyFill="1" applyBorder="1" applyNumberFormat="1">
      <alignment horizontal="center" vertical="center" wrapText="1"/>
    </xf>
    <xf numFmtId="49" fontId="37" fillId="0" borderId="12" xfId="0" applyFont="1" applyBorder="1" applyNumberFormat="1">
      <alignment horizontal="center" vertical="center" wrapText="1"/>
    </xf>
    <xf numFmtId="49" fontId="37" fillId="0" borderId="14" xfId="0" applyFont="1" applyBorder="1" applyNumberFormat="1">
      <alignment horizontal="left" vertical="center" wrapText="1"/>
    </xf>
    <xf numFmtId="0" fontId="37" fillId="0" borderId="14" xfId="0" applyFont="1" applyBorder="1" applyNumberFormat="1">
      <alignment horizontal="left" vertical="center"/>
    </xf>
    <xf numFmtId="0" fontId="37" fillId="0" borderId="15" xfId="0" applyFont="1" applyBorder="1" applyNumberFormat="1">
      <alignment horizontal="left" vertical="center"/>
    </xf>
    <xf numFmtId="0" fontId="29" fillId="36" borderId="29" xfId="0" applyFont="1" applyFill="1" applyBorder="1" applyNumberFormat="1">
      <alignment horizontal="left" vertical="center"/>
    </xf>
    <xf numFmtId="49" fontId="0" fillId="0" borderId="0" xfId="0" applyFont="1" applyNumberFormat="1">
      <alignment vertical="top"/>
    </xf>
    <xf numFmtId="49" fontId="0" fillId="35" borderId="36" xfId="0" applyFont="1" applyFill="1" applyBorder="1" applyNumberFormat="1">
      <alignment vertical="top"/>
      <protection locked="0"/>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19"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19"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19" fillId="0" borderId="36" xfId="0" applyFont="1" applyBorder="1" applyNumberFormat="1">
      <alignment horizontal="center" vertical="center"/>
    </xf>
    <xf numFmtId="49" fontId="19" fillId="0" borderId="36" xfId="0" applyFont="1" applyBorder="1" applyNumberFormat="1">
      <alignment vertical="center" wrapText="1"/>
    </xf>
    <xf numFmtId="0" fontId="19" fillId="0" borderId="24" xfId="0" applyFont="1" applyBorder="1" applyNumberFormat="1">
      <alignment horizontal="center" vertical="center"/>
    </xf>
    <xf numFmtId="49" fontId="19" fillId="0" borderId="17" xfId="0" applyFont="1" applyBorder="1" applyNumberFormat="1">
      <alignment horizontal="left" vertical="center" wrapText="1"/>
    </xf>
    <xf numFmtId="49" fontId="19" fillId="0" borderId="17" xfId="0" applyFont="1" applyBorder="1" applyNumberFormat="1">
      <alignment horizontal="left" vertical="center" wrapText="1"/>
    </xf>
    <xf numFmtId="49" fontId="25" fillId="0" borderId="36" xfId="0" applyFont="1" applyBorder="1" applyNumberFormat="1">
      <alignment vertical="center" wrapText="1"/>
    </xf>
    <xf numFmtId="0" fontId="19" fillId="39" borderId="17" xfId="0" applyFont="1" applyFill="1" applyBorder="1" applyNumberFormat="1">
      <alignment horizontal="left" vertical="center" wrapText="1"/>
    </xf>
    <xf numFmtId="49" fontId="19" fillId="0" borderId="17" xfId="0" applyFont="1" applyBorder="1" applyNumberFormat="1">
      <alignment horizontal="center" vertical="center" wrapText="1"/>
    </xf>
    <xf numFmtId="49" fontId="19" fillId="39" borderId="17" xfId="0" applyFont="1" applyFill="1" applyBorder="1" applyNumberFormat="1">
      <alignment horizontal="left" vertical="center" wrapText="1"/>
    </xf>
    <xf numFmtId="0" fontId="19" fillId="0" borderId="17" xfId="0" applyFont="1" applyBorder="1" applyNumberFormat="1">
      <alignment horizontal="left" vertical="center" wrapText="1"/>
    </xf>
    <xf numFmtId="49" fontId="19" fillId="0" borderId="17" xfId="0" applyFont="1" applyBorder="1" applyNumberFormat="1">
      <alignment horizontal="center" vertical="center" wrapText="1"/>
    </xf>
    <xf numFmtId="49" fontId="19" fillId="39" borderId="17" xfId="0" applyFont="1" applyFill="1" applyBorder="1" applyNumberFormat="1">
      <alignment vertical="center" wrapText="1"/>
    </xf>
    <xf numFmtId="0" fontId="19" fillId="0" borderId="36" xfId="0" applyFont="1" applyBorder="1" applyNumberFormat="1">
      <alignment horizontal="left" vertical="center" wrapText="1"/>
    </xf>
    <xf numFmtId="49" fontId="19" fillId="0" borderId="36" xfId="0" applyFont="1" applyBorder="1" applyNumberFormat="1">
      <alignment horizontal="left" vertical="center" wrapText="1"/>
    </xf>
    <xf numFmtId="0" fontId="19" fillId="39" borderId="36" xfId="0" applyFont="1" applyFill="1" applyBorder="1" applyNumberFormat="1">
      <alignment horizontal="left" vertical="center" wrapText="1"/>
    </xf>
    <xf numFmtId="49" fontId="19" fillId="0" borderId="36" xfId="0" applyFont="1" applyBorder="1" applyNumberFormat="1">
      <alignment horizontal="center" vertical="center" wrapText="1"/>
    </xf>
    <xf numFmtId="0" fontId="19" fillId="0" borderId="23" xfId="0" applyFont="1" applyBorder="1" applyNumberFormat="1">
      <alignment horizontal="left" vertical="center" wrapText="1"/>
    </xf>
    <xf numFmtId="0" fontId="29" fillId="0" borderId="23" xfId="0" applyFont="1" applyBorder="1" applyNumberFormat="1">
      <alignment horizontal="left" vertical="center"/>
    </xf>
    <xf numFmtId="0" fontId="29" fillId="36" borderId="14"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3" xfId="0" applyFont="1" applyFill="1" applyBorder="1" applyNumberFormat="1">
      <alignment horizontal="left" vertical="center"/>
    </xf>
    <xf numFmtId="49" fontId="19" fillId="0" borderId="36" xfId="0" applyFont="1" applyBorder="1" applyNumberFormat="1">
      <alignment horizontal="center" vertical="center" wrapText="1"/>
    </xf>
    <xf numFmtId="0" fontId="29" fillId="36" borderId="37" xfId="0" applyFont="1" applyFill="1" applyBorder="1" applyNumberFormat="1">
      <alignment horizontal="left" vertical="center"/>
    </xf>
    <xf numFmtId="0" fontId="29" fillId="36" borderId="19" xfId="0" applyFont="1" applyFill="1" applyBorder="1" applyNumberFormat="1">
      <alignment horizontal="left" vertical="center"/>
    </xf>
    <xf numFmtId="0" fontId="29" fillId="36" borderId="20" xfId="0" applyFont="1" applyFill="1" applyBorder="1" applyNumberFormat="1">
      <alignment horizontal="left" vertical="center"/>
    </xf>
    <xf numFmtId="49" fontId="19" fillId="38" borderId="17" xfId="0" applyFont="1" applyFill="1" applyBorder="1" applyNumberFormat="1">
      <alignment horizontal="left" vertical="center" wrapText="1"/>
      <protection locked="0"/>
    </xf>
    <xf numFmtId="49" fontId="25" fillId="0" borderId="36" xfId="0" applyFont="1" applyBorder="1" applyNumberFormat="1">
      <alignment horizontal="center" vertical="center" wrapText="1"/>
    </xf>
    <xf numFmtId="0" fontId="29" fillId="36" borderId="37" xfId="0" applyFont="1" applyFill="1" applyBorder="1" applyNumberFormat="1">
      <alignment vertical="center"/>
    </xf>
    <xf numFmtId="0" fontId="29" fillId="0" borderId="36" xfId="0" applyFont="1" applyBorder="1" applyNumberFormat="1">
      <alignment horizontal="left" vertical="center"/>
    </xf>
    <xf numFmtId="49" fontId="19" fillId="35" borderId="17" xfId="0" applyFont="1" applyFill="1" applyBorder="1" applyNumberFormat="1">
      <alignment horizontal="left" vertical="center" wrapText="1"/>
      <protection locked="0"/>
    </xf>
    <xf numFmtId="49" fontId="57" fillId="36" borderId="14" xfId="0" applyFont="1" applyFill="1" applyBorder="1" applyNumberFormat="1">
      <alignment vertical="top"/>
    </xf>
    <xf numFmtId="49" fontId="57" fillId="36" borderId="15" xfId="0" applyFont="1" applyFill="1" applyBorder="1" applyNumberFormat="1">
      <alignment vertical="top"/>
    </xf>
    <xf numFmtId="49" fontId="19" fillId="0" borderId="19" xfId="0" applyFont="1" applyBorder="1" applyNumberFormat="1">
      <alignment horizontal="left" vertical="center" wrapText="1"/>
    </xf>
    <xf numFmtId="49" fontId="19" fillId="0" borderId="19" xfId="0" applyFont="1" applyBorder="1" applyNumberFormat="1">
      <alignment horizontal="left" vertical="center" wrapText="1"/>
    </xf>
    <xf numFmtId="49" fontId="25" fillId="0" borderId="19" xfId="0" applyFont="1" applyBorder="1" applyNumberFormat="1">
      <alignment vertical="center" wrapText="1"/>
    </xf>
    <xf numFmtId="49" fontId="19" fillId="0" borderId="0" xfId="0" applyFont="1" applyNumberFormat="1">
      <alignment horizontal="left" vertical="center" wrapText="1"/>
    </xf>
    <xf numFmtId="49" fontId="25" fillId="0" borderId="0" xfId="0" applyFont="1" applyNumberFormat="1">
      <alignment vertical="center" wrapText="1"/>
    </xf>
    <xf numFmtId="0" fontId="29" fillId="0" borderId="0" xfId="0" applyFont="1" applyNumberFormat="1">
      <alignment horizontal="left" vertical="center"/>
    </xf>
    <xf numFmtId="49" fontId="25" fillId="0" borderId="0" xfId="0" applyFont="1" applyNumberFormat="1">
      <alignment horizontal="center" vertical="center" wrapText="1"/>
    </xf>
    <xf numFmtId="49" fontId="19" fillId="0" borderId="0" xfId="0" applyFont="1" applyNumberFormat="1">
      <alignment horizontal="center" vertical="top"/>
    </xf>
    <xf numFmtId="49" fontId="20" fillId="46" borderId="0" xfId="0" applyFont="1" applyFill="1" applyNumberFormat="1">
      <alignment horizontal="center" vertical="center"/>
    </xf>
    <xf numFmtId="49" fontId="19" fillId="0" borderId="12" xfId="0" applyFont="1" applyBorder="1" applyNumberFormat="1">
      <alignment horizontal="center" vertical="top"/>
    </xf>
    <xf numFmtId="49" fontId="36" fillId="46" borderId="0" xfId="0" applyFont="1" applyFill="1" applyNumberFormat="1">
      <alignment horizontal="center" vertical="center" wrapText="1"/>
    </xf>
    <xf numFmtId="0" fontId="0" fillId="48" borderId="12" xfId="0" applyFont="1" applyFill="1" applyBorder="1" applyNumberFormat="1">
      <alignment horizontal="center" vertical="center"/>
    </xf>
    <xf numFmtId="49" fontId="0" fillId="0" borderId="0" xfId="0" applyFont="1" applyNumberFormat="1">
      <alignment vertical="center"/>
    </xf>
    <xf numFmtId="49" fontId="36" fillId="46" borderId="12" xfId="0" applyFont="1" applyFill="1" applyBorder="1" applyNumberFormat="1">
      <alignment horizontal="center" vertical="center"/>
    </xf>
    <xf numFmtId="49" fontId="36" fillId="49" borderId="12" xfId="0" applyFont="1" applyFill="1" applyBorder="1" applyNumberFormat="1">
      <alignment horizontal="center" vertical="center"/>
    </xf>
    <xf numFmtId="49" fontId="0" fillId="50" borderId="12" xfId="0" applyFont="1" applyFill="1" applyBorder="1" applyNumberFormat="1">
      <alignment horizontal="center" vertical="center"/>
    </xf>
    <xf numFmtId="49" fontId="19" fillId="0" borderId="0" xfId="0" applyFont="1" applyNumberFormat="1">
      <alignment horizontal="center" vertical="top"/>
    </xf>
    <xf numFmtId="49" fontId="19" fillId="0" borderId="0" xfId="0" applyFont="1" applyNumberFormat="1">
      <alignment vertical="top"/>
    </xf>
    <xf numFmtId="0" fontId="19"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19" fillId="0" borderId="14" xfId="0" applyFont="1" applyBorder="1" applyNumberFormat="1">
      <alignment horizontal="left" vertical="center"/>
    </xf>
    <xf numFmtId="49" fontId="19" fillId="0" borderId="44" xfId="0" applyFont="1" applyBorder="1" applyNumberFormat="1">
      <alignment vertical="center"/>
    </xf>
    <xf numFmtId="49" fontId="19" fillId="0" borderId="45" xfId="0" applyFont="1" applyBorder="1" applyNumberFormat="1">
      <alignment vertical="top"/>
    </xf>
    <xf numFmtId="49" fontId="19"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19" fillId="0" borderId="13" xfId="0" applyFont="1" applyBorder="1" applyNumberFormat="1">
      <alignment vertical="center"/>
    </xf>
    <xf numFmtId="49" fontId="19" fillId="0" borderId="12" xfId="0" applyFont="1" applyBorder="1" applyNumberFormat="1">
      <alignment vertical="center"/>
    </xf>
    <xf numFmtId="0" fontId="0" fillId="0" borderId="0" xfId="0" applyFont="1" applyNumberFormat="1">
      <alignment vertical="top"/>
    </xf>
    <xf numFmtId="0" fontId="19" fillId="0" borderId="12" xfId="0" applyFont="1" applyBorder="1" applyNumberFormat="1">
      <alignment vertical="top"/>
    </xf>
    <xf numFmtId="0" fontId="0" fillId="47" borderId="0" xfId="0" applyFont="1" applyFill="1" applyNumberFormat="1">
      <alignment horizontal="right" vertical="center"/>
    </xf>
    <xf numFmtId="49" fontId="20" fillId="0" borderId="0" xfId="0" applyFont="1" applyNumberFormat="1">
      <alignment horizontal="center" vertical="center"/>
    </xf>
    <xf numFmtId="49" fontId="0" fillId="0" borderId="0" xfId="0" applyFont="1" applyNumberFormat="1">
      <alignment vertical="top"/>
    </xf>
    <xf numFmtId="49" fontId="20" fillId="46" borderId="0" xfId="0" applyFont="1" applyFill="1" applyNumberFormat="1">
      <alignment horizontal="center" vertical="center"/>
    </xf>
    <xf numFmtId="0" fontId="19" fillId="0" borderId="0" xfId="0" applyFont="1" applyNumberFormat="1">
      <alignment vertical="center"/>
    </xf>
    <xf numFmtId="0" fontId="0" fillId="47"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19" fillId="0" borderId="14" xfId="0" applyFont="1" applyBorder="1" applyNumberFormat="1">
      <alignment vertical="top"/>
    </xf>
    <xf numFmtId="0" fontId="0" fillId="47" borderId="0" xfId="0" applyFont="1" applyFill="1" applyNumberFormat="1">
      <alignment horizontal="right" vertical="center"/>
    </xf>
    <xf numFmtId="0" fontId="0" fillId="0" borderId="0" xfId="0" applyFont="1" applyNumberFormat="1">
      <alignment horizontal="left" vertical="center"/>
    </xf>
    <xf numFmtId="0" fontId="0" fillId="47" borderId="0" xfId="0" applyFont="1" applyFill="1" applyNumberFormat="1">
      <alignment horizontal="right" vertical="center"/>
    </xf>
    <xf numFmtId="0" fontId="0" fillId="47" borderId="0" xfId="0" applyFont="1" applyFill="1" applyNumberFormat="1">
      <alignment horizontal="left" vertical="center"/>
    </xf>
    <xf numFmtId="0" fontId="44" fillId="47" borderId="0" xfId="0" applyFont="1" applyFill="1" applyNumberFormat="1">
      <alignment horizontal="left" vertical="center"/>
    </xf>
    <xf numFmtId="0" fontId="0" fillId="0" borderId="0" xfId="0" applyFont="1" applyNumberFormat="1">
      <alignment vertical="center"/>
    </xf>
    <xf numFmtId="0" fontId="19" fillId="0" borderId="0" xfId="0" applyFont="1" applyNumberFormat="1">
      <alignment vertical="top"/>
    </xf>
    <xf numFmtId="0" fontId="44" fillId="0" borderId="0" xfId="0" applyFont="1" applyNumberFormat="1">
      <alignment horizontal="left" vertical="center"/>
    </xf>
    <xf numFmtId="49" fontId="0" fillId="0" borderId="14" xfId="0" applyFont="1" applyBorder="1" applyNumberFormat="1">
      <alignment vertical="top"/>
    </xf>
    <xf numFmtId="49" fontId="19" fillId="0" borderId="12" xfId="0" applyFont="1" applyBorder="1" applyNumberFormat="1">
      <alignment horizontal="right" vertical="top"/>
    </xf>
    <xf numFmtId="0" fontId="0" fillId="0" borderId="14" xfId="0" applyFont="1" applyBorder="1" applyNumberFormat="1">
      <alignment horizontal="left" vertical="center"/>
    </xf>
    <xf numFmtId="0" fontId="44" fillId="47" borderId="0" xfId="0" applyFont="1" applyFill="1" applyNumberFormat="1">
      <alignment horizontal="left" vertical="center"/>
    </xf>
    <xf numFmtId="49" fontId="19" fillId="0" borderId="17" xfId="0" applyFont="1" applyBorder="1" applyNumberFormat="1">
      <alignment horizontal="right" vertical="top"/>
    </xf>
    <xf numFmtId="0" fontId="0" fillId="0" borderId="17" xfId="0" applyFont="1" applyBorder="1" applyNumberFormat="1">
      <alignment vertical="top"/>
    </xf>
    <xf numFmtId="0" fontId="19" fillId="0" borderId="17" xfId="0" applyFont="1" applyBorder="1" applyNumberFormat="1">
      <alignment vertical="center"/>
    </xf>
    <xf numFmtId="49" fontId="19" fillId="0" borderId="31" xfId="0" applyFont="1" applyBorder="1" applyNumberFormat="1">
      <alignment horizontal="center" vertical="center"/>
    </xf>
    <xf numFmtId="49" fontId="19" fillId="0" borderId="12" xfId="0" applyFont="1" applyBorder="1" applyNumberFormat="1">
      <alignment horizontal="right" vertical="center"/>
    </xf>
    <xf numFmtId="49" fontId="19" fillId="0" borderId="12" xfId="0" applyFont="1" applyBorder="1" applyNumberFormat="1">
      <alignment vertical="top"/>
    </xf>
    <xf numFmtId="49" fontId="0" fillId="0" borderId="0" xfId="0" applyFont="1" applyNumberFormat="1">
      <alignment vertical="center"/>
    </xf>
    <xf numFmtId="0" fontId="19" fillId="47" borderId="0" xfId="0" applyFont="1" applyFill="1" applyNumberFormat="1">
      <alignment horizontal="left" vertical="center"/>
    </xf>
    <xf numFmtId="0" fontId="0" fillId="47" borderId="10" xfId="0" applyFont="1" applyFill="1" applyBorder="1" applyNumberFormat="1">
      <alignment horizontal="center"/>
    </xf>
    <xf numFmtId="49" fontId="94" fillId="0" borderId="16" xfId="0" applyFont="1" applyBorder="1" applyNumberFormat="1">
      <alignment vertical="top"/>
    </xf>
    <xf numFmtId="49" fontId="0" fillId="0" borderId="0" xfId="0" applyFont="1" applyNumberFormat="1">
      <alignment vertical="center"/>
    </xf>
    <xf numFmtId="49" fontId="34" fillId="53" borderId="0" xfId="0" applyFont="1" applyFill="1" applyNumberFormat="1">
      <alignment vertical="center" wrapText="1"/>
    </xf>
    <xf numFmtId="0" fontId="0" fillId="0" borderId="10" xfId="0" applyFont="1" applyBorder="1" applyNumberFormat="1">
      <alignment horizontal="center"/>
    </xf>
    <xf numFmtId="49" fontId="19" fillId="47" borderId="0" xfId="0" applyFont="1" applyFill="1" applyNumberFormat="1">
      <alignment horizontal="center" vertical="center"/>
    </xf>
    <xf numFmtId="49" fontId="19" fillId="0" borderId="0" xfId="0" applyFont="1" applyNumberFormat="1">
      <alignment vertical="top"/>
    </xf>
    <xf numFmtId="49" fontId="0" fillId="35"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3"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92" fillId="0" borderId="46" xfId="0" applyFont="1" applyBorder="1" applyNumberFormat="1">
      <alignment horizontal="center" vertical="center"/>
    </xf>
    <xf numFmtId="0" fontId="0" fillId="0" borderId="46" xfId="0" applyFont="1" applyBorder="1" applyNumberFormat="1">
      <alignment horizontal="center" vertical="center"/>
    </xf>
    <xf numFmtId="49" fontId="20" fillId="46" borderId="12" xfId="0" applyFont="1" applyFill="1" applyBorder="1" applyNumberFormat="1">
      <alignment horizontal="right" vertical="center"/>
    </xf>
    <xf numFmtId="49" fontId="19" fillId="35" borderId="37" xfId="0" applyFont="1" applyFill="1" applyBorder="1" applyNumberFormat="1">
      <alignment vertical="top"/>
      <protection locked="0"/>
    </xf>
    <xf numFmtId="0" fontId="19" fillId="0" borderId="12" xfId="0" applyFont="1" applyBorder="1" applyNumberFormat="1">
      <alignment vertical="top"/>
    </xf>
    <xf numFmtId="0" fontId="0" fillId="40" borderId="12" xfId="0" applyFont="1" applyFill="1" applyBorder="1" applyNumberFormat="1">
      <alignment horizontal="right" vertical="center"/>
    </xf>
    <xf numFmtId="49" fontId="19" fillId="40" borderId="23" xfId="0" applyFont="1" applyFill="1" applyBorder="1" applyNumberFormat="1">
      <alignment vertical="top"/>
    </xf>
    <xf numFmtId="49" fontId="19" fillId="40" borderId="12" xfId="0" applyFont="1" applyFill="1" applyBorder="1" applyNumberFormat="1">
      <alignment vertical="top"/>
    </xf>
    <xf numFmtId="49" fontId="19" fillId="0" borderId="14" xfId="0" applyFont="1" applyBorder="1" applyNumberFormat="1">
      <alignment horizontal="center" vertical="top"/>
    </xf>
    <xf numFmtId="49" fontId="19" fillId="0" borderId="13" xfId="0" applyFont="1" applyBorder="1" applyNumberFormat="1">
      <alignment horizontal="center" vertical="top"/>
    </xf>
    <xf numFmtId="0" fontId="19" fillId="33" borderId="30" xfId="0" applyFont="1" applyFill="1" applyBorder="1" applyNumberFormat="1">
      <alignment horizontal="center" vertical="top"/>
    </xf>
    <xf numFmtId="0" fontId="19" fillId="33"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19" fillId="0" borderId="12" xfId="0" applyFont="1" applyBorder="1" applyNumberFormat="1">
      <alignment horizontal="left" vertical="top"/>
    </xf>
    <xf numFmtId="49" fontId="19" fillId="0" borderId="0" xfId="0" applyFont="1" applyNumberFormat="1">
      <alignment horizontal="left" vertical="top"/>
    </xf>
    <xf numFmtId="0" fontId="0" fillId="0" borderId="31" xfId="0" applyFont="1" applyBorder="1" applyNumberFormat="1">
      <alignment horizontal="center" vertical="center"/>
    </xf>
    <xf numFmtId="0" fontId="0" fillId="0" borderId="33" xfId="0" applyFont="1" applyBorder="1" applyNumberFormat="1">
      <alignment horizontal="center" vertical="center"/>
    </xf>
    <xf numFmtId="49" fontId="20" fillId="46" borderId="14" xfId="0" applyFont="1" applyFill="1" applyBorder="1" applyNumberFormat="1">
      <alignment horizontal="right" vertical="center"/>
    </xf>
    <xf numFmtId="49" fontId="19"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49" fontId="19" fillId="0" borderId="0" xfId="0" applyFont="1" applyNumberFormat="1">
      <alignment vertical="center"/>
    </xf>
    <xf numFmtId="49" fontId="0" fillId="0" borderId="0" xfId="0" applyFont="1" applyNumberFormat="1">
      <alignment vertical="top"/>
    </xf>
    <xf numFmtId="49" fontId="19" fillId="0" borderId="0" xfId="0" applyFont="1" applyNumberFormat="1">
      <alignment vertical="top"/>
    </xf>
    <xf numFmtId="49" fontId="0" fillId="0" borderId="0" xfId="0" applyFont="1" applyNumberFormat="1">
      <alignment vertical="center" wrapText="1"/>
    </xf>
    <xf numFmtId="49" fontId="85" fillId="0" borderId="12" xfId="0" applyFont="1" applyBorder="1" applyNumberFormat="1">
      <alignment vertical="top" wrapText="1"/>
    </xf>
    <xf numFmtId="49" fontId="81" fillId="0" borderId="12" xfId="0" applyFont="1" applyBorder="1" applyNumberFormat="1">
      <alignment horizontal="center" vertical="top" wrapText="1"/>
    </xf>
    <xf numFmtId="49" fontId="81" fillId="40" borderId="12" xfId="0" applyFont="1" applyFill="1" applyBorder="1" applyNumberFormat="1">
      <alignment horizontal="center" vertical="top"/>
    </xf>
    <xf numFmtId="49" fontId="81" fillId="0" borderId="12" xfId="0" applyFont="1" applyBorder="1" applyNumberFormat="1">
      <alignment vertical="top" wrapText="1"/>
    </xf>
    <xf numFmtId="0" fontId="81" fillId="0" borderId="12" xfId="0" applyFont="1" applyBorder="1" applyNumberFormat="1">
      <alignment vertical="top" wrapText="1"/>
    </xf>
    <xf numFmtId="49" fontId="81" fillId="0" borderId="12" xfId="0" applyFont="1" applyBorder="1" applyNumberFormat="1">
      <alignment vertical="top"/>
    </xf>
    <xf numFmtId="49" fontId="85" fillId="0" borderId="12" xfId="0" applyFont="1" applyBorder="1" applyNumberFormat="1">
      <alignment vertical="top"/>
    </xf>
    <xf numFmtId="0" fontId="85" fillId="0" borderId="12" xfId="0" applyFont="1" applyBorder="1" applyNumberFormat="1">
      <alignment vertical="top" wrapText="1"/>
    </xf>
    <xf numFmtId="49" fontId="85" fillId="0" borderId="0" xfId="0" applyFont="1" applyNumberFormat="1">
      <alignment vertical="top" wrapText="1"/>
    </xf>
    <xf numFmtId="49" fontId="85" fillId="0" borderId="0" xfId="0" applyFont="1" applyNumberFormat="1">
      <alignment vertical="top"/>
    </xf>
    <xf numFmtId="49" fontId="85" fillId="0" borderId="0" xfId="0" applyFont="1" applyNumberFormat="1">
      <alignment horizontal="center" vertical="top" wrapText="1"/>
    </xf>
    <xf numFmtId="49" fontId="85" fillId="0" borderId="12" xfId="0" applyFont="1" applyBorder="1" applyNumberFormat="1">
      <alignment horizontal="center" vertical="top" wrapText="1"/>
    </xf>
    <xf numFmtId="49" fontId="85" fillId="0" borderId="12" xfId="0" applyFont="1" applyBorder="1" applyNumberFormat="1">
      <alignment horizontal="center" vertical="top" wrapText="1"/>
    </xf>
    <xf numFmtId="49" fontId="85" fillId="40" borderId="12" xfId="0" applyFont="1" applyFill="1" applyBorder="1" applyNumberFormat="1">
      <alignment horizontal="center" vertical="top" wrapText="1"/>
    </xf>
    <xf numFmtId="49" fontId="81" fillId="40" borderId="12" xfId="0" applyFont="1" applyFill="1" applyBorder="1" applyNumberFormat="1">
      <alignment horizontal="center" vertical="top" wrapText="1"/>
    </xf>
    <xf numFmtId="49" fontId="85" fillId="0" borderId="12" xfId="0" applyFont="1" applyBorder="1" applyNumberFormat="1">
      <alignment horizontal="left" vertical="top" wrapText="1"/>
    </xf>
    <xf numFmtId="0" fontId="81" fillId="40" borderId="12" xfId="0" applyFont="1" applyFill="1" applyBorder="1" applyNumberFormat="1">
      <alignment horizontal="center" vertical="top" wrapText="1"/>
    </xf>
    <xf numFmtId="0" fontId="85" fillId="40" borderId="12" xfId="0" applyFont="1" applyFill="1" applyBorder="1" applyNumberFormat="1">
      <alignment horizontal="right" vertical="center" wrapText="1"/>
    </xf>
    <xf numFmtId="49" fontId="85" fillId="0" borderId="14" xfId="0" applyFont="1" applyBorder="1" applyNumberFormat="1">
      <alignment horizontal="center" vertical="top" wrapText="1"/>
    </xf>
    <xf numFmtId="49" fontId="85" fillId="0" borderId="15" xfId="0" applyFont="1" applyBorder="1" applyNumberFormat="1">
      <alignment horizontal="center" vertical="top" wrapText="1"/>
    </xf>
    <xf numFmtId="49" fontId="85" fillId="0" borderId="13" xfId="0" applyFont="1" applyBorder="1" applyNumberFormat="1">
      <alignment horizontal="center" vertical="top" wrapText="1"/>
    </xf>
    <xf numFmtId="0" fontId="85" fillId="0" borderId="12" xfId="0" applyFont="1" applyBorder="1" applyNumberFormat="1">
      <alignment horizontal="left" vertical="top" wrapText="1"/>
    </xf>
    <xf numFmtId="49" fontId="85" fillId="40" borderId="12" xfId="0" applyFont="1" applyFill="1" applyBorder="1" applyNumberFormat="1">
      <alignment horizontal="left" vertical="top" wrapText="1"/>
    </xf>
    <xf numFmtId="0" fontId="85" fillId="40" borderId="12" xfId="0" applyFont="1" applyFill="1" applyBorder="1" applyNumberFormat="1">
      <alignment horizontal="center" vertical="center" wrapText="1"/>
    </xf>
    <xf numFmtId="0" fontId="85" fillId="40" borderId="12" xfId="0" applyFont="1" applyFill="1" applyBorder="1" applyNumberFormat="1">
      <alignment horizontal="center" vertical="center" wrapText="1"/>
    </xf>
    <xf numFmtId="49" fontId="85" fillId="0" borderId="17" xfId="0" applyFont="1" applyBorder="1" applyNumberFormat="1">
      <alignment horizontal="center" vertical="top" wrapText="1"/>
    </xf>
    <xf numFmtId="49" fontId="85" fillId="0" borderId="36" xfId="0" applyFont="1" applyBorder="1" applyNumberFormat="1">
      <alignment horizontal="center" vertical="top" wrapText="1"/>
    </xf>
    <xf numFmtId="49" fontId="85" fillId="0" borderId="17" xfId="0" applyFont="1" applyBorder="1" applyNumberFormat="1">
      <alignment horizontal="center" vertical="top" wrapText="1"/>
    </xf>
    <xf numFmtId="0" fontId="85" fillId="0" borderId="17" xfId="0" applyFont="1" applyBorder="1" applyNumberFormat="1">
      <alignment horizontal="left" vertical="top" wrapText="1"/>
    </xf>
    <xf numFmtId="49" fontId="85" fillId="0" borderId="37" xfId="0" applyFont="1" applyBorder="1" applyNumberFormat="1">
      <alignment horizontal="center" vertical="top" wrapText="1"/>
    </xf>
    <xf numFmtId="49" fontId="85" fillId="0" borderId="37" xfId="0" applyFont="1" applyBorder="1" applyNumberFormat="1">
      <alignment horizontal="center" vertical="top" wrapText="1"/>
    </xf>
    <xf numFmtId="0" fontId="85" fillId="0" borderId="13" xfId="0" applyFont="1" applyBorder="1" applyNumberFormat="1">
      <alignment horizontal="left" vertical="top" wrapText="1"/>
    </xf>
    <xf numFmtId="49" fontId="85" fillId="0" borderId="23" xfId="0" applyFont="1" applyBorder="1" applyNumberFormat="1">
      <alignment horizontal="center" vertical="top" wrapText="1"/>
    </xf>
    <xf numFmtId="49" fontId="85" fillId="0" borderId="30" xfId="0" applyFont="1" applyBorder="1" applyNumberFormat="1">
      <alignment horizontal="center" vertical="top" wrapText="1"/>
    </xf>
    <xf numFmtId="49" fontId="85" fillId="0" borderId="22" xfId="0" applyFont="1" applyBorder="1" applyNumberFormat="1">
      <alignment horizontal="center" vertical="top" wrapText="1"/>
    </xf>
    <xf numFmtId="0" fontId="85" fillId="0" borderId="17" xfId="0" applyFont="1" applyBorder="1" applyNumberFormat="1">
      <alignment vertical="top" wrapText="1"/>
    </xf>
    <xf numFmtId="49" fontId="81" fillId="0" borderId="12" xfId="0" applyFont="1" applyBorder="1" applyNumberFormat="1">
      <alignment horizontal="left" vertical="top" wrapText="1"/>
    </xf>
    <xf numFmtId="0" fontId="81" fillId="0" borderId="14" xfId="0" applyFont="1" applyBorder="1" applyNumberFormat="1">
      <alignment horizontal="center" vertical="center" wrapText="1"/>
    </xf>
    <xf numFmtId="0" fontId="81" fillId="0" borderId="14" xfId="0" applyFont="1" applyBorder="1" applyNumberFormat="1">
      <alignment horizontal="center" vertical="center"/>
    </xf>
    <xf numFmtId="49" fontId="81" fillId="0" borderId="12" xfId="0" applyFont="1" applyBorder="1" applyNumberFormat="1">
      <alignment horizontal="center" vertical="center" wrapText="1"/>
    </xf>
    <xf numFmtId="0" fontId="81" fillId="0" borderId="12" xfId="0" applyFont="1" applyBorder="1" applyNumberFormat="1">
      <alignment vertical="center" wrapText="1"/>
    </xf>
    <xf numFmtId="49" fontId="85" fillId="0" borderId="14" xfId="0" applyFont="1" applyBorder="1" applyNumberFormat="1">
      <alignment horizontal="left" vertical="top" wrapText="1"/>
    </xf>
    <xf numFmtId="0" fontId="81" fillId="0" borderId="12" xfId="0" applyFont="1" applyBorder="1" applyNumberFormat="1">
      <alignment horizontal="center" vertical="center" wrapText="1"/>
    </xf>
    <xf numFmtId="0" fontId="81" fillId="0" borderId="17" xfId="0" applyFont="1" applyBorder="1" applyNumberFormat="1">
      <alignment vertical="center" wrapText="1"/>
    </xf>
    <xf numFmtId="0" fontId="81" fillId="0" borderId="23" xfId="0" applyFont="1" applyBorder="1" applyNumberFormat="1">
      <alignment vertical="center" wrapText="1"/>
    </xf>
    <xf numFmtId="49" fontId="85" fillId="0" borderId="30" xfId="0" applyFont="1" applyBorder="1" applyNumberFormat="1">
      <alignment horizontal="left" vertical="top" wrapText="1"/>
    </xf>
    <xf numFmtId="49" fontId="85" fillId="0" borderId="13" xfId="0" applyFont="1" applyBorder="1" applyNumberFormat="1">
      <alignment horizontal="left" vertical="top" wrapText="1"/>
    </xf>
    <xf numFmtId="49" fontId="81" fillId="0" borderId="17" xfId="0" applyFont="1" applyBorder="1" applyNumberFormat="1">
      <alignment horizontal="center" vertical="center" wrapText="1"/>
    </xf>
    <xf numFmtId="49" fontId="81" fillId="0" borderId="23" xfId="0" applyFont="1" applyBorder="1" applyNumberFormat="1">
      <alignment horizontal="center" vertical="center" wrapText="1"/>
    </xf>
    <xf numFmtId="0" fontId="81" fillId="0" borderId="17" xfId="0" applyFont="1" applyBorder="1" applyNumberFormat="1">
      <alignment horizontal="center" vertical="center" wrapText="1"/>
    </xf>
    <xf numFmtId="49" fontId="85" fillId="0" borderId="36" xfId="0" applyFont="1" applyBorder="1" applyNumberFormat="1">
      <alignment horizontal="left" vertical="top" wrapText="1"/>
    </xf>
    <xf numFmtId="0" fontId="85" fillId="0" borderId="36" xfId="0" applyFont="1" applyBorder="1" applyNumberFormat="1">
      <alignment horizontal="left" vertical="top" wrapText="1"/>
    </xf>
    <xf numFmtId="49" fontId="85" fillId="0" borderId="0" xfId="0" applyFont="1" applyNumberFormat="1">
      <alignment horizontal="left" vertical="top" wrapText="1"/>
    </xf>
    <xf numFmtId="49" fontId="85" fillId="40" borderId="0" xfId="0" applyFont="1" applyFill="1" applyNumberFormat="1">
      <alignment horizontal="left" vertical="top" wrapText="1"/>
    </xf>
    <xf numFmtId="0" fontId="85" fillId="0" borderId="0" xfId="0" applyFont="1" applyNumberFormat="1">
      <alignment vertical="top" wrapText="1"/>
    </xf>
    <xf numFmtId="0" fontId="35" fillId="0" borderId="19" xfId="0" applyFont="1" applyBorder="1" applyNumberFormat="1">
      <alignment horizontal="left" vertical="center" wrapText="1" indent="1"/>
    </xf>
    <xf numFmtId="0" fontId="35" fillId="0" borderId="27" xfId="0" applyFont="1" applyBorder="1" applyNumberFormat="1">
      <alignment horizontal="left" vertical="center" wrapText="1" indent="1"/>
    </xf>
    <xf numFmtId="0" fontId="0" fillId="0" borderId="0" xfId="0" applyFont="1" applyNumberFormat="1">
      <alignment horizontal="left" vertical="center"/>
    </xf>
    <xf numFmtId="0" fontId="0" fillId="34" borderId="12" xfId="0" applyFont="1" applyFill="1" applyBorder="1" applyNumberFormat="1">
      <alignment horizontal="right" vertical="center" wrapText="1" indent="1"/>
    </xf>
    <xf numFmtId="0" fontId="0" fillId="0" borderId="14" xfId="0" applyFont="1" applyBorder="1" applyNumberFormat="1">
      <alignment vertical="center"/>
    </xf>
    <xf numFmtId="0" fontId="19" fillId="0" borderId="0" xfId="0" applyFont="1" applyNumberFormat="1">
      <alignment horizontal="left" vertical="center" wrapText="1"/>
    </xf>
    <xf numFmtId="0" fontId="19" fillId="0" borderId="0" xfId="0" applyFont="1" applyNumberFormat="1">
      <alignment horizontal="right" vertical="center" wrapText="1"/>
    </xf>
    <xf numFmtId="0" fontId="19" fillId="0" borderId="0" xfId="0" applyFont="1" applyNumberFormat="1">
      <alignment horizontal="right" vertical="center" wrapText="1"/>
    </xf>
    <xf numFmtId="0" fontId="0" fillId="0" borderId="12" xfId="0" applyFont="1" applyBorder="1" applyNumberFormat="1">
      <alignment horizontal="center" vertical="center" wrapText="1"/>
    </xf>
    <xf numFmtId="0" fontId="70" fillId="34" borderId="19" xfId="0" applyFont="1" applyFill="1" applyBorder="1" applyNumberFormat="1">
      <alignment horizontal="center" vertical="center" wrapText="1"/>
    </xf>
    <xf numFmtId="0" fontId="19" fillId="34" borderId="12" xfId="0" applyFont="1" applyFill="1" applyBorder="1" applyNumberFormat="1">
      <alignment horizontal="left" vertical="center" wrapText="1"/>
    </xf>
    <xf numFmtId="4" fontId="19" fillId="33" borderId="12" xfId="0" applyFont="1" applyFill="1" applyBorder="1" applyNumberFormat="1">
      <alignment horizontal="left" vertical="center" wrapText="1"/>
    </xf>
    <xf numFmtId="0" fontId="19" fillId="0" borderId="0" xfId="0" applyFont="1" applyNumberFormat="1">
      <alignment horizontal="center" vertical="center" wrapText="1"/>
    </xf>
    <xf numFmtId="0" fontId="36" fillId="0" borderId="0" xfId="0" applyFont="1" applyNumberFormat="1">
      <alignment horizontal="center" vertical="center" wrapText="1"/>
    </xf>
    <xf numFmtId="0" fontId="37" fillId="0" borderId="0" xfId="0" applyFont="1" applyNumberFormat="1">
      <alignment horizontal="center" vertical="center" wrapText="1"/>
    </xf>
    <xf numFmtId="0" fontId="19" fillId="39" borderId="12" xfId="0" applyFont="1" applyFill="1" applyBorder="1" applyNumberFormat="1">
      <alignment horizontal="left" vertical="center" wrapText="1"/>
      <protection locked="0"/>
    </xf>
    <xf numFmtId="0" fontId="19" fillId="39" borderId="14" xfId="0" applyFont="1" applyFill="1" applyBorder="1" applyNumberFormat="1">
      <alignment horizontal="left" vertical="center" wrapText="1"/>
      <protection locked="0"/>
    </xf>
    <xf numFmtId="0" fontId="19" fillId="39" borderId="15" xfId="0" applyFont="1" applyFill="1" applyBorder="1" applyNumberFormat="1">
      <alignment horizontal="left" vertical="center" wrapText="1"/>
      <protection locked="0"/>
    </xf>
    <xf numFmtId="0" fontId="19" fillId="39" borderId="13" xfId="0" applyFont="1" applyFill="1" applyBorder="1" applyNumberFormat="1">
      <alignment horizontal="left" vertical="center" wrapText="1"/>
      <protection locked="0"/>
    </xf>
    <xf numFmtId="0" fontId="19" fillId="39" borderId="12" xfId="0" applyFont="1" applyFill="1" applyBorder="1" applyNumberFormat="1">
      <alignment horizontal="left" vertical="center" wrapText="1" indent="6"/>
      <protection locked="0"/>
    </xf>
    <xf numFmtId="174" fontId="0" fillId="38" borderId="12" xfId="0" applyFont="1" applyFill="1" applyBorder="1" applyNumberFormat="1">
      <alignment horizontal="center" vertical="center" wrapText="1"/>
      <protection locked="0"/>
    </xf>
    <xf numFmtId="49" fontId="19" fillId="0" borderId="12" xfId="0" applyFont="1" applyBorder="1" applyNumberFormat="1">
      <alignment horizontal="left" vertical="center" wrapText="1"/>
    </xf>
    <xf numFmtId="49" fontId="91" fillId="36" borderId="14" xfId="0" applyFont="1" applyFill="1" applyBorder="1" applyNumberFormat="1">
      <alignment horizontal="left" vertical="center"/>
    </xf>
    <xf numFmtId="49" fontId="99" fillId="36" borderId="15" xfId="0" applyFont="1" applyFill="1" applyBorder="1" applyNumberFormat="1">
      <alignment horizontal="left" vertical="center" indent="3"/>
    </xf>
    <xf numFmtId="49" fontId="63" fillId="36" borderId="15" xfId="0" applyFont="1" applyFill="1" applyBorder="1" applyNumberFormat="1">
      <alignment horizontal="center" vertical="center" wrapText="1"/>
    </xf>
    <xf numFmtId="49" fontId="57" fillId="36" borderId="15" xfId="0" applyFont="1" applyFill="1" applyBorder="1" applyNumberFormat="1">
      <alignment horizontal="center" vertical="center" wrapText="1"/>
    </xf>
    <xf numFmtId="49" fontId="57" fillId="36" borderId="13" xfId="0" applyFont="1" applyFill="1" applyBorder="1" applyNumberFormat="1">
      <alignment horizontal="center" vertical="center" wrapText="1"/>
    </xf>
    <xf numFmtId="49" fontId="36" fillId="0" borderId="0" xfId="0" applyFont="1" applyNumberFormat="1">
      <alignment horizontal="left" vertical="center"/>
    </xf>
    <xf numFmtId="49" fontId="20" fillId="0" borderId="0" xfId="0" applyFont="1" applyNumberFormat="1">
      <alignment vertical="top"/>
    </xf>
    <xf numFmtId="49" fontId="0" fillId="0" borderId="24" xfId="0" applyFont="1" applyBorder="1" applyNumberFormat="1">
      <alignment vertical="top"/>
    </xf>
    <xf numFmtId="49" fontId="99" fillId="36" borderId="15" xfId="0" applyFont="1" applyFill="1" applyBorder="1" applyNumberFormat="1">
      <alignment horizontal="left" vertical="center" indent="2"/>
    </xf>
    <xf numFmtId="49" fontId="99" fillId="36" borderId="15" xfId="0" applyFont="1" applyFill="1" applyBorder="1" applyNumberFormat="1">
      <alignment horizontal="left" vertical="center" indent="1"/>
    </xf>
    <xf numFmtId="49" fontId="36" fillId="0" borderId="0" xfId="0" applyFont="1" applyNumberFormat="1">
      <alignment horizontal="left" vertical="center"/>
    </xf>
    <xf numFmtId="49" fontId="36" fillId="0" borderId="0" xfId="0" applyFont="1" applyNumberFormat="1">
      <alignment horizontal="left" vertical="top"/>
    </xf>
    <xf numFmtId="49" fontId="57" fillId="36" borderId="14" xfId="0" applyFont="1" applyFill="1" applyBorder="1" applyNumberFormat="1">
      <alignment horizontal="left" vertical="top"/>
    </xf>
    <xf numFmtId="49" fontId="99" fillId="36" borderId="15" xfId="0" applyFont="1" applyFill="1" applyBorder="1" applyNumberFormat="1">
      <alignment horizontal="left" vertical="center"/>
    </xf>
    <xf numFmtId="49" fontId="37" fillId="0" borderId="0" xfId="0" applyFont="1" applyNumberFormat="1">
      <alignment vertical="top"/>
    </xf>
    <xf numFmtId="0" fontId="19" fillId="0" borderId="0" xfId="0" applyFont="1" applyNumberFormat="1">
      <alignment horizontal="left" vertical="top" wrapText="1"/>
    </xf>
    <xf numFmtId="49" fontId="19" fillId="0" borderId="0" xfId="0" applyFont="1" applyNumberFormat="1">
      <alignment vertical="center" wrapText="1"/>
    </xf>
    <xf numFmtId="49" fontId="19" fillId="0" borderId="0" xfId="0" applyFont="1" applyNumberFormat="1">
      <alignment horizontal="left" vertical="center"/>
    </xf>
    <xf numFmtId="49" fontId="19" fillId="0" borderId="0" xfId="0" applyFont="1" applyNumberFormat="1">
      <alignment horizontal="left" vertical="center"/>
    </xf>
    <xf numFmtId="49" fontId="19" fillId="0" borderId="0" xfId="0" applyFont="1" applyNumberFormat="1">
      <alignment horizontal="left" vertical="top"/>
    </xf>
    <xf numFmtId="0" fontId="35" fillId="0" borderId="15" xfId="0" applyFont="1" applyBorder="1" applyNumberFormat="1">
      <alignment horizontal="left" vertical="center" wrapText="1" indent="1"/>
    </xf>
    <xf numFmtId="0" fontId="35" fillId="0" borderId="0" xfId="0" applyFont="1" applyNumberFormat="1">
      <alignment horizontal="center" vertical="center" wrapText="1"/>
    </xf>
    <xf numFmtId="0" fontId="0" fillId="0" borderId="0" xfId="0" applyFont="1" applyNumberFormat="1">
      <alignment horizontal="center" vertical="center"/>
    </xf>
    <xf numFmtId="0" fontId="19" fillId="33" borderId="14" xfId="0" applyFont="1" applyFill="1" applyBorder="1" applyNumberFormat="1">
      <alignment horizontal="left" vertical="center" wrapText="1" indent="1"/>
    </xf>
    <xf numFmtId="0" fontId="19" fillId="33" borderId="15" xfId="0" applyFont="1" applyFill="1" applyBorder="1" applyNumberFormat="1">
      <alignment horizontal="left" vertical="center" wrapText="1" indent="1"/>
    </xf>
    <xf numFmtId="0" fontId="19" fillId="33" borderId="13" xfId="0" applyFont="1" applyFill="1" applyBorder="1" applyNumberFormat="1">
      <alignment horizontal="left" vertical="center" wrapText="1" indent="1"/>
    </xf>
    <xf numFmtId="0" fontId="62" fillId="0" borderId="0" xfId="0" applyFont="1" applyNumberFormat="1">
      <alignment horizontal="left" vertical="center" wrapText="1"/>
    </xf>
    <xf numFmtId="0" fontId="37" fillId="0" borderId="0" xfId="0" applyFont="1" applyNumberFormat="1">
      <alignment vertical="center"/>
    </xf>
    <xf numFmtId="0" fontId="0" fillId="0" borderId="0" xfId="0" applyFont="1" applyNumberFormat="1">
      <alignment horizontal="right" vertical="center" wrapText="1" indent="1"/>
    </xf>
    <xf numFmtId="0" fontId="19" fillId="0" borderId="0" xfId="0" applyFont="1" applyNumberFormat="1">
      <alignment horizontal="left" vertical="center" wrapText="1" indent="1"/>
    </xf>
    <xf numFmtId="0" fontId="72" fillId="0" borderId="0" xfId="0" applyFont="1" applyNumberFormat="1">
      <alignment vertical="center" wrapText="1"/>
    </xf>
    <xf numFmtId="0" fontId="72" fillId="0" borderId="0" xfId="0" applyFont="1" applyNumberFormat="1">
      <alignment horizontal="center" vertical="center" wrapText="1"/>
    </xf>
    <xf numFmtId="0" fontId="19" fillId="34" borderId="12" xfId="0" applyFont="1" applyFill="1" applyBorder="1" applyNumberFormat="1">
      <alignment horizontal="center" vertical="center" wrapText="1"/>
    </xf>
    <xf numFmtId="49" fontId="29" fillId="36" borderId="12" xfId="0" applyFont="1" applyFill="1" applyBorder="1" applyNumberFormat="1">
      <alignment horizontal="center" vertical="center" textRotation="90" wrapText="1"/>
    </xf>
    <xf numFmtId="0" fontId="0" fillId="0" borderId="12" xfId="0" applyFont="1" applyBorder="1" applyNumberFormat="1">
      <alignment horizontal="center" vertical="center" wrapText="1"/>
    </xf>
    <xf numFmtId="0" fontId="24" fillId="34" borderId="0" xfId="0" applyFont="1" applyFill="1" applyNumberFormat="1">
      <alignment horizontal="center" vertical="center" wrapText="1"/>
    </xf>
    <xf numFmtId="0" fontId="24" fillId="34" borderId="0" xfId="0" applyFont="1" applyFill="1" applyNumberFormat="1">
      <alignment horizontal="center" vertical="center" wrapText="1"/>
    </xf>
    <xf numFmtId="49" fontId="37" fillId="0" borderId="0" xfId="0" applyFont="1" applyNumberFormat="1">
      <alignment vertical="center" wrapText="1"/>
    </xf>
    <xf numFmtId="0" fontId="19" fillId="0" borderId="12" xfId="0" applyFont="1" applyBorder="1" applyNumberFormat="1">
      <alignment vertical="center" wrapText="1"/>
    </xf>
    <xf numFmtId="49" fontId="37" fillId="0" borderId="0" xfId="0" applyFont="1" applyNumberFormat="1">
      <alignment vertical="center"/>
    </xf>
    <xf numFmtId="0" fontId="20" fillId="0" borderId="0" xfId="0" applyFont="1" applyNumberFormat="1">
      <alignment horizontal="center" vertical="center" wrapText="1"/>
    </xf>
    <xf numFmtId="0" fontId="25" fillId="34" borderId="0" xfId="0" applyFont="1" applyFill="1" applyNumberFormat="1">
      <alignment horizontal="center" vertical="center" wrapText="1"/>
    </xf>
    <xf numFmtId="0" fontId="25" fillId="34" borderId="0" xfId="0" applyFont="1" applyFill="1" applyNumberFormat="1">
      <alignment vertical="center" wrapText="1"/>
    </xf>
    <xf numFmtId="49" fontId="19" fillId="38" borderId="12" xfId="0" applyFont="1" applyFill="1" applyBorder="1" applyNumberFormat="1">
      <alignment horizontal="left" vertical="center" wrapText="1" indent="4"/>
      <protection locked="0"/>
    </xf>
    <xf numFmtId="49" fontId="19" fillId="0" borderId="12" xfId="0" applyFont="1" applyBorder="1" applyNumberFormat="1">
      <alignment horizontal="center" vertical="center" wrapText="1"/>
    </xf>
    <xf numFmtId="4" fontId="0" fillId="38" borderId="12" xfId="0" applyFont="1" applyFill="1" applyBorder="1" applyNumberFormat="1">
      <alignment horizontal="right" vertical="center" wrapText="1"/>
      <protection locked="0"/>
    </xf>
    <xf numFmtId="172" fontId="0" fillId="38" borderId="12" xfId="0" applyFont="1" applyFill="1" applyBorder="1" applyNumberFormat="1">
      <alignment horizontal="right" vertical="center"/>
      <protection locked="0"/>
    </xf>
    <xf numFmtId="49" fontId="19" fillId="39" borderId="12" xfId="0" applyFont="1" applyFill="1" applyBorder="1" applyNumberFormat="1">
      <alignment horizontal="center" vertical="center" wrapText="1"/>
    </xf>
    <xf numFmtId="49" fontId="0" fillId="34" borderId="12" xfId="0" applyFont="1" applyFill="1" applyBorder="1" applyNumberFormat="1">
      <alignment horizontal="center" vertical="center" wrapText="1"/>
    </xf>
    <xf numFmtId="4" fontId="0" fillId="34" borderId="14" xfId="0" applyFont="1" applyFill="1" applyBorder="1" applyNumberFormat="1">
      <alignment horizontal="right" vertical="center"/>
    </xf>
    <xf numFmtId="0" fontId="19" fillId="0" borderId="12" xfId="0" applyFont="1" applyBorder="1" applyNumberFormat="1">
      <alignment horizontal="left" vertical="center" wrapText="1"/>
    </xf>
    <xf numFmtId="49" fontId="0" fillId="0" borderId="12" xfId="0" applyFont="1" applyBorder="1" applyNumberFormat="1">
      <alignment vertical="center" wrapText="1"/>
    </xf>
    <xf numFmtId="49" fontId="19" fillId="0" borderId="12" xfId="0" applyFont="1" applyBorder="1" applyNumberFormat="1">
      <alignment vertical="center" wrapText="1"/>
    </xf>
    <xf numFmtId="0" fontId="19" fillId="0" borderId="14" xfId="0" applyFont="1" applyBorder="1" applyNumberFormat="1">
      <alignment horizontal="left" vertical="center" wrapText="1" indent="6"/>
    </xf>
    <xf numFmtId="49" fontId="60" fillId="36" borderId="14" xfId="0" applyFont="1" applyFill="1" applyBorder="1" applyNumberFormat="1">
      <alignment horizontal="center" vertical="center"/>
    </xf>
    <xf numFmtId="49" fontId="29" fillId="36" borderId="15" xfId="0" applyFont="1" applyFill="1" applyBorder="1" applyNumberFormat="1">
      <alignment horizontal="left" vertical="center" indent="2"/>
    </xf>
    <xf numFmtId="49" fontId="60" fillId="36" borderId="15" xfId="0" applyFont="1" applyFill="1" applyBorder="1" applyNumberFormat="1">
      <alignment horizontal="left" vertical="center"/>
    </xf>
    <xf numFmtId="49" fontId="0" fillId="36" borderId="15" xfId="0" applyFont="1" applyFill="1" applyBorder="1" applyNumberFormat="1">
      <alignment horizontal="center" vertical="center" wrapText="1"/>
    </xf>
    <xf numFmtId="49" fontId="19" fillId="0" borderId="0" xfId="0" applyFont="1" applyNumberFormat="1">
      <alignment vertical="top"/>
    </xf>
    <xf numFmtId="49" fontId="19" fillId="36" borderId="29" xfId="0" applyFont="1" applyFill="1" applyBorder="1" applyNumberFormat="1">
      <alignment horizontal="center" vertical="center" wrapText="1"/>
    </xf>
    <xf numFmtId="49" fontId="19" fillId="0" borderId="0" xfId="0" applyFont="1" applyNumberFormat="1">
      <alignment vertical="center"/>
    </xf>
    <xf numFmtId="49" fontId="20" fillId="0" borderId="0" xfId="0" applyFont="1" applyNumberFormat="1">
      <alignment vertical="top"/>
    </xf>
    <xf numFmtId="0" fontId="37" fillId="0" borderId="0" xfId="0" applyFont="1" applyNumberFormat="1">
      <alignment vertical="top" wrapText="1"/>
    </xf>
    <xf numFmtId="49" fontId="0"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2" borderId="17" xfId="0" applyFont="1" applyFill="1" applyBorder="1" applyNumberFormat="1">
      <alignment vertical="top"/>
    </xf>
    <xf numFmtId="49" fontId="0" fillId="0" borderId="14" xfId="0" applyFont="1" applyBorder="1" applyNumberFormat="1">
      <alignment horizontal="center" vertical="top"/>
    </xf>
    <xf numFmtId="49" fontId="0" fillId="43"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44"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4" borderId="0" xfId="0" applyFont="1" applyFill="1" applyNumberFormat="1">
      <alignment vertical="top"/>
    </xf>
    <xf numFmtId="49" fontId="0" fillId="34" borderId="0" xfId="0" applyFont="1" applyFill="1" applyNumberFormat="1">
      <alignment vertical="top"/>
    </xf>
    <xf numFmtId="0" fontId="0" fillId="0" borderId="0" xfId="0" applyFont="1" applyNumberFormat="1"/>
    <xf numFmtId="0" fontId="1" fillId="0" borderId="0" xfId="0" applyFont="1" applyNumberFormat="1"/>
    <xf numFmtId="0" fontId="27" fillId="0" borderId="0" xfId="0" applyFont="1" applyNumberFormat="1"/>
    <xf numFmtId="0" fontId="27" fillId="0" borderId="0" xfId="0" applyFont="1" applyNumberFormat="1"/>
    <xf numFmtId="49" fontId="19" fillId="33" borderId="10" xfId="0" applyFont="1" applyFill="1" applyBorder="1" applyNumberFormat="1">
      <alignment horizontal="center" vertical="top"/>
    </xf>
    <xf numFmtId="49" fontId="26" fillId="0" borderId="11" xfId="0" applyFont="1" applyBorder="1" applyNumberFormat="1">
      <alignment vertical="top" wrapText="1"/>
    </xf>
    <xf numFmtId="0" fontId="0" fillId="0" borderId="11" xfId="0" applyFont="1" applyBorder="1" applyNumberFormat="1">
      <alignment vertical="top" wrapText="1"/>
    </xf>
    <xf numFmtId="0" fontId="35"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39" fillId="0" borderId="11" xfId="0" applyFont="1" applyBorder="1" applyNumberFormat="1">
      <alignment vertical="center" wrapText="1"/>
    </xf>
    <xf numFmtId="0" fontId="35" fillId="0" borderId="0" xfId="0" applyFont="1" applyNumberFormat="1">
      <alignment vertical="top" wrapText="1"/>
    </xf>
    <xf numFmtId="0" fontId="19" fillId="0" borderId="11" xfId="0" applyFont="1" applyBorder="1" applyNumberFormat="1">
      <alignment vertical="center" wrapText="1"/>
    </xf>
  </cellXfs>
  <cellStyles count="47">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sharedStrings" Target="sharedStrings.xml"/><Relationship Id="rId8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1"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44577</xdr:rowOff>
    </xdr:to>
    <xdr:pic>
      <xdr:nvPicPr>
        <xdr:cNvPr id="2"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400240</xdr:rowOff>
    </xdr:to>
    <xdr:pic>
      <xdr:nvPicPr>
        <xdr:cNvPr id="3"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4A914E-D74E-EBD6-4FBF-158837A7E607}"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500" width="5.421875" customWidth="1"/>
    <col min="2" max="2" style="2500" width="9.140625" customWidth="1"/>
    <col min="3" max="3" style="2500" width="16.421875" customWidth="1"/>
    <col min="4" max="25" style="2500" width="6.28125" customWidth="1"/>
    <col min="26" max="28" style="2500" width="11.00390625"/>
  </cols>
  <sheetData>
    <row customHeight="1" ht="15.75">
      <c r="A1" s="1740"/>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2"/>
      <c r="Z1" s="1741"/>
      <c r="AA1" s="1743" t="s">
        <v>0</v>
      </c>
      <c r="AB1" s="1741"/>
    </row>
    <row customHeight="1" ht="17.25">
      <c r="A2" s="1741"/>
      <c r="B2" s="1941" t="s">
        <v>1</v>
      </c>
      <c r="C2" s="1941"/>
      <c r="D2" s="1941"/>
      <c r="E2" s="1941"/>
      <c r="F2" s="1941"/>
      <c r="G2" s="1941"/>
      <c r="H2" s="1941"/>
      <c r="I2" s="1941"/>
      <c r="J2" s="1941"/>
      <c r="K2" s="1941"/>
      <c r="L2" s="1941"/>
      <c r="M2" s="1941"/>
      <c r="N2" s="1941"/>
      <c r="O2" s="1941"/>
      <c r="P2" s="1941"/>
      <c r="Q2" s="1745"/>
      <c r="R2" s="1745"/>
      <c r="S2" s="1745"/>
      <c r="T2" s="1745"/>
      <c r="U2" s="1745"/>
      <c r="V2" s="1746"/>
      <c r="W2" s="1745"/>
      <c r="X2" s="1745"/>
      <c r="Y2" s="1742"/>
      <c r="Z2" s="1741"/>
      <c r="AA2" s="1743"/>
      <c r="AB2" s="1741"/>
    </row>
    <row customHeight="1" ht="15.75">
      <c r="A3" s="1741"/>
      <c r="B3" s="1942" t="s">
        <v>2</v>
      </c>
      <c r="C3" s="1942"/>
      <c r="D3" s="1942"/>
      <c r="E3" s="1942"/>
      <c r="F3" s="1942"/>
      <c r="G3" s="1942"/>
      <c r="H3" s="1942"/>
      <c r="I3" s="1942"/>
      <c r="J3" s="1942"/>
      <c r="K3" s="1942"/>
      <c r="L3" s="1942"/>
      <c r="M3" s="1942"/>
      <c r="N3" s="1942"/>
      <c r="O3" s="1942"/>
      <c r="P3" s="1942"/>
      <c r="Q3" s="1746"/>
      <c r="R3" s="1746"/>
      <c r="S3" s="1745"/>
      <c r="T3" s="1745"/>
      <c r="U3" s="1745"/>
      <c r="V3" s="1746"/>
      <c r="W3" s="1746"/>
      <c r="X3" s="1746"/>
      <c r="Y3" s="1746"/>
      <c r="Z3" s="1741"/>
      <c r="AA3" s="1743"/>
      <c r="AB3" s="1741"/>
    </row>
    <row customHeight="1" ht="17.25">
      <c r="A4" s="1741"/>
      <c r="B4" s="1747"/>
      <c r="C4" s="1741"/>
      <c r="D4" s="1746"/>
      <c r="E4" s="1746"/>
      <c r="F4" s="1746"/>
      <c r="G4" s="1746"/>
      <c r="H4" s="1746"/>
      <c r="I4" s="1746"/>
      <c r="J4" s="1746"/>
      <c r="K4" s="1746"/>
      <c r="L4" s="1746"/>
      <c r="M4" s="1746"/>
      <c r="N4" s="1746"/>
      <c r="O4" s="1746"/>
      <c r="P4" s="1746"/>
      <c r="Q4" s="1746"/>
      <c r="R4" s="1746"/>
      <c r="S4" s="1746"/>
      <c r="T4" s="1746"/>
      <c r="U4" s="1746"/>
      <c r="V4" s="1746"/>
      <c r="W4" s="1746"/>
      <c r="X4" s="1746"/>
      <c r="Y4" s="1746"/>
      <c r="Z4" s="1741"/>
      <c r="AA4" s="1743"/>
      <c r="AB4" s="1741"/>
    </row>
    <row customHeight="1" ht="22.5">
      <c r="A5" s="1748"/>
      <c r="B5" s="1943"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1944"/>
      <c r="D5" s="1944"/>
      <c r="E5" s="1944"/>
      <c r="F5" s="1944"/>
      <c r="G5" s="1944"/>
      <c r="H5" s="1944"/>
      <c r="I5" s="1944"/>
      <c r="J5" s="1944"/>
      <c r="K5" s="1944"/>
      <c r="L5" s="1944"/>
      <c r="M5" s="1944"/>
      <c r="N5" s="1944"/>
      <c r="O5" s="1944"/>
      <c r="P5" s="1944"/>
      <c r="Q5" s="1944"/>
      <c r="R5" s="1944"/>
      <c r="S5" s="1944"/>
      <c r="T5" s="1944"/>
      <c r="U5" s="1944"/>
      <c r="V5" s="1944"/>
      <c r="W5" s="1944"/>
      <c r="X5" s="1944"/>
      <c r="Y5" s="1945"/>
      <c r="Z5" s="1748"/>
      <c r="AA5" s="1743"/>
      <c r="AB5" s="1748"/>
    </row>
    <row customHeight="1" ht="15">
      <c r="A6" s="1749"/>
      <c r="B6" s="1933" t="s">
        <v>3</v>
      </c>
      <c r="C6" s="1936"/>
      <c r="D6" s="1750"/>
      <c r="E6" s="1750"/>
      <c r="F6" s="1750"/>
      <c r="G6" s="1750"/>
      <c r="H6" s="1750"/>
      <c r="I6" s="1750"/>
      <c r="J6" s="1750"/>
      <c r="K6" s="1750"/>
      <c r="L6" s="1750"/>
      <c r="M6" s="1750"/>
      <c r="N6" s="1750"/>
      <c r="O6" s="1750"/>
      <c r="P6" s="1750"/>
      <c r="Q6" s="1750"/>
      <c r="R6" s="1750"/>
      <c r="S6" s="1750"/>
      <c r="T6" s="1750"/>
      <c r="U6" s="1750"/>
      <c r="V6" s="1750"/>
      <c r="W6" s="1750"/>
      <c r="X6" s="1750"/>
      <c r="Y6" s="1751"/>
      <c r="Z6" s="1752"/>
      <c r="AA6" s="1753"/>
      <c r="AB6" s="1753"/>
    </row>
    <row customHeight="1" ht="15">
      <c r="A7" s="1749"/>
      <c r="B7" s="1933"/>
      <c r="C7" s="1936"/>
      <c r="D7" s="1750"/>
      <c r="E7" s="1750"/>
      <c r="F7" s="1754"/>
      <c r="G7" s="1754"/>
      <c r="H7" s="1754"/>
      <c r="I7" s="1754"/>
      <c r="J7" s="1754"/>
      <c r="K7" s="1754"/>
      <c r="L7" s="1754"/>
      <c r="M7" s="1754"/>
      <c r="N7" s="1754"/>
      <c r="O7" s="1750"/>
      <c r="P7" s="1754"/>
      <c r="Q7" s="1754"/>
      <c r="R7" s="1754"/>
      <c r="S7" s="1754"/>
      <c r="T7" s="1754"/>
      <c r="U7" s="1754"/>
      <c r="V7" s="1754"/>
      <c r="W7" s="1754"/>
      <c r="X7" s="1754"/>
      <c r="Y7" s="1751"/>
      <c r="Z7" s="1752"/>
      <c r="AA7" s="1753"/>
      <c r="AB7" s="1753"/>
    </row>
    <row customHeight="1" ht="15">
      <c r="A8" s="1749"/>
      <c r="B8" s="1933"/>
      <c r="C8" s="1936"/>
      <c r="D8" s="1755"/>
      <c r="E8" s="1756" t="s">
        <v>4</v>
      </c>
      <c r="F8" s="1946" t="s">
        <v>5</v>
      </c>
      <c r="G8" s="1935"/>
      <c r="H8" s="1935"/>
      <c r="I8" s="1935"/>
      <c r="J8" s="1935"/>
      <c r="K8" s="1935"/>
      <c r="L8" s="1935"/>
      <c r="M8" s="1935"/>
      <c r="N8" s="1755"/>
      <c r="O8" s="1757" t="s">
        <v>4</v>
      </c>
      <c r="P8" s="1947" t="s">
        <v>6</v>
      </c>
      <c r="Q8" s="1948"/>
      <c r="R8" s="1948"/>
      <c r="S8" s="1948"/>
      <c r="T8" s="1948"/>
      <c r="U8" s="1948"/>
      <c r="V8" s="1948"/>
      <c r="W8" s="1948"/>
      <c r="X8" s="1948"/>
      <c r="Y8" s="1751"/>
      <c r="Z8" s="1752"/>
      <c r="AA8" s="1753"/>
      <c r="AB8" s="1753"/>
    </row>
    <row customHeight="1" ht="15">
      <c r="A9" s="1749"/>
      <c r="B9" s="1933"/>
      <c r="C9" s="1936"/>
      <c r="D9" s="1755"/>
      <c r="E9" s="1758" t="s">
        <v>4</v>
      </c>
      <c r="F9" s="1946" t="s">
        <v>7</v>
      </c>
      <c r="G9" s="1935"/>
      <c r="H9" s="1935"/>
      <c r="I9" s="1935"/>
      <c r="J9" s="1935"/>
      <c r="K9" s="1935"/>
      <c r="L9" s="1935"/>
      <c r="M9" s="1935"/>
      <c r="N9" s="1755"/>
      <c r="O9" s="1759" t="s">
        <v>4</v>
      </c>
      <c r="P9" s="1947" t="s">
        <v>8</v>
      </c>
      <c r="Q9" s="1948"/>
      <c r="R9" s="1948"/>
      <c r="S9" s="1948"/>
      <c r="T9" s="1948"/>
      <c r="U9" s="1948"/>
      <c r="V9" s="1948"/>
      <c r="W9" s="1948"/>
      <c r="X9" s="1948"/>
      <c r="Y9" s="1751"/>
      <c r="Z9" s="1752"/>
      <c r="AA9" s="1753"/>
      <c r="AB9" s="1753"/>
    </row>
    <row customHeight="1" ht="30">
      <c r="A10" s="1749"/>
      <c r="B10" s="1933"/>
      <c r="C10" s="1934"/>
      <c r="D10" s="1760"/>
      <c r="E10" s="1761"/>
      <c r="F10" s="1754"/>
      <c r="G10" s="1754"/>
      <c r="H10" s="1754"/>
      <c r="I10" s="1754"/>
      <c r="J10" s="1754"/>
      <c r="K10" s="1754"/>
      <c r="L10" s="1754"/>
      <c r="M10" s="1754"/>
      <c r="N10" s="1754"/>
      <c r="O10" s="1761"/>
      <c r="P10" s="1754"/>
      <c r="Q10" s="1754"/>
      <c r="R10" s="1754"/>
      <c r="S10" s="1754"/>
      <c r="T10" s="1754"/>
      <c r="U10" s="1754"/>
      <c r="V10" s="1754"/>
      <c r="W10" s="1754"/>
      <c r="X10" s="1754"/>
      <c r="Y10" s="1751"/>
      <c r="Z10" s="1752"/>
      <c r="AA10" s="1753"/>
      <c r="AB10" s="1753"/>
    </row>
    <row customHeight="1" ht="19.5">
      <c r="A11" s="1749"/>
      <c r="B11" s="1931" t="s">
        <v>9</v>
      </c>
      <c r="C11" s="1932"/>
      <c r="D11" s="1755"/>
      <c r="E11" s="1762"/>
      <c r="F11" s="1762"/>
      <c r="G11" s="1762"/>
      <c r="H11" s="1762"/>
      <c r="I11" s="1762"/>
      <c r="J11" s="1762"/>
      <c r="K11" s="1762"/>
      <c r="L11" s="1762"/>
      <c r="M11" s="1762"/>
      <c r="N11" s="1762"/>
      <c r="O11" s="1762"/>
      <c r="P11" s="1762"/>
      <c r="Q11" s="1762"/>
      <c r="R11" s="1762"/>
      <c r="S11" s="1762"/>
      <c r="T11" s="1762"/>
      <c r="U11" s="1762"/>
      <c r="V11" s="1762"/>
      <c r="W11" s="1762"/>
      <c r="X11" s="1762"/>
      <c r="Y11" s="1751"/>
      <c r="Z11" s="1752"/>
      <c r="AA11" s="1753"/>
      <c r="AB11" s="1753"/>
    </row>
    <row customHeight="1" ht="69">
      <c r="A12" s="1749"/>
      <c r="B12" s="1933"/>
      <c r="C12" s="1934"/>
      <c r="D12" s="1763"/>
      <c r="E12" s="1935" t="s">
        <v>10</v>
      </c>
      <c r="F12" s="1935"/>
      <c r="G12" s="1935"/>
      <c r="H12" s="1935"/>
      <c r="I12" s="1935"/>
      <c r="J12" s="1935"/>
      <c r="K12" s="1935"/>
      <c r="L12" s="1935"/>
      <c r="M12" s="1935"/>
      <c r="N12" s="1935"/>
      <c r="O12" s="1935"/>
      <c r="P12" s="1935"/>
      <c r="Q12" s="1935"/>
      <c r="R12" s="1935"/>
      <c r="S12" s="1935"/>
      <c r="T12" s="1935"/>
      <c r="U12" s="1935"/>
      <c r="V12" s="1935"/>
      <c r="W12" s="1935"/>
      <c r="X12" s="1935"/>
      <c r="Y12" s="1751"/>
      <c r="Z12" s="1752"/>
      <c r="AA12" s="1753"/>
      <c r="AB12" s="1753"/>
    </row>
    <row customHeight="1" ht="15">
      <c r="A13" s="1749"/>
      <c r="B13" s="1931" t="s">
        <v>11</v>
      </c>
      <c r="C13" s="1932"/>
      <c r="D13" s="1750"/>
      <c r="E13" s="1762"/>
      <c r="F13" s="1762"/>
      <c r="G13" s="1762"/>
      <c r="H13" s="1762"/>
      <c r="I13" s="1762"/>
      <c r="J13" s="1762"/>
      <c r="K13" s="1762"/>
      <c r="L13" s="1762"/>
      <c r="M13" s="1762"/>
      <c r="N13" s="1762"/>
      <c r="O13" s="1762"/>
      <c r="P13" s="1762"/>
      <c r="Q13" s="1762"/>
      <c r="R13" s="1762"/>
      <c r="S13" s="1762"/>
      <c r="T13" s="1762"/>
      <c r="U13" s="1762"/>
      <c r="V13" s="1762"/>
      <c r="W13" s="1762"/>
      <c r="X13" s="1762"/>
      <c r="Y13" s="1751"/>
      <c r="Z13" s="1752"/>
      <c r="AA13" s="1753"/>
      <c r="AB13" s="1753"/>
    </row>
    <row customHeight="1" ht="57">
      <c r="A14" s="1749"/>
      <c r="B14" s="1933"/>
      <c r="C14" s="1936"/>
      <c r="D14" s="1755"/>
      <c r="E14" s="1939" t="s">
        <v>12</v>
      </c>
      <c r="F14" s="1939"/>
      <c r="G14" s="1939"/>
      <c r="H14" s="1939"/>
      <c r="I14" s="1939"/>
      <c r="J14" s="1939"/>
      <c r="K14" s="1939"/>
      <c r="L14" s="1939"/>
      <c r="M14" s="1939"/>
      <c r="N14" s="1939"/>
      <c r="O14" s="1939"/>
      <c r="P14" s="1939"/>
      <c r="Q14" s="1939"/>
      <c r="R14" s="1939"/>
      <c r="S14" s="1939"/>
      <c r="T14" s="1939"/>
      <c r="U14" s="1939"/>
      <c r="V14" s="1939"/>
      <c r="W14" s="1939"/>
      <c r="X14" s="1939"/>
      <c r="Y14" s="1751"/>
      <c r="Z14" s="1752"/>
      <c r="AA14" s="1753"/>
      <c r="AB14" s="1753"/>
    </row>
    <row customHeight="1" ht="16.5">
      <c r="A15" s="1749"/>
      <c r="B15" s="1937"/>
      <c r="C15" s="1938"/>
      <c r="D15" s="1764"/>
      <c r="E15" s="1765"/>
      <c r="F15" s="1765"/>
      <c r="G15" s="1765"/>
      <c r="H15" s="1765"/>
      <c r="I15" s="1765"/>
      <c r="J15" s="1765"/>
      <c r="K15" s="1765"/>
      <c r="L15" s="1765"/>
      <c r="M15" s="1765"/>
      <c r="N15" s="1765"/>
      <c r="O15" s="1765"/>
      <c r="P15" s="1765"/>
      <c r="Q15" s="1765"/>
      <c r="R15" s="1765"/>
      <c r="S15" s="1765"/>
      <c r="T15" s="1765"/>
      <c r="U15" s="1765"/>
      <c r="V15" s="1765"/>
      <c r="W15" s="1765"/>
      <c r="X15" s="1765"/>
      <c r="Y15" s="1766"/>
      <c r="Z15" s="1752"/>
      <c r="AA15" s="1767"/>
      <c r="AB15" s="1753"/>
    </row>
    <row customHeight="1" ht="95.25">
      <c r="A16" s="1741"/>
      <c r="B16" s="1939"/>
      <c r="C16" s="1940"/>
      <c r="D16" s="1940"/>
      <c r="E16" s="1940"/>
      <c r="F16" s="1940"/>
      <c r="G16" s="1940"/>
      <c r="H16" s="1940"/>
      <c r="I16" s="1940"/>
      <c r="J16" s="1940"/>
      <c r="K16" s="1940"/>
      <c r="L16" s="1940"/>
      <c r="M16" s="1940"/>
      <c r="N16" s="1940"/>
      <c r="O16" s="1940"/>
      <c r="P16" s="1940"/>
      <c r="Q16" s="1940"/>
      <c r="R16" s="1940"/>
      <c r="S16" s="1940"/>
      <c r="T16" s="1940"/>
      <c r="U16" s="1940"/>
      <c r="V16" s="1940"/>
      <c r="W16" s="1940"/>
      <c r="X16" s="1940"/>
      <c r="Y16" s="1940"/>
      <c r="Z16" s="1741"/>
      <c r="AA16" s="1743"/>
      <c r="AB16" s="1741"/>
    </row>
    <row customHeight="1" ht="14.25">
      <c r="A17" s="1741"/>
      <c r="B17" s="1741"/>
      <c r="C17" s="1741"/>
      <c r="D17" s="1741"/>
      <c r="E17" s="1741"/>
      <c r="F17" s="1741"/>
      <c r="G17" s="1741"/>
      <c r="H17" s="1741"/>
      <c r="I17" s="1741"/>
      <c r="J17" s="1741"/>
      <c r="K17" s="1741"/>
      <c r="L17" s="1741"/>
      <c r="M17" s="1741"/>
      <c r="N17" s="1741"/>
      <c r="O17" s="1741"/>
      <c r="P17" s="1741"/>
      <c r="Q17" s="1741"/>
      <c r="R17" s="1741"/>
      <c r="S17" s="1741"/>
      <c r="T17" s="1741"/>
      <c r="U17" s="1741"/>
      <c r="V17" s="1741"/>
      <c r="W17" s="1741"/>
      <c r="X17" s="1741"/>
      <c r="Y17" s="1742"/>
      <c r="Z17" s="1741"/>
      <c r="AA17" s="1743"/>
      <c r="AB17" s="1741"/>
    </row>
    <row customHeight="1" ht="14.25">
      <c r="A18" s="1741"/>
      <c r="B18" s="1741"/>
      <c r="C18" s="1741"/>
      <c r="D18" s="1741"/>
      <c r="E18" s="1741"/>
      <c r="F18" s="1741"/>
      <c r="G18" s="1741"/>
      <c r="H18" s="1741"/>
      <c r="I18" s="1741"/>
      <c r="J18" s="1741"/>
      <c r="K18" s="1741"/>
      <c r="L18" s="1741"/>
      <c r="M18" s="1741"/>
      <c r="N18" s="1741"/>
      <c r="O18" s="1741"/>
      <c r="P18" s="1741"/>
      <c r="Q18" s="1741"/>
      <c r="R18" s="1741"/>
      <c r="S18" s="1741"/>
      <c r="T18" s="1741"/>
      <c r="U18" s="1741"/>
      <c r="V18" s="1741"/>
      <c r="W18" s="1741"/>
      <c r="X18" s="1741"/>
      <c r="Y18" s="1742"/>
      <c r="Z18" s="1741"/>
      <c r="AA18" s="1743"/>
      <c r="AB18" s="1741"/>
    </row>
    <row customHeight="1" ht="14.25">
      <c r="A19" s="1741"/>
      <c r="B19" s="1741"/>
      <c r="C19" s="1741"/>
      <c r="D19" s="1741"/>
      <c r="E19" s="1741"/>
      <c r="F19" s="1741"/>
      <c r="G19" s="1741"/>
      <c r="H19" s="1741"/>
      <c r="I19" s="1741"/>
      <c r="J19" s="1741"/>
      <c r="K19" s="1741"/>
      <c r="L19" s="1741"/>
      <c r="M19" s="1741"/>
      <c r="N19" s="1741"/>
      <c r="O19" s="1741"/>
      <c r="P19" s="1741"/>
      <c r="Q19" s="1741"/>
      <c r="R19" s="1741"/>
      <c r="S19" s="1741"/>
      <c r="T19" s="1741"/>
      <c r="U19" s="1741"/>
      <c r="V19" s="1741"/>
      <c r="W19" s="1741"/>
      <c r="X19" s="1741"/>
      <c r="Y19" s="1742"/>
      <c r="Z19" s="1741"/>
      <c r="AA19" s="1743"/>
      <c r="AB19" s="1741"/>
    </row>
    <row customHeight="1" ht="14.25">
      <c r="A20" s="1741"/>
      <c r="B20" s="1741"/>
      <c r="C20" s="1741"/>
      <c r="D20" s="1741"/>
      <c r="E20" s="1741"/>
      <c r="F20" s="1741"/>
      <c r="G20" s="1741"/>
      <c r="H20" s="1741"/>
      <c r="I20" s="1741"/>
      <c r="J20" s="1741"/>
      <c r="K20" s="1741"/>
      <c r="L20" s="1741"/>
      <c r="M20" s="1741"/>
      <c r="N20" s="1741"/>
      <c r="O20" s="1741"/>
      <c r="P20" s="1741"/>
      <c r="Q20" s="1741"/>
      <c r="R20" s="1741"/>
      <c r="S20" s="1741"/>
      <c r="T20" s="1741"/>
      <c r="U20" s="1741"/>
      <c r="V20" s="1741"/>
      <c r="W20" s="1741"/>
      <c r="X20" s="1741"/>
      <c r="Y20" s="1742"/>
      <c r="Z20" s="1741"/>
      <c r="AA20" s="1743"/>
      <c r="AB20" s="1741"/>
    </row>
    <row customHeight="1" ht="14.25">
      <c r="A21" s="1741"/>
      <c r="B21" s="1741"/>
      <c r="C21" s="1741"/>
      <c r="D21" s="1741"/>
      <c r="E21" s="1741"/>
      <c r="F21" s="1741"/>
      <c r="G21" s="1741"/>
      <c r="H21" s="1741"/>
      <c r="I21" s="1741"/>
      <c r="J21" s="1741"/>
      <c r="K21" s="1741"/>
      <c r="L21" s="1741"/>
      <c r="M21" s="1741"/>
      <c r="N21" s="1741"/>
      <c r="O21" s="1741"/>
      <c r="P21" s="1741"/>
      <c r="Q21" s="1741"/>
      <c r="R21" s="1741"/>
      <c r="S21" s="1741"/>
      <c r="T21" s="1741"/>
      <c r="U21" s="1741"/>
      <c r="V21" s="1741"/>
      <c r="W21" s="1741"/>
      <c r="X21" s="1741"/>
      <c r="Y21" s="1742"/>
      <c r="Z21" s="1741"/>
      <c r="AA21" s="1743"/>
      <c r="AB21" s="1741"/>
    </row>
  </sheetData>
  <sheetProtection formatColumns="0" formatRows="0" sort="0" autoFilter="0" insertRows="0" insertColumns="1" deleteRows="0" deleteColumns="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266A57-7242-FF7D-7828-468683CFAE0C}"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3193" width="9.140625" hidden="1" customWidth="1"/>
    <col min="2" max="2" style="3172" width="9.140625" hidden="1" customWidth="1"/>
    <col min="3" max="3" style="2624" width="9.140625" hidden="1" customWidth="1"/>
    <col min="4" max="4" style="3194" width="3.7109375" customWidth="1"/>
    <col min="5" max="5" style="3172" width="6.28125" customWidth="1"/>
    <col min="6" max="6" style="2624" width="1.7109375" hidden="1" customWidth="1"/>
    <col min="7" max="8" style="3172" width="30.7109375" customWidth="1"/>
    <col min="9" max="9" style="3172" width="9.00390625" customWidth="1"/>
    <col min="10" max="10" style="3172" width="12.140625" customWidth="1"/>
    <col min="11" max="11" style="3172" width="46.7109375" customWidth="1"/>
    <col min="12" max="12" style="3172" width="100.28125" customWidth="1"/>
    <col min="13" max="13" style="3196" width="7.57421875" customWidth="1"/>
    <col min="14" max="22" style="3172" width="10.57421875"/>
  </cols>
  <sheetData>
    <row s="3149" customFormat="1" customHeight="1" ht="5.25" hidden="1">
      <c r="C1" s="517"/>
      <c r="D1" s="500"/>
      <c r="F1" s="517"/>
      <c r="G1" s="495" t="s">
        <v>84</v>
      </c>
      <c r="H1" s="495" t="s">
        <v>85</v>
      </c>
      <c r="I1" s="495" t="s">
        <v>86</v>
      </c>
      <c r="P1" s="495" t="s">
        <v>84</v>
      </c>
      <c r="Q1" s="495" t="s">
        <v>85</v>
      </c>
      <c r="R1" s="495" t="s">
        <v>86</v>
      </c>
    </row>
    <row s="3149" customFormat="1" customHeight="1" ht="5.25" hidden="1">
      <c r="C2" s="517"/>
      <c r="D2" s="500"/>
      <c r="F2" s="517"/>
    </row>
    <row s="3144" customFormat="1" customHeight="1" ht="6">
      <c r="A3" s="485"/>
      <c r="D3" s="492"/>
      <c r="E3" s="487"/>
      <c r="F3" s="487"/>
      <c r="G3" s="487"/>
      <c r="H3" s="487"/>
      <c r="I3" s="488"/>
      <c r="J3" s="489"/>
      <c r="K3" s="489"/>
      <c r="L3" s="489"/>
    </row>
    <row customHeight="1" ht="22.5">
      <c r="D4" s="456"/>
      <c r="E4" s="2091" t="s">
        <v>603</v>
      </c>
      <c r="F4" s="2091"/>
      <c r="G4" s="2092"/>
      <c r="H4" s="2092"/>
      <c r="I4" s="2093"/>
      <c r="J4" s="497"/>
      <c r="K4" s="459"/>
      <c r="L4" s="459"/>
    </row>
    <row s="2624" customFormat="1" customHeight="1" ht="17.25">
      <c r="A5" s="765"/>
      <c r="D5" s="828"/>
      <c r="E5" s="2079" t="str">
        <f>IF(org=0,"Не определено",org)</f>
        <v>АО "Мурманэнергосбыт"</v>
      </c>
      <c r="F5" s="2079"/>
      <c r="G5" s="2080"/>
      <c r="H5" s="2080"/>
      <c r="I5" s="2081"/>
      <c r="J5" s="497"/>
      <c r="K5" s="459"/>
      <c r="L5" s="459"/>
      <c r="M5" s="513"/>
    </row>
    <row s="3144" customFormat="1" customHeight="1" ht="11.25">
      <c r="A6" s="485"/>
      <c r="D6" s="492"/>
      <c r="E6" s="487"/>
      <c r="F6" s="487"/>
      <c r="G6" s="490"/>
      <c r="H6" s="490"/>
      <c r="I6" s="491"/>
      <c r="J6" s="491"/>
      <c r="K6" s="758"/>
      <c r="L6" s="491"/>
    </row>
    <row customHeight="1" ht="14.25">
      <c r="D7" s="456"/>
      <c r="E7" s="2061" t="s">
        <v>513</v>
      </c>
      <c r="F7" s="2061"/>
      <c r="G7" s="2062"/>
      <c r="H7" s="2062"/>
      <c r="I7" s="2062"/>
      <c r="J7" s="2062"/>
      <c r="K7" s="2062"/>
      <c r="L7" s="2067" t="s">
        <v>514</v>
      </c>
    </row>
    <row customHeight="1" ht="45">
      <c r="D8" s="456"/>
      <c r="E8" s="479" t="s">
        <v>89</v>
      </c>
      <c r="F8" s="829"/>
      <c r="G8" s="471" t="s">
        <v>87</v>
      </c>
      <c r="H8" s="471" t="s">
        <v>88</v>
      </c>
      <c r="I8" s="420" t="s">
        <v>86</v>
      </c>
      <c r="J8" s="420" t="s">
        <v>604</v>
      </c>
      <c r="K8" s="420" t="s">
        <v>605</v>
      </c>
      <c r="L8" s="2067"/>
    </row>
    <row customHeight="1" ht="12" hidden="1">
      <c r="D9" s="493"/>
      <c r="E9" s="499"/>
      <c r="F9" s="836"/>
      <c r="G9" s="499"/>
      <c r="H9" s="499"/>
      <c r="I9" s="499"/>
      <c r="J9" s="499"/>
      <c r="K9" s="499"/>
      <c r="L9" s="499"/>
      <c r="M9" s="453"/>
    </row>
    <row customHeight="1" ht="14.25" hidden="1">
      <c r="A10" s="511"/>
      <c r="B10" s="511"/>
      <c r="D10" s="512"/>
      <c r="E10" s="518">
        <v>0</v>
      </c>
      <c r="F10" s="827"/>
      <c r="G10" s="514"/>
      <c r="H10" s="514"/>
      <c r="I10" s="514"/>
      <c r="J10" s="514"/>
      <c r="K10" s="514"/>
      <c r="L10" s="2077" t="s">
        <v>606</v>
      </c>
      <c r="M10" s="513"/>
      <c r="N10" s="511"/>
      <c r="O10" s="511"/>
      <c r="P10" s="511"/>
      <c r="Q10" s="511"/>
      <c r="R10" s="511"/>
      <c r="S10" s="511"/>
      <c r="T10" s="511"/>
      <c r="U10" s="511"/>
      <c r="V10" s="511"/>
    </row>
    <row customHeight="1" ht="15" hidden="1">
      <c r="A11" s="1953"/>
      <c r="B11" s="510"/>
      <c r="C11" s="510"/>
      <c r="D11" s="871"/>
      <c r="E11" s="519"/>
      <c r="F11" s="519"/>
      <c r="G11" s="519"/>
      <c r="H11" s="519"/>
      <c r="I11" s="520"/>
      <c r="J11" s="521"/>
      <c r="K11" s="719"/>
      <c r="L11" s="2094"/>
      <c r="M11" s="517"/>
      <c r="N11" s="517"/>
      <c r="O11" s="517"/>
      <c r="P11" s="522"/>
      <c r="Q11" s="522"/>
      <c r="R11" s="523"/>
      <c r="S11" s="517"/>
      <c r="T11" s="517"/>
      <c r="U11" s="517"/>
      <c r="V11" s="517"/>
    </row>
    <row s="3144" customFormat="1" customHeight="1" ht="14.25">
      <c r="A12" s="1953"/>
      <c r="B12" s="510"/>
      <c r="C12" s="510"/>
      <c r="D12" s="872"/>
      <c r="E12" s="829">
        <v>1</v>
      </c>
      <c r="F12" s="870">
        <v>23</v>
      </c>
      <c r="G12" s="869"/>
      <c r="H12" s="799"/>
      <c r="I12" s="797"/>
      <c r="J12" s="526" t="s">
        <v>63</v>
      </c>
      <c r="K12" s="1172" t="s">
        <v>24</v>
      </c>
      <c r="L12" s="2094"/>
      <c r="M12" s="517"/>
      <c r="N12" s="517"/>
      <c r="O12" s="517"/>
      <c r="P12" s="522" t="s">
        <v>607</v>
      </c>
      <c r="Q12" s="522" t="s">
        <v>608</v>
      </c>
      <c r="R12" s="523" t="s">
        <v>609</v>
      </c>
      <c r="S12" s="517" t="s">
        <v>610</v>
      </c>
      <c r="T12" s="517"/>
      <c r="U12" s="517"/>
      <c r="V12" s="517"/>
    </row>
    <row customHeight="1" ht="15">
      <c r="A13" s="1953"/>
      <c r="B13" s="511"/>
      <c r="D13" s="512"/>
      <c r="E13" s="411"/>
      <c r="F13" s="535"/>
      <c r="G13" s="422" t="s">
        <v>103</v>
      </c>
      <c r="H13" s="410"/>
      <c r="I13" s="410"/>
      <c r="J13" s="410"/>
      <c r="K13" s="409"/>
      <c r="L13" s="2078"/>
      <c r="M13" s="515"/>
      <c r="N13" s="511"/>
      <c r="O13" s="511"/>
      <c r="P13" s="511"/>
      <c r="Q13" s="511"/>
      <c r="R13" s="511"/>
      <c r="S13" s="511"/>
      <c r="T13" s="511"/>
      <c r="U13" s="511"/>
      <c r="V13" s="511"/>
    </row>
    <row customHeight="1" ht="11.25">
      <c r="A14" s="485"/>
      <c r="B14" s="486"/>
      <c r="C14" s="486"/>
      <c r="D14" s="501"/>
      <c r="E14" s="486"/>
      <c r="F14" s="486"/>
      <c r="G14" s="486"/>
      <c r="H14" s="486"/>
      <c r="I14" s="486"/>
      <c r="J14" s="486"/>
      <c r="K14" s="486"/>
      <c r="L14" s="486"/>
      <c r="M14" s="486"/>
      <c r="N14" s="486"/>
      <c r="O14" s="486"/>
      <c r="P14" s="486"/>
      <c r="Q14" s="486"/>
      <c r="R14" s="486"/>
      <c r="S14" s="486"/>
      <c r="T14" s="486"/>
      <c r="U14" s="486"/>
      <c r="V14" s="486"/>
    </row>
    <row customHeight="1" ht="14.25">
      <c r="D15" s="472"/>
      <c r="E15" s="332"/>
      <c r="F15" s="332"/>
      <c r="G15" s="67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72"/>
      <c r="I15" s="472"/>
      <c r="J15" s="472"/>
      <c r="K15" s="472"/>
      <c r="L15" s="472"/>
    </row>
    <row r="18" customHeight="1" ht="14.25">
      <c r="G18" s="511"/>
    </row>
  </sheetData>
  <sheetProtection formatColumns="0" formatRows="0" autoFilter="0" sort="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470F45-B257-93FE-FF8C-80D7AC3CB975}"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2.00390625" hidden="1" customWidth="1"/>
    <col min="10" max="10" style="2683" width="9.8515625" hidden="1" customWidth="1"/>
    <col min="11" max="11" style="2683" width="11.421875" hidden="1" customWidth="1"/>
    <col min="12" max="12" style="3333" width="19.140625" hidden="1" customWidth="1"/>
    <col min="13" max="14" style="3334" width="12.28125" hidden="1" customWidth="1"/>
    <col min="15" max="15" style="3334" width="23.421875" hidden="1" customWidth="1"/>
    <col min="16" max="16" style="3410" width="3.7109375" customWidth="1"/>
    <col min="17" max="18" style="3411" width="3.7109375" customWidth="1"/>
    <col min="19" max="19" style="3412" width="12.7109375" customWidth="1"/>
    <col min="20" max="20" style="2984" width="35.7109375" customWidth="1"/>
    <col min="21" max="21" style="2984" width="0.140625" customWidth="1"/>
    <col min="22" max="22" style="2984" width="24.7109375" hidden="1" customWidth="1"/>
    <col min="23" max="23" style="2984" width="0.140625" hidden="1" customWidth="1"/>
    <col min="24" max="25" style="2984" width="24.7109375" hidden="1" customWidth="1"/>
    <col min="26" max="26" style="2984" width="11.7109375" hidden="1" customWidth="1"/>
    <col min="27" max="27" style="2984" width="3.7109375" hidden="1" customWidth="1"/>
    <col min="28" max="28" style="2984" width="11.7109375" hidden="1" customWidth="1"/>
    <col min="29" max="29" style="2984" width="8.57421875" hidden="1" customWidth="1"/>
    <col min="30" max="30" style="2984" width="24.7109375" customWidth="1"/>
    <col min="31" max="31" style="2984" width="0.140625" customWidth="1"/>
    <col min="32" max="33" style="2984" width="24.7109375" customWidth="1"/>
    <col min="34" max="34" style="2984" width="11.7109375" customWidth="1"/>
    <col min="35" max="35" style="2984" width="3.7109375" customWidth="1"/>
    <col min="36" max="36" style="2984" width="11.7109375" customWidth="1"/>
    <col min="37" max="37" style="2984" width="8.57421875" hidden="1" customWidth="1"/>
    <col min="38" max="38" style="2984" width="4.7109375" customWidth="1"/>
    <col min="39" max="39" style="2984" width="115.7109375" customWidth="1"/>
    <col min="40" max="41" style="2612" width="10.57421875"/>
    <col min="42" max="42" style="2612" width="11.140625" customWidth="1"/>
    <col min="43" max="44" style="2612" width="10.57421875"/>
  </cols>
  <sheetData>
    <row customHeight="1" ht="14.25" hidden="1">
      <c r="Y1" s="323"/>
      <c r="Z1" s="323"/>
      <c r="AG1" s="323"/>
      <c r="AH1" s="323"/>
    </row>
    <row customHeight="1" ht="21" hidden="1">
      <c r="A2" s="1393"/>
      <c r="B2" s="1393"/>
      <c r="C2" s="1393"/>
      <c r="D2" s="1393"/>
      <c r="E2" s="2107">
        <v>1</v>
      </c>
      <c r="F2" s="1393"/>
      <c r="G2" s="1393"/>
      <c r="H2" s="1393"/>
      <c r="I2" s="1393"/>
      <c r="J2" s="1393"/>
      <c r="K2" s="1393"/>
      <c r="L2" s="1394"/>
      <c r="M2" s="1395"/>
      <c r="N2" s="1395"/>
      <c r="O2" s="1395"/>
      <c r="P2" s="357"/>
      <c r="Q2" s="356"/>
      <c r="R2" s="351"/>
      <c r="S2" s="1339">
        <f>INDEX(PT_DIFFERENTIATION_NUM_NTAR,MATCH(A2,PT_DIFFERENTIATION_NTAR_ID,0))</f>
      </c>
      <c r="T2" s="286" t="s">
        <v>204</v>
      </c>
      <c r="U2" s="288"/>
      <c r="V2" s="2101"/>
      <c r="W2" s="2102"/>
      <c r="X2" s="2102"/>
      <c r="Y2" s="2102"/>
      <c r="Z2" s="2102"/>
      <c r="AA2" s="2102"/>
      <c r="AB2" s="2102"/>
      <c r="AC2" s="2103"/>
      <c r="AD2" s="2101">
        <f>INDEX(PT_DIFFERENTIATION_NTAR,MATCH(A2,PT_DIFFERENTIATION_NTAR_ID,0))</f>
      </c>
      <c r="AE2" s="2102"/>
      <c r="AF2" s="2102"/>
      <c r="AG2" s="2102"/>
      <c r="AH2" s="2102"/>
      <c r="AI2" s="2102"/>
      <c r="AJ2" s="2102"/>
      <c r="AK2" s="2102"/>
      <c r="AL2" s="2103"/>
      <c r="AM2" s="1286" t="s">
        <v>611</v>
      </c>
      <c r="AO2" s="506"/>
      <c r="AP2" s="506" t="str">
        <f>IF(T2="","",T2)</f>
        <v>Наименование тарифа</v>
      </c>
      <c r="AQ2" s="506"/>
      <c r="AR2" s="506"/>
    </row>
    <row customHeight="1" ht="21" hidden="1">
      <c r="A3" s="1393"/>
      <c r="B3" s="1393"/>
      <c r="C3" s="1393"/>
      <c r="D3" s="1393"/>
      <c r="E3" s="2108"/>
      <c r="F3" s="2107">
        <v>1</v>
      </c>
      <c r="G3" s="1393"/>
      <c r="H3" s="1393"/>
      <c r="I3" s="1393"/>
      <c r="J3" s="1393"/>
      <c r="K3" s="1393"/>
      <c r="L3" s="1394"/>
      <c r="M3" s="1395"/>
      <c r="N3" s="1395"/>
      <c r="O3" s="1395"/>
      <c r="P3" s="1334"/>
      <c r="Q3" s="348"/>
      <c r="R3" s="349"/>
      <c r="S3" s="1339">
        <f>INDEX(PT_DIFFERENTIATION_NUM_TER,MATCH(B3,PT_DIFFERENTIATION_TER_ID,0))</f>
      </c>
      <c r="T3" s="298" t="s">
        <v>612</v>
      </c>
      <c r="U3" s="288"/>
      <c r="V3" s="2101"/>
      <c r="W3" s="2102"/>
      <c r="X3" s="2102"/>
      <c r="Y3" s="2102"/>
      <c r="Z3" s="2102"/>
      <c r="AA3" s="2102"/>
      <c r="AB3" s="2102"/>
      <c r="AC3" s="2103"/>
      <c r="AD3" s="2101">
        <f>INDEX(PT_DIFFERENTIATION_TER,MATCH(B3,PT_DIFFERENTIATION_TER_ID,0))</f>
      </c>
      <c r="AE3" s="2102"/>
      <c r="AF3" s="2102"/>
      <c r="AG3" s="2102"/>
      <c r="AH3" s="2102"/>
      <c r="AI3" s="2102"/>
      <c r="AJ3" s="2102"/>
      <c r="AK3" s="2102"/>
      <c r="AL3" s="2103"/>
      <c r="AM3" s="1286" t="s">
        <v>613</v>
      </c>
      <c r="AO3" s="506"/>
      <c r="AP3" s="506" t="str">
        <f>IF(T3="","",T3)</f>
        <v>Территория действия тарифа</v>
      </c>
      <c r="AQ3" s="506"/>
      <c r="AR3" s="506"/>
    </row>
    <row customHeight="1" ht="23.25" hidden="1">
      <c r="A4" s="1393"/>
      <c r="B4" s="1393"/>
      <c r="C4" s="1393"/>
      <c r="D4" s="1393"/>
      <c r="E4" s="2108"/>
      <c r="F4" s="2108"/>
      <c r="G4" s="2107">
        <v>1</v>
      </c>
      <c r="H4" s="1393"/>
      <c r="I4" s="1393"/>
      <c r="J4" s="1393"/>
      <c r="K4" s="1393"/>
      <c r="L4" s="1394"/>
      <c r="M4" s="1395"/>
      <c r="N4" s="1395"/>
      <c r="O4" s="1395"/>
      <c r="P4" s="350"/>
      <c r="Q4" s="348"/>
      <c r="R4" s="349"/>
      <c r="S4" s="1339">
        <f>INDEX(PT_DIFFERENTIATION_NUM_CS,MATCH(C4,PT_DIFFERENTIATION_CS_ID,0))</f>
      </c>
      <c r="T4" s="299" t="s">
        <v>614</v>
      </c>
      <c r="U4" s="288"/>
      <c r="V4" s="2101"/>
      <c r="W4" s="2102"/>
      <c r="X4" s="2102"/>
      <c r="Y4" s="2102"/>
      <c r="Z4" s="2102"/>
      <c r="AA4" s="2102"/>
      <c r="AB4" s="2102"/>
      <c r="AC4" s="2103"/>
      <c r="AD4" s="2101">
        <f>INDEX(PT_DIFFERENTIATION_CS,MATCH(C4,PT_DIFFERENTIATION_CS_ID,0))</f>
      </c>
      <c r="AE4" s="2102"/>
      <c r="AF4" s="2102"/>
      <c r="AG4" s="2102"/>
      <c r="AH4" s="2102"/>
      <c r="AI4" s="2102"/>
      <c r="AJ4" s="2102"/>
      <c r="AK4" s="2102"/>
      <c r="AL4" s="2103"/>
      <c r="AM4" s="1286" t="s">
        <v>615</v>
      </c>
      <c r="AO4" s="506"/>
      <c r="AP4" s="506" t="str">
        <f>IF(T4="","",T4)</f>
        <v>Наименование системы теплоснабжения </v>
      </c>
      <c r="AQ4" s="506"/>
      <c r="AR4" s="506"/>
    </row>
    <row customHeight="1" ht="21" hidden="1">
      <c r="A5" s="1393"/>
      <c r="B5" s="1393"/>
      <c r="C5" s="1393"/>
      <c r="D5" s="1393"/>
      <c r="E5" s="2108"/>
      <c r="F5" s="2108"/>
      <c r="G5" s="2108"/>
      <c r="H5" s="2107">
        <v>1</v>
      </c>
      <c r="I5" s="1393"/>
      <c r="J5" s="1393"/>
      <c r="K5" s="1393"/>
      <c r="L5" s="1394"/>
      <c r="M5" s="1395"/>
      <c r="N5" s="1395"/>
      <c r="O5" s="1395"/>
      <c r="P5" s="350"/>
      <c r="Q5" s="348"/>
      <c r="R5" s="349"/>
      <c r="S5" s="1339">
        <f>INDEX(PT_DIFFERENTIATION_NUM_IST_TE,MATCH(D5,PT_DIFFERENTIATION_IST_TE_ID,0))</f>
      </c>
      <c r="T5" s="300" t="s">
        <v>616</v>
      </c>
      <c r="U5" s="288"/>
      <c r="V5" s="2101"/>
      <c r="W5" s="2102"/>
      <c r="X5" s="2102"/>
      <c r="Y5" s="2102"/>
      <c r="Z5" s="2102"/>
      <c r="AA5" s="2102"/>
      <c r="AB5" s="2102"/>
      <c r="AC5" s="2103"/>
      <c r="AD5" s="2101">
        <f>INDEX(PT_DIFFERENTIATION_IST_TE,MATCH(D5,PT_DIFFERENTIATION_IST_TE_ID,0))</f>
      </c>
      <c r="AE5" s="2102"/>
      <c r="AF5" s="2102"/>
      <c r="AG5" s="2102"/>
      <c r="AH5" s="2102"/>
      <c r="AI5" s="2102"/>
      <c r="AJ5" s="2102"/>
      <c r="AK5" s="2102"/>
      <c r="AL5" s="2103"/>
      <c r="AM5" s="1286" t="s">
        <v>617</v>
      </c>
      <c r="AO5" s="506"/>
      <c r="AP5" s="506" t="str">
        <f>IF(T5="","",T5)</f>
        <v>Источник тепловой энергии  </v>
      </c>
      <c r="AQ5" s="506"/>
      <c r="AR5" s="506"/>
    </row>
    <row customHeight="1" ht="47.25" hidden="1">
      <c r="A6" s="1393"/>
      <c r="B6" s="1393"/>
      <c r="C6" s="1393"/>
      <c r="D6" s="1393"/>
      <c r="E6" s="2108"/>
      <c r="F6" s="2108"/>
      <c r="G6" s="2108"/>
      <c r="H6" s="2108"/>
      <c r="I6" s="2109">
        <f>S5&amp;".1"</f>
      </c>
      <c r="J6" s="1393"/>
      <c r="K6" s="1393"/>
      <c r="L6" s="1394" t="s">
        <v>618</v>
      </c>
      <c r="M6" s="543"/>
      <c r="P6" s="2111">
        <v>1</v>
      </c>
      <c r="Q6" s="1335"/>
      <c r="R6" s="352"/>
      <c r="S6" s="1339">
        <f>$I6</f>
      </c>
      <c r="T6" s="273" t="s">
        <v>619</v>
      </c>
      <c r="U6" s="288"/>
      <c r="V6" s="2095"/>
      <c r="W6" s="2096"/>
      <c r="X6" s="2096"/>
      <c r="Y6" s="2096"/>
      <c r="Z6" s="2096"/>
      <c r="AA6" s="2096"/>
      <c r="AB6" s="2096"/>
      <c r="AC6" s="2097"/>
      <c r="AD6" s="2095"/>
      <c r="AE6" s="2096"/>
      <c r="AF6" s="2096"/>
      <c r="AG6" s="2096"/>
      <c r="AH6" s="2096"/>
      <c r="AI6" s="2096"/>
      <c r="AJ6" s="2096"/>
      <c r="AK6" s="2096"/>
      <c r="AL6" s="2097"/>
      <c r="AM6" s="1286" t="s">
        <v>620</v>
      </c>
      <c r="AO6" s="506"/>
      <c r="AP6" s="506" t="str">
        <f>IF(T6="","",T6)</f>
        <v>Схема подключения теплопотребляющей установки к коллектору источника тепловой энергии</v>
      </c>
      <c r="AQ6" s="506"/>
      <c r="AR6" s="506"/>
    </row>
    <row customHeight="1" ht="21" hidden="1">
      <c r="A7" s="1393"/>
      <c r="B7" s="1393"/>
      <c r="C7" s="1393"/>
      <c r="D7" s="1393"/>
      <c r="E7" s="2108"/>
      <c r="F7" s="2108"/>
      <c r="G7" s="2108"/>
      <c r="H7" s="2108"/>
      <c r="I7" s="2110"/>
      <c r="J7" s="2109">
        <f>I6&amp;".1"</f>
      </c>
      <c r="K7" s="1393"/>
      <c r="L7" s="1394" t="s">
        <v>621</v>
      </c>
      <c r="M7" s="543"/>
      <c r="N7" s="1396"/>
      <c r="P7" s="2111"/>
      <c r="Q7" s="2111">
        <v>1</v>
      </c>
      <c r="R7" s="353"/>
      <c r="S7" s="1339">
        <f>$J7</f>
      </c>
      <c r="T7" s="274" t="s">
        <v>622</v>
      </c>
      <c r="U7" s="288"/>
      <c r="V7" s="2095"/>
      <c r="W7" s="2096"/>
      <c r="X7" s="2096"/>
      <c r="Y7" s="2096"/>
      <c r="Z7" s="2096"/>
      <c r="AA7" s="2096"/>
      <c r="AB7" s="2096"/>
      <c r="AC7" s="2097"/>
      <c r="AD7" s="2095"/>
      <c r="AE7" s="2096"/>
      <c r="AF7" s="2096"/>
      <c r="AG7" s="2096"/>
      <c r="AH7" s="2096"/>
      <c r="AI7" s="2096"/>
      <c r="AJ7" s="2096"/>
      <c r="AK7" s="2096"/>
      <c r="AL7" s="2097"/>
      <c r="AM7" s="1286" t="s">
        <v>623</v>
      </c>
      <c r="AO7" s="506"/>
      <c r="AP7" s="506" t="str">
        <f>IF(T7="","",T7)</f>
        <v>Группа потребителей</v>
      </c>
      <c r="AQ7" s="506"/>
      <c r="AR7" s="506"/>
    </row>
    <row customHeight="1" ht="21" hidden="1">
      <c r="A8" s="1393"/>
      <c r="B8" s="1393"/>
      <c r="C8" s="1393"/>
      <c r="D8" s="1393"/>
      <c r="E8" s="2108"/>
      <c r="F8" s="2108"/>
      <c r="G8" s="2108"/>
      <c r="H8" s="2108"/>
      <c r="I8" s="2110"/>
      <c r="J8" s="2110"/>
      <c r="K8" s="2109">
        <f>J7&amp;".1"</f>
      </c>
      <c r="L8" s="1394" t="s">
        <v>624</v>
      </c>
      <c r="M8" s="543"/>
      <c r="N8" s="1396"/>
      <c r="O8" s="1396"/>
      <c r="P8" s="2111"/>
      <c r="Q8" s="2111"/>
      <c r="R8" s="353">
        <v>1</v>
      </c>
      <c r="S8" s="1339">
        <f>$K8</f>
      </c>
      <c r="T8" s="1377"/>
      <c r="U8" s="288"/>
      <c r="V8" s="757"/>
      <c r="W8" s="320"/>
      <c r="X8" s="757"/>
      <c r="Y8" s="1285"/>
      <c r="Z8" s="2112"/>
      <c r="AA8" s="1981" t="s">
        <v>63</v>
      </c>
      <c r="AB8" s="2112"/>
      <c r="AC8" s="1981" t="s">
        <v>63</v>
      </c>
      <c r="AD8" s="757"/>
      <c r="AE8" s="320"/>
      <c r="AF8" s="757"/>
      <c r="AG8" s="1285"/>
      <c r="AH8" s="2112"/>
      <c r="AI8" s="1981" t="s">
        <v>63</v>
      </c>
      <c r="AJ8" s="2112"/>
      <c r="AK8" s="1981" t="s">
        <v>63</v>
      </c>
      <c r="AL8" s="320"/>
      <c r="AM8" s="2137" t="s">
        <v>625</v>
      </c>
      <c r="AN8" s="517">
        <f>STRCHECKDATE(V9:AL9)</f>
      </c>
      <c r="AO8" s="506"/>
      <c r="AP8" s="506" t="str">
        <f>IF(T8="","",T8)</f>
        <v/>
      </c>
      <c r="AQ8" s="506"/>
      <c r="AR8" s="506"/>
    </row>
    <row customHeight="1" ht="0.75" hidden="1">
      <c r="A9" s="1393"/>
      <c r="B9" s="1393"/>
      <c r="C9" s="1393"/>
      <c r="D9" s="1393"/>
      <c r="E9" s="2108"/>
      <c r="F9" s="2108"/>
      <c r="G9" s="2108"/>
      <c r="H9" s="2108"/>
      <c r="I9" s="2110"/>
      <c r="J9" s="2110"/>
      <c r="K9" s="2109"/>
      <c r="L9" s="1394"/>
      <c r="M9" s="543"/>
      <c r="N9" s="1396"/>
      <c r="O9" s="1396"/>
      <c r="P9" s="2111"/>
      <c r="Q9" s="2111"/>
      <c r="R9" s="353"/>
      <c r="S9" s="1336"/>
      <c r="T9" s="288"/>
      <c r="U9" s="288"/>
      <c r="V9" s="320"/>
      <c r="W9" s="320"/>
      <c r="X9" s="320"/>
      <c r="Y9" s="324" t="str">
        <f>Z8&amp;"-"&amp;AB8</f>
        <v>-</v>
      </c>
      <c r="Z9" s="2113"/>
      <c r="AA9" s="1981"/>
      <c r="AB9" s="2113"/>
      <c r="AC9" s="1981"/>
      <c r="AD9" s="320"/>
      <c r="AE9" s="320"/>
      <c r="AF9" s="320"/>
      <c r="AG9" s="324" t="str">
        <f>AH8&amp;"-"&amp;AJ8</f>
        <v>-</v>
      </c>
      <c r="AH9" s="2113"/>
      <c r="AI9" s="1981"/>
      <c r="AJ9" s="2113"/>
      <c r="AK9" s="1981"/>
      <c r="AL9" s="320"/>
      <c r="AM9" s="2138"/>
      <c r="AO9" s="506"/>
      <c r="AP9" s="506" t="str">
        <f>IF(T9="","",T9)</f>
        <v/>
      </c>
      <c r="AQ9" s="506"/>
      <c r="AR9" s="506"/>
    </row>
    <row customHeight="1" ht="15" hidden="1">
      <c r="A10" s="1393"/>
      <c r="B10" s="1393"/>
      <c r="C10" s="1393"/>
      <c r="D10" s="1393"/>
      <c r="E10" s="2108"/>
      <c r="F10" s="2108"/>
      <c r="G10" s="2108"/>
      <c r="H10" s="2108"/>
      <c r="I10" s="2110"/>
      <c r="J10" s="2109"/>
      <c r="K10" s="1393"/>
      <c r="L10" s="1394"/>
      <c r="M10" s="543"/>
      <c r="N10" s="1396"/>
      <c r="P10" s="2111"/>
      <c r="Q10" s="2111"/>
      <c r="R10" s="352"/>
      <c r="S10" s="1308"/>
      <c r="T10" s="276" t="s">
        <v>626</v>
      </c>
      <c r="U10" s="367"/>
      <c r="V10" s="367"/>
      <c r="W10" s="367"/>
      <c r="X10" s="367"/>
      <c r="Y10" s="367"/>
      <c r="Z10" s="367"/>
      <c r="AA10" s="367"/>
      <c r="AB10" s="367"/>
      <c r="AC10" s="367"/>
      <c r="AD10" s="367"/>
      <c r="AE10" s="367"/>
      <c r="AF10" s="367"/>
      <c r="AG10" s="367"/>
      <c r="AH10" s="367"/>
      <c r="AI10" s="367"/>
      <c r="AJ10" s="367"/>
      <c r="AK10" s="367"/>
      <c r="AL10" s="319"/>
      <c r="AM10" s="2139"/>
      <c r="AO10" s="506"/>
      <c r="AP10" s="506" t="str">
        <f>IF(T10="","",T10)</f>
        <v>Добавить вид теплоносителя (параметры теплоносителя)</v>
      </c>
      <c r="AQ10" s="506"/>
      <c r="AR10" s="506"/>
    </row>
    <row customHeight="1" ht="15" hidden="1">
      <c r="A11" s="1393"/>
      <c r="B11" s="1393"/>
      <c r="C11" s="1393"/>
      <c r="D11" s="1393"/>
      <c r="E11" s="2108"/>
      <c r="F11" s="2108"/>
      <c r="G11" s="2108"/>
      <c r="H11" s="2108"/>
      <c r="I11" s="2109"/>
      <c r="J11" s="1393"/>
      <c r="K11" s="1393"/>
      <c r="L11" s="1394"/>
      <c r="M11" s="543"/>
      <c r="P11" s="2111"/>
      <c r="Q11" s="1335"/>
      <c r="R11" s="352"/>
      <c r="S11" s="1308"/>
      <c r="T11" s="275" t="s">
        <v>627</v>
      </c>
      <c r="U11" s="367"/>
      <c r="V11" s="367"/>
      <c r="W11" s="367"/>
      <c r="X11" s="367"/>
      <c r="Y11" s="367"/>
      <c r="Z11" s="367"/>
      <c r="AA11" s="367"/>
      <c r="AB11" s="367"/>
      <c r="AC11" s="366"/>
      <c r="AD11" s="367"/>
      <c r="AE11" s="367"/>
      <c r="AF11" s="367"/>
      <c r="AG11" s="367"/>
      <c r="AH11" s="367"/>
      <c r="AI11" s="367"/>
      <c r="AJ11" s="367"/>
      <c r="AK11" s="366"/>
      <c r="AL11" s="367"/>
      <c r="AM11" s="291"/>
      <c r="AO11" s="506"/>
      <c r="AP11" s="506" t="str">
        <f>IF(T11="","",T11)</f>
        <v>Добавить группу потребителей</v>
      </c>
      <c r="AQ11" s="506"/>
      <c r="AR11" s="506"/>
    </row>
    <row customHeight="1" ht="14.25" hidden="1">
      <c r="A12" s="1393"/>
      <c r="B12" s="1393"/>
      <c r="C12" s="1393"/>
      <c r="D12" s="1393"/>
      <c r="E12" s="2108"/>
      <c r="F12" s="2108"/>
      <c r="G12" s="2108"/>
      <c r="H12" s="2107"/>
      <c r="I12" s="1393"/>
      <c r="J12" s="1393"/>
      <c r="K12" s="1393"/>
      <c r="L12" s="1394"/>
      <c r="M12" s="1395"/>
      <c r="N12" s="1395"/>
      <c r="O12" s="543"/>
      <c r="P12" s="356"/>
      <c r="Q12" s="376"/>
      <c r="R12" s="351"/>
      <c r="S12" s="1308"/>
      <c r="T12" s="364" t="s">
        <v>628</v>
      </c>
      <c r="U12" s="367"/>
      <c r="V12" s="367"/>
      <c r="W12" s="367"/>
      <c r="X12" s="367"/>
      <c r="Y12" s="367"/>
      <c r="Z12" s="367"/>
      <c r="AA12" s="367"/>
      <c r="AB12" s="367"/>
      <c r="AC12" s="366"/>
      <c r="AD12" s="367"/>
      <c r="AE12" s="367"/>
      <c r="AF12" s="367"/>
      <c r="AG12" s="367"/>
      <c r="AH12" s="367"/>
      <c r="AI12" s="367"/>
      <c r="AJ12" s="367"/>
      <c r="AK12" s="366"/>
      <c r="AL12" s="367"/>
      <c r="AM12" s="291"/>
      <c r="AO12" s="506"/>
      <c r="AP12" s="506" t="str">
        <f>IF(T12="","",T12)</f>
        <v>Добавить схему подключения</v>
      </c>
      <c r="AQ12" s="506"/>
      <c r="AR12" s="506"/>
    </row>
    <row s="3314" customFormat="1" customHeight="1" ht="0.75" hidden="1">
      <c r="A13" s="1344"/>
      <c r="B13" s="1344"/>
      <c r="C13" s="1344"/>
      <c r="D13" s="1344"/>
      <c r="E13" s="2108"/>
      <c r="F13" s="2108"/>
      <c r="G13" s="2107"/>
      <c r="H13" s="1344"/>
      <c r="I13" s="1344"/>
      <c r="J13" s="1344"/>
      <c r="K13" s="1344"/>
      <c r="L13" s="1369"/>
      <c r="M13" s="1345"/>
      <c r="N13" s="1345"/>
      <c r="P13" s="1346"/>
      <c r="Q13" s="1347"/>
      <c r="R13" s="1346"/>
      <c r="S13" s="1348"/>
      <c r="T13" s="1349" t="s">
        <v>254</v>
      </c>
      <c r="U13" s="1350"/>
      <c r="V13" s="1350"/>
      <c r="W13" s="1350"/>
      <c r="X13" s="1350"/>
      <c r="Y13" s="1350"/>
      <c r="Z13" s="1350"/>
      <c r="AA13" s="1350"/>
      <c r="AB13" s="1350"/>
      <c r="AC13" s="1350"/>
      <c r="AD13" s="1350"/>
      <c r="AE13" s="1350"/>
      <c r="AF13" s="1350"/>
      <c r="AG13" s="1350"/>
      <c r="AH13" s="1350"/>
      <c r="AI13" s="1350"/>
      <c r="AJ13" s="1350"/>
      <c r="AK13" s="1350"/>
      <c r="AL13" s="1350"/>
      <c r="AM13" s="1350"/>
      <c r="AO13" s="795"/>
      <c r="AP13" s="795" t="str">
        <f>IF(T13="","",T13)</f>
        <v>Добавить источник для дифференциации</v>
      </c>
      <c r="AQ13" s="795"/>
      <c r="AR13" s="795"/>
    </row>
    <row s="3314" customFormat="1" customHeight="1" ht="0.75" hidden="1">
      <c r="A14" s="1344"/>
      <c r="B14" s="1344"/>
      <c r="C14" s="1344"/>
      <c r="D14" s="1344"/>
      <c r="E14" s="2108"/>
      <c r="F14" s="2107"/>
      <c r="G14" s="1344"/>
      <c r="H14" s="1344"/>
      <c r="I14" s="1344"/>
      <c r="J14" s="1344"/>
      <c r="K14" s="1344"/>
      <c r="L14" s="1369"/>
      <c r="M14" s="1351"/>
      <c r="N14" s="1351"/>
      <c r="P14" s="1346"/>
      <c r="Q14" s="1347"/>
      <c r="R14" s="1346"/>
      <c r="S14" s="1352"/>
      <c r="T14" s="1353" t="s">
        <v>255</v>
      </c>
      <c r="U14" s="1354"/>
      <c r="V14" s="1354"/>
      <c r="W14" s="1354"/>
      <c r="X14" s="1354"/>
      <c r="Y14" s="1354"/>
      <c r="Z14" s="1354"/>
      <c r="AA14" s="1354"/>
      <c r="AB14" s="1354"/>
      <c r="AC14" s="1354"/>
      <c r="AD14" s="1354"/>
      <c r="AE14" s="1354"/>
      <c r="AF14" s="1354"/>
      <c r="AG14" s="1354"/>
      <c r="AH14" s="1354"/>
      <c r="AI14" s="1354"/>
      <c r="AJ14" s="1354"/>
      <c r="AK14" s="1354"/>
      <c r="AL14" s="1354"/>
      <c r="AM14" s="1354"/>
      <c r="AO14" s="795"/>
      <c r="AP14" s="795" t="str">
        <f>IF(T14="","",T14)</f>
        <v>Добавить централизованную систему для дифференциации</v>
      </c>
      <c r="AQ14" s="795"/>
      <c r="AR14" s="795"/>
    </row>
    <row s="3314" customFormat="1" customHeight="1" ht="0.75" hidden="1">
      <c r="A15" s="1344"/>
      <c r="B15" s="1344"/>
      <c r="C15" s="1344"/>
      <c r="D15" s="1344"/>
      <c r="E15" s="2107"/>
      <c r="F15" s="1344"/>
      <c r="G15" s="1344"/>
      <c r="H15" s="1344"/>
      <c r="I15" s="1344"/>
      <c r="J15" s="1344"/>
      <c r="K15" s="1344"/>
      <c r="L15" s="1369"/>
      <c r="M15" s="1351"/>
      <c r="N15" s="1351"/>
      <c r="P15" s="1346"/>
      <c r="Q15" s="1347"/>
      <c r="R15" s="1346"/>
      <c r="S15" s="1352"/>
      <c r="T15" s="1355" t="s">
        <v>329</v>
      </c>
      <c r="U15" s="1354"/>
      <c r="V15" s="1354"/>
      <c r="W15" s="1354"/>
      <c r="X15" s="1354"/>
      <c r="Y15" s="1354"/>
      <c r="Z15" s="1354"/>
      <c r="AA15" s="1354"/>
      <c r="AB15" s="1354"/>
      <c r="AC15" s="1354"/>
      <c r="AD15" s="1354"/>
      <c r="AE15" s="1354"/>
      <c r="AF15" s="1354"/>
      <c r="AG15" s="1354"/>
      <c r="AH15" s="1354"/>
      <c r="AI15" s="1354"/>
      <c r="AJ15" s="1354"/>
      <c r="AK15" s="1354"/>
      <c r="AL15" s="1354"/>
      <c r="AM15" s="1354"/>
      <c r="AO15" s="795"/>
      <c r="AP15" s="795" t="str">
        <f>IF(T15="","",T15)</f>
        <v>Добавить территорию для дифференциации</v>
      </c>
      <c r="AQ15" s="795"/>
      <c r="AR15" s="795"/>
    </row>
    <row customHeight="1" ht="14.25" hidden="1">
      <c r="AC16" s="323"/>
      <c r="AK16" s="323"/>
    </row>
    <row customHeight="1" ht="14.25" hidden="1">
      <c r="P17" s="1341"/>
      <c r="AD17" s="1390"/>
      <c r="AE17" s="1390"/>
      <c r="AF17" s="1390"/>
      <c r="AG17" s="1391"/>
      <c r="AH17" s="2105"/>
      <c r="AI17" s="2104" t="s">
        <v>63</v>
      </c>
      <c r="AJ17" s="2105"/>
      <c r="AK17" s="2104" t="s">
        <v>63</v>
      </c>
    </row>
    <row customHeight="1" ht="14.25" hidden="1">
      <c r="P18" s="1341"/>
      <c r="AD18" s="1390"/>
      <c r="AE18" s="1390"/>
      <c r="AF18" s="1390"/>
      <c r="AG18" s="324" t="str">
        <f>AH17&amp;"-"&amp;AJ17</f>
        <v>-</v>
      </c>
      <c r="AH18" s="2104"/>
      <c r="AI18" s="2104"/>
      <c r="AJ18" s="2104"/>
      <c r="AK18" s="2104"/>
    </row>
    <row customHeight="1" ht="14.25" hidden="1">
      <c r="P19" s="1341"/>
      <c r="AK19" s="323"/>
    </row>
    <row s="2683" customFormat="1" customHeight="1" ht="22.5" hidden="1">
      <c r="L20" s="1359"/>
      <c r="M20" s="1392"/>
      <c r="N20" s="1392"/>
      <c r="O20" s="1397" t="s">
        <v>629</v>
      </c>
      <c r="P20" s="1392"/>
      <c r="Q20" s="1401"/>
      <c r="R20" s="1401"/>
      <c r="S20" s="735"/>
      <c r="Z20" s="1397"/>
      <c r="AB20" s="1397"/>
      <c r="AC20" s="1396"/>
      <c r="AH20" s="1397"/>
      <c r="AJ20" s="1397"/>
      <c r="AK20" s="1396"/>
      <c r="AN20" s="517"/>
      <c r="AO20" s="517"/>
      <c r="AP20" s="517"/>
      <c r="AQ20" s="517"/>
      <c r="AR20" s="517"/>
    </row>
    <row s="2683" customFormat="1" customHeight="1" ht="14.25" hidden="1">
      <c r="L21" s="1359"/>
      <c r="M21" s="1392"/>
      <c r="N21" s="1392"/>
      <c r="O21" s="1392"/>
      <c r="P21" s="1392"/>
      <c r="Q21" s="1401"/>
      <c r="R21" s="1401"/>
      <c r="S21" s="735"/>
      <c r="AC21" s="1396"/>
      <c r="AK21" s="1396"/>
      <c r="AN21" s="517"/>
      <c r="AO21" s="517"/>
      <c r="AP21" s="517"/>
      <c r="AQ21" s="517"/>
      <c r="AR21" s="517"/>
    </row>
    <row s="2683" customFormat="1" customHeight="1" ht="14.25" hidden="1">
      <c r="L22" s="1359"/>
      <c r="M22" s="1392"/>
      <c r="N22" s="1392"/>
      <c r="O22" s="1394" t="s">
        <v>630</v>
      </c>
      <c r="P22" s="1392"/>
      <c r="Q22" s="1401"/>
      <c r="R22" s="1401"/>
      <c r="S22" s="735"/>
      <c r="T22" s="1168" t="s">
        <v>631</v>
      </c>
      <c r="AA22" s="172" t="s">
        <v>632</v>
      </c>
      <c r="AC22" s="172" t="s">
        <v>633</v>
      </c>
      <c r="AD22" s="1168" t="s">
        <v>631</v>
      </c>
      <c r="AI22" s="172" t="s">
        <v>634</v>
      </c>
      <c r="AK22" s="172" t="s">
        <v>633</v>
      </c>
      <c r="AN22" s="517"/>
      <c r="AO22" s="517"/>
      <c r="AP22" s="517"/>
      <c r="AQ22" s="517"/>
      <c r="AR22" s="517"/>
    </row>
    <row customHeight="1" ht="14.25" hidden="1">
      <c r="O23" s="1394"/>
      <c r="P23" s="1341"/>
    </row>
    <row customHeight="1" ht="14.25" hidden="1">
      <c r="O24" s="1394"/>
      <c r="P24" s="1341"/>
    </row>
    <row customHeight="1" ht="14.25">
      <c r="Q25" s="377"/>
      <c r="R25" s="377"/>
      <c r="S25" s="1305"/>
      <c r="T25" s="361"/>
      <c r="U25" s="361"/>
      <c r="V25" s="515"/>
      <c r="W25" s="515"/>
      <c r="X25" s="515"/>
      <c r="Y25" s="515"/>
      <c r="Z25" s="515"/>
      <c r="AA25" s="515"/>
      <c r="AB25" s="515"/>
      <c r="AC25" s="515"/>
      <c r="AD25" s="515"/>
      <c r="AE25" s="515"/>
      <c r="AF25" s="515"/>
      <c r="AG25" s="515"/>
      <c r="AH25" s="515"/>
      <c r="AI25" s="515"/>
      <c r="AJ25" s="515"/>
      <c r="AK25" s="515"/>
    </row>
    <row customHeight="1" ht="14.25">
      <c r="Q26" s="377"/>
      <c r="R26" s="377"/>
      <c r="S26" s="214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40"/>
      <c r="U26" s="2140"/>
      <c r="V26" s="2140"/>
      <c r="W26" s="2140"/>
      <c r="X26" s="2140"/>
      <c r="Y26" s="2140"/>
      <c r="Z26" s="2140"/>
      <c r="AA26" s="2140"/>
      <c r="AB26" s="2140"/>
      <c r="AC26" s="2140"/>
      <c r="AD26" s="2140"/>
      <c r="AE26" s="2140"/>
      <c r="AF26" s="2140"/>
      <c r="AG26" s="2140"/>
      <c r="AH26" s="2140"/>
      <c r="AI26" s="2140"/>
      <c r="AJ26" s="2140"/>
      <c r="AK26" s="1261"/>
    </row>
    <row customHeight="1" ht="14.25">
      <c r="Q27" s="377"/>
      <c r="R27" s="377"/>
      <c r="S27" s="2141" t="str">
        <f>IF(org=0,"Не определено",org)</f>
        <v>АО "Мурманэнергосбыт"</v>
      </c>
      <c r="T27" s="2141"/>
      <c r="U27" s="2141"/>
      <c r="V27" s="2141"/>
      <c r="W27" s="2141"/>
      <c r="X27" s="2141"/>
      <c r="Y27" s="2141"/>
      <c r="Z27" s="2141"/>
      <c r="AA27" s="2141"/>
      <c r="AB27" s="2141"/>
      <c r="AC27" s="2141"/>
      <c r="AD27" s="2141"/>
      <c r="AE27" s="2141"/>
      <c r="AF27" s="2141"/>
      <c r="AG27" s="2141"/>
      <c r="AH27" s="2141"/>
      <c r="AI27" s="2141"/>
      <c r="AJ27" s="2141"/>
      <c r="AK27" s="1261"/>
    </row>
    <row customHeight="1" ht="14.25">
      <c r="Q28" s="377"/>
      <c r="R28" s="377"/>
      <c r="S28" s="1305"/>
      <c r="T28" s="361"/>
      <c r="U28" s="361"/>
      <c r="V28" s="316"/>
      <c r="W28" s="316"/>
      <c r="X28" s="316"/>
      <c r="Y28" s="316"/>
      <c r="Z28" s="316"/>
      <c r="AA28" s="316"/>
      <c r="AB28" s="316"/>
      <c r="AC28" s="316"/>
      <c r="AD28" s="316"/>
      <c r="AE28" s="316"/>
      <c r="AF28" s="316"/>
      <c r="AG28" s="316"/>
      <c r="AH28" s="316"/>
      <c r="AI28" s="316"/>
      <c r="AJ28" s="316"/>
      <c r="AK28" s="316"/>
      <c r="AL28" s="515"/>
    </row>
    <row s="3345" customFormat="1" customHeight="1" ht="25.5">
      <c r="A29" s="1398"/>
      <c r="B29" s="1398"/>
      <c r="C29" s="1398"/>
      <c r="D29" s="1398"/>
      <c r="E29" s="1398"/>
      <c r="F29" s="1398"/>
      <c r="G29" s="1398"/>
      <c r="H29" s="1398"/>
      <c r="I29" s="1398"/>
      <c r="J29" s="1398"/>
      <c r="K29" s="1398"/>
      <c r="L29" s="1399"/>
      <c r="M29" s="1398"/>
      <c r="N29" s="1398"/>
      <c r="O29" s="1398"/>
      <c r="S29" s="2098" t="s">
        <v>38</v>
      </c>
      <c r="T29" s="2098"/>
      <c r="U29" s="1402"/>
      <c r="V29" s="2100" t="str">
        <f>IF(TITLE_NAME_OR_PR_CHANGE="",IF(TITLE_NAME_OR_PR="","",TITLE_NAME_OR_PR),TITLE_NAME_OR_PR_CHANGE)</f>
        <v>Комитет по тарифному регулированию Мурманской области</v>
      </c>
      <c r="W29" s="2100"/>
      <c r="X29" s="2100"/>
      <c r="Y29" s="2100"/>
      <c r="Z29" s="2100"/>
      <c r="AA29" s="2100"/>
      <c r="AB29" s="2100"/>
      <c r="AC29" s="322"/>
      <c r="AD29" s="2100" t="str">
        <f>IF(TITLE_NAME_OR_PR_CHANGE="",IF(TITLE_NAME_OR_PR="","",TITLE_NAME_OR_PR),TITLE_NAME_OR_PR_CHANGE)</f>
        <v>Комитет по тарифному регулированию Мурманской области</v>
      </c>
      <c r="AE29" s="2100"/>
      <c r="AF29" s="2100"/>
      <c r="AG29" s="2100"/>
      <c r="AH29" s="2100"/>
      <c r="AI29" s="2100"/>
      <c r="AJ29" s="2100"/>
      <c r="AK29" s="322"/>
      <c r="AL29" s="322"/>
      <c r="AM29" s="268"/>
      <c r="AN29" s="368"/>
      <c r="AO29" s="368"/>
      <c r="AP29" s="368"/>
      <c r="AQ29" s="368"/>
      <c r="AR29" s="368"/>
    </row>
    <row s="3345" customFormat="1" customHeight="1" ht="18.75">
      <c r="A30" s="1398"/>
      <c r="B30" s="1398"/>
      <c r="C30" s="1398"/>
      <c r="D30" s="1398"/>
      <c r="E30" s="1398"/>
      <c r="F30" s="1398"/>
      <c r="G30" s="1398"/>
      <c r="H30" s="1398"/>
      <c r="I30" s="1398"/>
      <c r="J30" s="1398"/>
      <c r="K30" s="1398"/>
      <c r="L30" s="1399"/>
      <c r="M30" s="1398"/>
      <c r="N30" s="1398"/>
      <c r="O30" s="1398"/>
      <c r="S30" s="2098" t="s">
        <v>635</v>
      </c>
      <c r="T30" s="2098"/>
      <c r="U30" s="1402"/>
      <c r="V30" s="2099" t="str">
        <f>IF(TITLE_DATE_PR_CHANGE="",IF(TITLE_DATE_PR="","",TITLE_DATE_PR),TITLE_DATE_PR_CHANGE)</f>
        <v>45205</v>
      </c>
      <c r="W30" s="2099"/>
      <c r="X30" s="2099"/>
      <c r="Y30" s="2099"/>
      <c r="Z30" s="2099"/>
      <c r="AA30" s="2099"/>
      <c r="AB30" s="2099"/>
      <c r="AC30" s="322"/>
      <c r="AD30" s="2099" t="str">
        <f>IF(TITLE_DATE_PR_CHANGE="",IF(TITLE_DATE_PR="","",TITLE_DATE_PR),TITLE_DATE_PR_CHANGE)</f>
        <v>45205</v>
      </c>
      <c r="AE30" s="2099"/>
      <c r="AF30" s="2099"/>
      <c r="AG30" s="2099"/>
      <c r="AH30" s="2099"/>
      <c r="AI30" s="2099"/>
      <c r="AJ30" s="2099"/>
      <c r="AK30" s="322"/>
      <c r="AL30" s="322"/>
      <c r="AM30" s="268"/>
      <c r="AN30" s="368"/>
      <c r="AO30" s="368"/>
      <c r="AP30" s="368"/>
      <c r="AQ30" s="368"/>
      <c r="AR30" s="368"/>
    </row>
    <row s="3345" customFormat="1" customHeight="1" ht="18.75">
      <c r="A31" s="1398"/>
      <c r="B31" s="1398"/>
      <c r="C31" s="1398"/>
      <c r="D31" s="1398"/>
      <c r="E31" s="1398"/>
      <c r="F31" s="1398"/>
      <c r="G31" s="1398"/>
      <c r="H31" s="1398"/>
      <c r="I31" s="1398"/>
      <c r="J31" s="1398"/>
      <c r="K31" s="1398"/>
      <c r="L31" s="1399"/>
      <c r="M31" s="1398"/>
      <c r="N31" s="1398"/>
      <c r="O31" s="1398"/>
      <c r="S31" s="2098" t="s">
        <v>636</v>
      </c>
      <c r="T31" s="2098"/>
      <c r="U31" s="1402"/>
      <c r="V31" s="2100" t="str">
        <f>IF(TITLE_NUMBER_PR_CHANGE="",IF(TITLE_NUMBER_PR="","",TITLE_NUMBER_PR),TITLE_NUMBER_PR_CHANGE)</f>
        <v>36/2</v>
      </c>
      <c r="W31" s="2100"/>
      <c r="X31" s="2100"/>
      <c r="Y31" s="2100"/>
      <c r="Z31" s="2100"/>
      <c r="AA31" s="2100"/>
      <c r="AB31" s="2100"/>
      <c r="AC31" s="322"/>
      <c r="AD31" s="2100" t="str">
        <f>IF(TITLE_NUMBER_PR_CHANGE="",IF(TITLE_NUMBER_PR="","",TITLE_NUMBER_PR),TITLE_NUMBER_PR_CHANGE)</f>
        <v>36/2</v>
      </c>
      <c r="AE31" s="2100"/>
      <c r="AF31" s="2100"/>
      <c r="AG31" s="2100"/>
      <c r="AH31" s="2100"/>
      <c r="AI31" s="2100"/>
      <c r="AJ31" s="2100"/>
      <c r="AK31" s="322"/>
      <c r="AL31" s="322"/>
      <c r="AM31" s="268"/>
      <c r="AN31" s="368"/>
      <c r="AO31" s="368"/>
      <c r="AP31" s="368"/>
      <c r="AQ31" s="368"/>
      <c r="AR31" s="368"/>
    </row>
    <row s="3345" customFormat="1" customHeight="1" ht="18.75">
      <c r="A32" s="1398"/>
      <c r="B32" s="1398"/>
      <c r="C32" s="1398"/>
      <c r="D32" s="1398"/>
      <c r="E32" s="1398"/>
      <c r="F32" s="1398"/>
      <c r="G32" s="1398"/>
      <c r="H32" s="1398"/>
      <c r="I32" s="1398"/>
      <c r="J32" s="1398"/>
      <c r="K32" s="1398"/>
      <c r="L32" s="1399"/>
      <c r="M32" s="1398"/>
      <c r="N32" s="1398"/>
      <c r="O32" s="1398"/>
      <c r="S32" s="2098" t="s">
        <v>40</v>
      </c>
      <c r="T32" s="2098"/>
      <c r="U32" s="1402"/>
      <c r="V32" s="2100" t="str">
        <f>IF(TITLE_IST_PUB_CHANGE="",IF(TITLE_IST_PUB="","",TITLE_IST_PUB),TITLE_IST_PUB_CHANGE)</f>
        <v>https://npa.gov-murman.ru/bitrix/components/b1team/govmurman.element.file/download.php?ID=495002&amp;FID=732763</v>
      </c>
      <c r="W32" s="2100"/>
      <c r="X32" s="2100"/>
      <c r="Y32" s="2100"/>
      <c r="Z32" s="2100"/>
      <c r="AA32" s="2100"/>
      <c r="AB32" s="2100"/>
      <c r="AC32" s="322"/>
      <c r="AD32" s="2100" t="str">
        <f>IF(TITLE_IST_PUB_CHANGE="",IF(TITLE_IST_PUB="","",TITLE_IST_PUB),TITLE_IST_PUB_CHANGE)</f>
        <v>https://npa.gov-murman.ru/bitrix/components/b1team/govmurman.element.file/download.php?ID=495002&amp;FID=732763</v>
      </c>
      <c r="AE32" s="2100"/>
      <c r="AF32" s="2100"/>
      <c r="AG32" s="2100"/>
      <c r="AH32" s="2100"/>
      <c r="AI32" s="2100"/>
      <c r="AJ32" s="2100"/>
      <c r="AK32" s="322"/>
      <c r="AL32" s="322"/>
      <c r="AM32" s="268"/>
      <c r="AN32" s="368"/>
      <c r="AO32" s="368"/>
      <c r="AP32" s="368"/>
      <c r="AQ32" s="368"/>
      <c r="AR32" s="368"/>
    </row>
    <row customHeight="1" ht="14.25" hidden="1">
      <c r="P33" s="1358"/>
      <c r="Q33" s="377"/>
      <c r="R33" s="377"/>
      <c r="S33" s="1305"/>
      <c r="T33" s="361"/>
      <c r="U33" s="361"/>
      <c r="V33" s="316"/>
      <c r="W33" s="316"/>
      <c r="X33" s="316"/>
      <c r="Y33" s="316"/>
      <c r="Z33" s="316"/>
      <c r="AA33" s="316"/>
      <c r="AB33" s="316"/>
      <c r="AC33" s="316"/>
      <c r="AD33" s="316"/>
      <c r="AE33" s="316"/>
      <c r="AF33" s="316"/>
      <c r="AG33" s="316"/>
      <c r="AH33" s="316"/>
      <c r="AI33" s="316"/>
      <c r="AJ33" s="316"/>
      <c r="AK33" s="316"/>
      <c r="AL33" s="515"/>
    </row>
    <row s="3345" customFormat="1" customHeight="1" ht="18.75" hidden="1">
      <c r="A34" s="1398"/>
      <c r="B34" s="1398"/>
      <c r="C34" s="1398"/>
      <c r="D34" s="1398"/>
      <c r="E34" s="1398"/>
      <c r="F34" s="1398"/>
      <c r="G34" s="1398"/>
      <c r="H34" s="1398"/>
      <c r="I34" s="1398"/>
      <c r="J34" s="1398"/>
      <c r="K34" s="1398"/>
      <c r="L34" s="1399"/>
      <c r="M34" s="1398"/>
      <c r="N34" s="1398"/>
      <c r="O34" s="1398"/>
      <c r="S34" s="2098" t="s">
        <v>637</v>
      </c>
      <c r="T34" s="2098"/>
      <c r="U34" s="1402"/>
      <c r="V34" s="2099" t="str">
        <f>IF(TITLE_DATE_PR_CHANGE="",IF(TITLE_DATE_PR="","",TITLE_DATE_PR),TITLE_DATE_PR_CHANGE)</f>
        <v>45205</v>
      </c>
      <c r="W34" s="2099"/>
      <c r="X34" s="2099"/>
      <c r="Y34" s="2099"/>
      <c r="Z34" s="2099"/>
      <c r="AA34" s="2099"/>
      <c r="AB34" s="2099"/>
      <c r="AC34" s="322"/>
      <c r="AD34" s="2099" t="str">
        <f>IF(TITLE_DATE_PR_CHANGE="",IF(TITLE_DATE_PR="","",TITLE_DATE_PR),TITLE_DATE_PR_CHANGE)</f>
        <v>45205</v>
      </c>
      <c r="AE34" s="2099"/>
      <c r="AF34" s="2099"/>
      <c r="AG34" s="2099"/>
      <c r="AH34" s="2099"/>
      <c r="AI34" s="2099"/>
      <c r="AJ34" s="2099"/>
      <c r="AK34" s="322"/>
      <c r="AL34" s="322"/>
      <c r="AM34" s="268"/>
      <c r="AN34" s="368"/>
      <c r="AO34" s="368"/>
      <c r="AP34" s="368"/>
      <c r="AQ34" s="368"/>
      <c r="AR34" s="368"/>
    </row>
    <row s="3345" customFormat="1" customHeight="1" ht="18.75" hidden="1">
      <c r="A35" s="1398"/>
      <c r="B35" s="1398"/>
      <c r="C35" s="1398"/>
      <c r="D35" s="1398"/>
      <c r="E35" s="1398"/>
      <c r="F35" s="1398"/>
      <c r="G35" s="1398"/>
      <c r="H35" s="1398"/>
      <c r="I35" s="1398"/>
      <c r="J35" s="1398"/>
      <c r="K35" s="1398"/>
      <c r="L35" s="1399"/>
      <c r="M35" s="1398"/>
      <c r="N35" s="1398"/>
      <c r="O35" s="1398"/>
      <c r="S35" s="2098" t="s">
        <v>638</v>
      </c>
      <c r="T35" s="2098"/>
      <c r="U35" s="1402"/>
      <c r="V35" s="2100" t="str">
        <f>IF(TITLE_NUMBER_PR_CHANGE="",IF(TITLE_NUMBER_PR="","",TITLE_NUMBER_PR),TITLE_NUMBER_PR_CHANGE)</f>
        <v>36/2</v>
      </c>
      <c r="W35" s="2100"/>
      <c r="X35" s="2100"/>
      <c r="Y35" s="2100"/>
      <c r="Z35" s="2100"/>
      <c r="AA35" s="2100"/>
      <c r="AB35" s="2100"/>
      <c r="AC35" s="322"/>
      <c r="AD35" s="2100" t="str">
        <f>IF(TITLE_NUMBER_PR_CHANGE="",IF(TITLE_NUMBER_PR="","",TITLE_NUMBER_PR),TITLE_NUMBER_PR_CHANGE)</f>
        <v>36/2</v>
      </c>
      <c r="AE35" s="2100"/>
      <c r="AF35" s="2100"/>
      <c r="AG35" s="2100"/>
      <c r="AH35" s="2100"/>
      <c r="AI35" s="2100"/>
      <c r="AJ35" s="2100"/>
      <c r="AK35" s="322"/>
      <c r="AL35" s="322"/>
      <c r="AM35" s="268"/>
      <c r="AN35" s="368"/>
      <c r="AO35" s="368"/>
      <c r="AP35" s="368"/>
      <c r="AQ35" s="368"/>
      <c r="AR35" s="368"/>
    </row>
    <row s="3345" customFormat="1" customHeight="1" ht="0">
      <c r="A36" s="1398"/>
      <c r="B36" s="1398"/>
      <c r="C36" s="1398"/>
      <c r="D36" s="1398"/>
      <c r="E36" s="1398"/>
      <c r="F36" s="1398"/>
      <c r="G36" s="1398"/>
      <c r="H36" s="1398"/>
      <c r="I36" s="1398"/>
      <c r="J36" s="1398"/>
      <c r="K36" s="1398"/>
      <c r="L36" s="1399"/>
      <c r="M36" s="1398"/>
      <c r="N36" s="1398"/>
      <c r="O36" s="1398"/>
      <c r="S36" s="318"/>
      <c r="T36" s="318"/>
      <c r="U36" s="1233"/>
      <c r="V36" s="322"/>
      <c r="W36" s="322"/>
      <c r="X36" s="322"/>
      <c r="Y36" s="322"/>
      <c r="Z36" s="322"/>
      <c r="AA36" s="322"/>
      <c r="AB36" s="322"/>
      <c r="AC36" s="266" t="s">
        <v>639</v>
      </c>
      <c r="AD36" s="322"/>
      <c r="AE36" s="322"/>
      <c r="AF36" s="322"/>
      <c r="AG36" s="322"/>
      <c r="AH36" s="322"/>
      <c r="AI36" s="322"/>
      <c r="AJ36" s="322"/>
      <c r="AK36" s="266" t="s">
        <v>639</v>
      </c>
      <c r="AN36" s="368"/>
      <c r="AO36" s="368"/>
      <c r="AP36" s="368"/>
      <c r="AQ36" s="368"/>
      <c r="AR36" s="368"/>
    </row>
    <row customHeight="1" ht="14.25">
      <c r="Q37" s="377"/>
      <c r="R37" s="377"/>
      <c r="S37" s="1305"/>
      <c r="T37" s="361"/>
      <c r="U37" s="1262"/>
      <c r="V37" s="2124"/>
      <c r="W37" s="2124"/>
      <c r="X37" s="2124"/>
      <c r="Y37" s="2124"/>
      <c r="Z37" s="2124"/>
      <c r="AA37" s="2124"/>
      <c r="AB37" s="2124"/>
      <c r="AC37" s="2124"/>
      <c r="AD37" s="2124"/>
      <c r="AE37" s="2124"/>
      <c r="AF37" s="2124"/>
      <c r="AG37" s="2124"/>
      <c r="AH37" s="2124"/>
      <c r="AI37" s="2124"/>
      <c r="AJ37" s="2124"/>
      <c r="AK37" s="2124"/>
    </row>
    <row customHeight="1" ht="14.25">
      <c r="Q38" s="377"/>
      <c r="R38" s="377"/>
      <c r="S38" s="1971" t="s">
        <v>513</v>
      </c>
      <c r="T38" s="1971"/>
      <c r="U38" s="1971"/>
      <c r="V38" s="1971"/>
      <c r="W38" s="1971"/>
      <c r="X38" s="1971"/>
      <c r="Y38" s="1971"/>
      <c r="Z38" s="1971"/>
      <c r="AA38" s="1971"/>
      <c r="AB38" s="1971"/>
      <c r="AC38" s="1971"/>
      <c r="AD38" s="1971"/>
      <c r="AE38" s="1971"/>
      <c r="AF38" s="1971"/>
      <c r="AG38" s="1971"/>
      <c r="AH38" s="1971"/>
      <c r="AI38" s="1971"/>
      <c r="AJ38" s="1971"/>
      <c r="AK38" s="1971"/>
      <c r="AL38" s="1971"/>
      <c r="AM38" s="1971" t="s">
        <v>514</v>
      </c>
    </row>
    <row customHeight="1" ht="14.25">
      <c r="Q39" s="377"/>
      <c r="R39" s="377"/>
      <c r="S39" s="2125" t="s">
        <v>89</v>
      </c>
      <c r="T39" s="2062" t="s">
        <v>640</v>
      </c>
      <c r="U39" s="289"/>
      <c r="V39" s="2126" t="s">
        <v>641</v>
      </c>
      <c r="W39" s="2127"/>
      <c r="X39" s="2127"/>
      <c r="Y39" s="2127"/>
      <c r="Z39" s="2127"/>
      <c r="AA39" s="2127"/>
      <c r="AB39" s="2128"/>
      <c r="AC39" s="2129" t="s">
        <v>642</v>
      </c>
      <c r="AD39" s="2126" t="s">
        <v>641</v>
      </c>
      <c r="AE39" s="2127"/>
      <c r="AF39" s="2127"/>
      <c r="AG39" s="2127"/>
      <c r="AH39" s="2127"/>
      <c r="AI39" s="2127"/>
      <c r="AJ39" s="2128"/>
      <c r="AK39" s="2129" t="s">
        <v>643</v>
      </c>
      <c r="AL39" s="2132" t="s">
        <v>644</v>
      </c>
      <c r="AM39" s="1971"/>
    </row>
    <row customHeight="1" ht="33.75">
      <c r="Q40" s="377"/>
      <c r="R40" s="377"/>
      <c r="S40" s="2125"/>
      <c r="T40" s="2062"/>
      <c r="U40" s="1038"/>
      <c r="V40" s="2135" t="s">
        <v>645</v>
      </c>
      <c r="W40" s="2116" t="s">
        <v>646</v>
      </c>
      <c r="X40" s="2118" t="s">
        <v>647</v>
      </c>
      <c r="Y40" s="2120"/>
      <c r="Z40" s="2118" t="s">
        <v>648</v>
      </c>
      <c r="AA40" s="2119"/>
      <c r="AB40" s="2120"/>
      <c r="AC40" s="2130"/>
      <c r="AD40" s="2135" t="s">
        <v>645</v>
      </c>
      <c r="AE40" s="2116" t="s">
        <v>646</v>
      </c>
      <c r="AF40" s="2118" t="s">
        <v>647</v>
      </c>
      <c r="AG40" s="2120"/>
      <c r="AH40" s="2118" t="s">
        <v>648</v>
      </c>
      <c r="AI40" s="2119"/>
      <c r="AJ40" s="2120"/>
      <c r="AK40" s="2130"/>
      <c r="AL40" s="2133"/>
      <c r="AM40" s="1971"/>
    </row>
    <row customHeight="1" ht="33.75">
      <c r="A41" s="1400"/>
      <c r="B41" s="1400" t="s">
        <v>216</v>
      </c>
      <c r="C41" s="1400" t="s">
        <v>217</v>
      </c>
      <c r="D41" s="1400" t="s">
        <v>218</v>
      </c>
      <c r="E41" s="1394" t="s">
        <v>649</v>
      </c>
      <c r="F41" s="1394" t="s">
        <v>650</v>
      </c>
      <c r="G41" s="1394" t="s">
        <v>651</v>
      </c>
      <c r="H41" s="1394" t="s">
        <v>652</v>
      </c>
      <c r="I41" s="1394" t="s">
        <v>653</v>
      </c>
      <c r="J41" s="1394" t="s">
        <v>654</v>
      </c>
      <c r="K41" s="1394" t="s">
        <v>655</v>
      </c>
      <c r="L41" s="1394" t="s">
        <v>630</v>
      </c>
      <c r="Q41" s="377"/>
      <c r="R41" s="377"/>
      <c r="S41" s="2125"/>
      <c r="T41" s="2062"/>
      <c r="U41" s="290"/>
      <c r="V41" s="2136"/>
      <c r="W41" s="2117"/>
      <c r="X41" s="1237" t="s">
        <v>656</v>
      </c>
      <c r="Y41" s="1237" t="s">
        <v>657</v>
      </c>
      <c r="Z41" s="1236" t="s">
        <v>658</v>
      </c>
      <c r="AA41" s="2121" t="s">
        <v>659</v>
      </c>
      <c r="AB41" s="2122"/>
      <c r="AC41" s="2131"/>
      <c r="AD41" s="2136"/>
      <c r="AE41" s="2117"/>
      <c r="AF41" s="1237" t="s">
        <v>656</v>
      </c>
      <c r="AG41" s="1237" t="s">
        <v>657</v>
      </c>
      <c r="AH41" s="1343" t="s">
        <v>658</v>
      </c>
      <c r="AI41" s="2121" t="s">
        <v>659</v>
      </c>
      <c r="AJ41" s="2122"/>
      <c r="AK41" s="2131"/>
      <c r="AL41" s="2134"/>
      <c r="AM41" s="1971"/>
    </row>
    <row s="2611" customFormat="1" customHeight="1" ht="11.25" hidden="1">
      <c r="A42" s="1400"/>
      <c r="B42" s="1400"/>
      <c r="C42" s="1400"/>
      <c r="D42" s="1400"/>
      <c r="E42" s="1400"/>
      <c r="F42" s="1400"/>
      <c r="G42" s="1400"/>
      <c r="H42" s="1400"/>
      <c r="I42" s="1400"/>
      <c r="J42" s="1400"/>
      <c r="K42" s="1400"/>
      <c r="L42" s="1394"/>
      <c r="M42" s="1392"/>
      <c r="N42" s="1392"/>
      <c r="O42" s="1392"/>
      <c r="P42" s="1264"/>
      <c r="Q42" s="1265"/>
      <c r="R42" s="1280">
        <v>1</v>
      </c>
      <c r="S42" s="1307" t="s">
        <v>193</v>
      </c>
      <c r="T42" s="1281" t="s">
        <v>104</v>
      </c>
      <c r="U42" s="1263" t="str">
        <f>OFFSET(U42,0,-1)</f>
        <v>2</v>
      </c>
      <c r="V42" s="1282">
        <f>OFFSET(V42,0,-1)+1</f>
        <v>3</v>
      </c>
      <c r="W42" s="1282"/>
      <c r="X42" s="1282">
        <f>OFFSET(X42,0,-1)+1</f>
        <v>1</v>
      </c>
      <c r="Y42" s="1282">
        <f>OFFSET(Y42,0,-1)+1</f>
        <v>2</v>
      </c>
      <c r="Z42" s="1282">
        <f>OFFSET(Z42,0,-1)+1</f>
        <v>3</v>
      </c>
      <c r="AA42" s="2123">
        <f>OFFSET(AA42,0,-1)+1</f>
        <v>4</v>
      </c>
      <c r="AB42" s="2123"/>
      <c r="AC42" s="1282">
        <f>OFFSET(AC42,0,-2)+1</f>
        <v>5</v>
      </c>
      <c r="AD42" s="1342">
        <f>OFFSET(AD42,0,-1)+1</f>
        <v>6</v>
      </c>
      <c r="AE42" s="1342"/>
      <c r="AF42" s="1342">
        <f>OFFSET(AF42,0,-1)+1</f>
        <v>1</v>
      </c>
      <c r="AG42" s="1342">
        <f>OFFSET(AG42,0,-1)+1</f>
        <v>2</v>
      </c>
      <c r="AH42" s="1342">
        <f>OFFSET(AH42,0,-1)+1</f>
        <v>3</v>
      </c>
      <c r="AI42" s="2123">
        <f>OFFSET(AI42,0,-1)+1</f>
        <v>4</v>
      </c>
      <c r="AJ42" s="2123"/>
      <c r="AK42" s="1342">
        <f>OFFSET(AK42,0,-2)+1</f>
        <v>5</v>
      </c>
      <c r="AL42" s="1263">
        <f>OFFSET(AL42,0,-1)</f>
        <v>5</v>
      </c>
      <c r="AM42" s="1282">
        <f>OFFSET(AM42,0,-1)+1</f>
        <v>6</v>
      </c>
      <c r="AN42" s="517"/>
      <c r="AO42" s="517"/>
      <c r="AP42" s="517"/>
      <c r="AQ42" s="517"/>
      <c r="AR42" s="517"/>
    </row>
    <row customHeight="1" ht="23.25">
      <c r="A43" s="1393" t="s">
        <v>231</v>
      </c>
      <c r="B43" s="1393"/>
      <c r="C43" s="1393"/>
      <c r="D43" s="1393"/>
      <c r="E43" s="2107">
        <v>1</v>
      </c>
      <c r="F43" s="1393"/>
      <c r="G43" s="1393"/>
      <c r="H43" s="1393"/>
      <c r="I43" s="1393"/>
      <c r="J43" s="1393"/>
      <c r="K43" s="1393"/>
      <c r="L43" s="1394"/>
      <c r="M43" s="1395"/>
      <c r="N43" s="1395"/>
      <c r="O43" s="1395"/>
      <c r="P43" s="357"/>
      <c r="Q43" s="356"/>
      <c r="R43" s="351"/>
      <c r="S43" s="1241">
        <f>INDEX(PT_DIFFERENTIATION_NUM_NTAR,MATCH(A43,PT_DIFFERENTIATION_NTAR_ID,0))</f>
        <v>0</v>
      </c>
      <c r="T43" s="286" t="s">
        <v>204</v>
      </c>
      <c r="U43" s="288"/>
      <c r="V43" s="2101"/>
      <c r="W43" s="2102"/>
      <c r="X43" s="2102"/>
      <c r="Y43" s="2102"/>
      <c r="Z43" s="2102"/>
      <c r="AA43" s="2102"/>
      <c r="AB43" s="2102"/>
      <c r="AC43" s="2103"/>
      <c r="AD43" s="2101" t="str">
        <f>INDEX(PT_DIFFERENTIATION_NTAR,MATCH(A43,PT_DIFFERENTIATION_NTAR_ID,0))</f>
        <v/>
      </c>
      <c r="AE43" s="2102"/>
      <c r="AF43" s="2102"/>
      <c r="AG43" s="2102"/>
      <c r="AH43" s="2102"/>
      <c r="AI43" s="2102"/>
      <c r="AJ43" s="2102"/>
      <c r="AK43" s="2102"/>
      <c r="AL43" s="2103"/>
      <c r="AM43" s="12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6"/>
      <c r="AP43" s="506" t="str">
        <f>IF(T43="","",T43)</f>
        <v>Наименование тарифа</v>
      </c>
      <c r="AQ43" s="506"/>
      <c r="AR43" s="506"/>
    </row>
    <row customHeight="1" ht="23.25">
      <c r="A44" s="1393" t="s">
        <v>231</v>
      </c>
      <c r="B44" s="1393" t="s">
        <v>232</v>
      </c>
      <c r="C44" s="1393"/>
      <c r="D44" s="1393"/>
      <c r="E44" s="2108"/>
      <c r="F44" s="2107">
        <v>1</v>
      </c>
      <c r="G44" s="1393"/>
      <c r="H44" s="1393"/>
      <c r="I44" s="1393"/>
      <c r="J44" s="1393"/>
      <c r="K44" s="1393"/>
      <c r="L44" s="1394"/>
      <c r="M44" s="1395"/>
      <c r="N44" s="1395"/>
      <c r="O44" s="1395"/>
      <c r="P44" s="528"/>
      <c r="Q44" s="348"/>
      <c r="R44" s="349"/>
      <c r="S44" s="1241" t="str">
        <f>INDEX(PT_DIFFERENTIATION_NUM_TER,MATCH(B44,PT_DIFFERENTIATION_TER_ID,0))</f>
        <v>.</v>
      </c>
      <c r="T44" s="298" t="s">
        <v>612</v>
      </c>
      <c r="U44" s="288"/>
      <c r="V44" s="2101"/>
      <c r="W44" s="2102"/>
      <c r="X44" s="2102"/>
      <c r="Y44" s="2102"/>
      <c r="Z44" s="2102"/>
      <c r="AA44" s="2102"/>
      <c r="AB44" s="2102"/>
      <c r="AC44" s="2103"/>
      <c r="AD44" s="2101" t="str">
        <f>INDEX(PT_DIFFERENTIATION_TER,MATCH(B44,PT_DIFFERENTIATION_TER_ID,0))</f>
        <v/>
      </c>
      <c r="AE44" s="2102"/>
      <c r="AF44" s="2102"/>
      <c r="AG44" s="2102"/>
      <c r="AH44" s="2102"/>
      <c r="AI44" s="2102"/>
      <c r="AJ44" s="2102"/>
      <c r="AK44" s="2102"/>
      <c r="AL44" s="2103"/>
      <c r="AM44" s="1286" t="s">
        <v>613</v>
      </c>
      <c r="AO44" s="506"/>
      <c r="AP44" s="506" t="str">
        <f>IF(T44="","",T44)</f>
        <v>Территория действия тарифа</v>
      </c>
      <c r="AQ44" s="506"/>
      <c r="AR44" s="506"/>
    </row>
    <row customHeight="1" ht="23.25">
      <c r="A45" s="1393" t="s">
        <v>231</v>
      </c>
      <c r="B45" s="1393" t="s">
        <v>232</v>
      </c>
      <c r="C45" s="1393" t="s">
        <v>233</v>
      </c>
      <c r="D45" s="1393"/>
      <c r="E45" s="2108"/>
      <c r="F45" s="2108"/>
      <c r="G45" s="2107">
        <v>1</v>
      </c>
      <c r="H45" s="1393"/>
      <c r="I45" s="1393"/>
      <c r="J45" s="1393"/>
      <c r="K45" s="1393"/>
      <c r="L45" s="1394"/>
      <c r="M45" s="1395"/>
      <c r="N45" s="1395"/>
      <c r="O45" s="1395"/>
      <c r="P45" s="350"/>
      <c r="Q45" s="348"/>
      <c r="R45" s="349"/>
      <c r="S45" s="1241" t="str">
        <f>INDEX(PT_DIFFERENTIATION_NUM_CS,MATCH(C45,PT_DIFFERENTIATION_CS_ID,0))</f>
        <v>..</v>
      </c>
      <c r="T45" s="299" t="s">
        <v>614</v>
      </c>
      <c r="U45" s="288"/>
      <c r="V45" s="2101"/>
      <c r="W45" s="2102"/>
      <c r="X45" s="2102"/>
      <c r="Y45" s="2102"/>
      <c r="Z45" s="2102"/>
      <c r="AA45" s="2102"/>
      <c r="AB45" s="2102"/>
      <c r="AC45" s="2103"/>
      <c r="AD45" s="2101" t="str">
        <f>INDEX(PT_DIFFERENTIATION_CS,MATCH(C45,PT_DIFFERENTIATION_CS_ID,0))</f>
        <v/>
      </c>
      <c r="AE45" s="2102"/>
      <c r="AF45" s="2102"/>
      <c r="AG45" s="2102"/>
      <c r="AH45" s="2102"/>
      <c r="AI45" s="2102"/>
      <c r="AJ45" s="2102"/>
      <c r="AK45" s="2102"/>
      <c r="AL45" s="2103"/>
      <c r="AM45" s="1286" t="s">
        <v>615</v>
      </c>
      <c r="AO45" s="506"/>
      <c r="AP45" s="506" t="str">
        <f>IF(T45="","",T45)</f>
        <v>Наименование системы теплоснабжения </v>
      </c>
      <c r="AQ45" s="506"/>
      <c r="AR45" s="506"/>
    </row>
    <row customHeight="1" ht="23.25">
      <c r="A46" s="1393" t="s">
        <v>231</v>
      </c>
      <c r="B46" s="1393" t="s">
        <v>232</v>
      </c>
      <c r="C46" s="1393" t="s">
        <v>233</v>
      </c>
      <c r="D46" s="1393" t="s">
        <v>234</v>
      </c>
      <c r="E46" s="2108"/>
      <c r="F46" s="2108"/>
      <c r="G46" s="2108"/>
      <c r="H46" s="2107">
        <v>1</v>
      </c>
      <c r="I46" s="1393"/>
      <c r="J46" s="1393"/>
      <c r="K46" s="1393"/>
      <c r="L46" s="1394"/>
      <c r="M46" s="1395"/>
      <c r="N46" s="1395"/>
      <c r="O46" s="1395"/>
      <c r="P46" s="350"/>
      <c r="Q46" s="348"/>
      <c r="R46" s="349"/>
      <c r="S46" s="1241" t="str">
        <f>INDEX(PT_DIFFERENTIATION_NUM_IST_TE,MATCH(D46,PT_DIFFERENTIATION_IST_TE_ID,0))</f>
        <v>...</v>
      </c>
      <c r="T46" s="300" t="s">
        <v>616</v>
      </c>
      <c r="U46" s="288"/>
      <c r="V46" s="2101"/>
      <c r="W46" s="2102"/>
      <c r="X46" s="2102"/>
      <c r="Y46" s="2102"/>
      <c r="Z46" s="2102"/>
      <c r="AA46" s="2102"/>
      <c r="AB46" s="2102"/>
      <c r="AC46" s="2103"/>
      <c r="AD46" s="2101" t="str">
        <f>INDEX(PT_DIFFERENTIATION_IST_TE,MATCH(D46,PT_DIFFERENTIATION_IST_TE_ID,0))</f>
        <v/>
      </c>
      <c r="AE46" s="2102"/>
      <c r="AF46" s="2102"/>
      <c r="AG46" s="2102"/>
      <c r="AH46" s="2102"/>
      <c r="AI46" s="2102"/>
      <c r="AJ46" s="2102"/>
      <c r="AK46" s="2102"/>
      <c r="AL46" s="2103"/>
      <c r="AM46" s="1286" t="s">
        <v>617</v>
      </c>
      <c r="AO46" s="506"/>
      <c r="AP46" s="506" t="str">
        <f>IF(T46="","",T46)</f>
        <v>Источник тепловой энергии  </v>
      </c>
      <c r="AQ46" s="506"/>
      <c r="AR46" s="506"/>
    </row>
    <row customHeight="1" ht="47.25">
      <c r="A47" s="1393" t="s">
        <v>231</v>
      </c>
      <c r="B47" s="1393" t="s">
        <v>232</v>
      </c>
      <c r="C47" s="1393" t="s">
        <v>233</v>
      </c>
      <c r="D47" s="1393" t="s">
        <v>234</v>
      </c>
      <c r="E47" s="2108"/>
      <c r="F47" s="2108"/>
      <c r="G47" s="2108"/>
      <c r="H47" s="2108"/>
      <c r="I47" s="2109" t="str">
        <f>S46&amp;".1"</f>
        <v>....1</v>
      </c>
      <c r="J47" s="1393"/>
      <c r="K47" s="1393"/>
      <c r="L47" s="1394" t="s">
        <v>618</v>
      </c>
      <c r="P47" s="2111">
        <v>1</v>
      </c>
      <c r="Q47" s="1235"/>
      <c r="R47" s="352"/>
      <c r="S47" s="1241" t="str">
        <f>$I47</f>
        <v>....1</v>
      </c>
      <c r="T47" s="273" t="s">
        <v>619</v>
      </c>
      <c r="U47" s="288"/>
      <c r="V47" s="2095"/>
      <c r="W47" s="2096"/>
      <c r="X47" s="2096"/>
      <c r="Y47" s="2096"/>
      <c r="Z47" s="2096"/>
      <c r="AA47" s="2096"/>
      <c r="AB47" s="2096"/>
      <c r="AC47" s="2097"/>
      <c r="AD47" s="2095"/>
      <c r="AE47" s="2096"/>
      <c r="AF47" s="2096"/>
      <c r="AG47" s="2096"/>
      <c r="AH47" s="2096"/>
      <c r="AI47" s="2096"/>
      <c r="AJ47" s="2096"/>
      <c r="AK47" s="2096"/>
      <c r="AL47" s="2097"/>
      <c r="AM47" s="1286" t="s">
        <v>620</v>
      </c>
      <c r="AO47" s="506"/>
      <c r="AP47" s="506" t="str">
        <f>IF(T47="","",T47)</f>
        <v>Схема подключения теплопотребляющей установки к коллектору источника тепловой энергии</v>
      </c>
      <c r="AQ47" s="506"/>
      <c r="AR47" s="506"/>
    </row>
    <row customHeight="1" ht="23.25">
      <c r="A48" s="1393" t="s">
        <v>231</v>
      </c>
      <c r="B48" s="1393" t="s">
        <v>232</v>
      </c>
      <c r="C48" s="1393" t="s">
        <v>233</v>
      </c>
      <c r="D48" s="1393" t="s">
        <v>234</v>
      </c>
      <c r="E48" s="2108"/>
      <c r="F48" s="2108"/>
      <c r="G48" s="2108"/>
      <c r="H48" s="2108"/>
      <c r="I48" s="2110"/>
      <c r="J48" s="2109" t="str">
        <f>I47&amp;".1"</f>
        <v>....1.1</v>
      </c>
      <c r="K48" s="1393"/>
      <c r="L48" s="1394" t="s">
        <v>621</v>
      </c>
      <c r="P48" s="2111"/>
      <c r="Q48" s="2111">
        <v>1</v>
      </c>
      <c r="R48" s="353"/>
      <c r="S48" s="1241" t="str">
        <f>$J48</f>
        <v>....1.1</v>
      </c>
      <c r="T48" s="274" t="s">
        <v>622</v>
      </c>
      <c r="U48" s="288"/>
      <c r="V48" s="2095"/>
      <c r="W48" s="2096"/>
      <c r="X48" s="2096"/>
      <c r="Y48" s="2096"/>
      <c r="Z48" s="2096"/>
      <c r="AA48" s="2096"/>
      <c r="AB48" s="2096"/>
      <c r="AC48" s="2097"/>
      <c r="AD48" s="2095"/>
      <c r="AE48" s="2096"/>
      <c r="AF48" s="2096"/>
      <c r="AG48" s="2096"/>
      <c r="AH48" s="2096"/>
      <c r="AI48" s="2096"/>
      <c r="AJ48" s="2096"/>
      <c r="AK48" s="2096"/>
      <c r="AL48" s="2097"/>
      <c r="AM48" s="1286" t="s">
        <v>623</v>
      </c>
      <c r="AO48" s="506"/>
      <c r="AP48" s="506" t="str">
        <f>IF(T48="","",T48)</f>
        <v>Группа потребителей</v>
      </c>
      <c r="AQ48" s="506"/>
      <c r="AR48" s="506"/>
    </row>
    <row customHeight="1" ht="23.25">
      <c r="A49" s="1393" t="s">
        <v>231</v>
      </c>
      <c r="B49" s="1393" t="s">
        <v>232</v>
      </c>
      <c r="C49" s="1393" t="s">
        <v>233</v>
      </c>
      <c r="D49" s="1393" t="s">
        <v>234</v>
      </c>
      <c r="E49" s="2108"/>
      <c r="F49" s="2108"/>
      <c r="G49" s="2108"/>
      <c r="H49" s="2108"/>
      <c r="I49" s="2110"/>
      <c r="J49" s="2110"/>
      <c r="K49" s="2109" t="str">
        <f>J48&amp;".1"</f>
        <v>....1.1.1</v>
      </c>
      <c r="L49" s="1394" t="s">
        <v>624</v>
      </c>
      <c r="P49" s="2111"/>
      <c r="Q49" s="2111"/>
      <c r="R49" s="353">
        <v>1</v>
      </c>
      <c r="S49" s="1241" t="str">
        <f>$K49</f>
        <v>....1.1.1</v>
      </c>
      <c r="T49" s="1377"/>
      <c r="U49" s="288"/>
      <c r="V49" s="757"/>
      <c r="W49" s="320"/>
      <c r="X49" s="757"/>
      <c r="Y49" s="1285"/>
      <c r="Z49" s="2112"/>
      <c r="AA49" s="1981" t="s">
        <v>63</v>
      </c>
      <c r="AB49" s="2112"/>
      <c r="AC49" s="1981" t="s">
        <v>63</v>
      </c>
      <c r="AD49" s="757"/>
      <c r="AE49" s="320"/>
      <c r="AF49" s="757"/>
      <c r="AG49" s="1285"/>
      <c r="AH49" s="2112"/>
      <c r="AI49" s="1981" t="s">
        <v>63</v>
      </c>
      <c r="AJ49" s="2114"/>
      <c r="AK49" s="1981" t="s">
        <v>63</v>
      </c>
      <c r="AL49" s="1378"/>
      <c r="AM49" s="2137" t="s">
        <v>625</v>
      </c>
      <c r="AN49" s="517">
        <f>STRCHECKDATE(V50:AL50)</f>
      </c>
      <c r="AO49" s="506"/>
      <c r="AP49" s="506" t="str">
        <f>IF(T49="","",T49)</f>
        <v/>
      </c>
      <c r="AQ49" s="506"/>
      <c r="AR49" s="506"/>
    </row>
    <row customHeight="1" ht="0.75">
      <c r="A50" s="1393" t="s">
        <v>231</v>
      </c>
      <c r="B50" s="1393" t="s">
        <v>232</v>
      </c>
      <c r="C50" s="1393" t="s">
        <v>233</v>
      </c>
      <c r="D50" s="1393" t="s">
        <v>234</v>
      </c>
      <c r="E50" s="2108"/>
      <c r="F50" s="2108"/>
      <c r="G50" s="2108"/>
      <c r="H50" s="2108"/>
      <c r="I50" s="2110"/>
      <c r="J50" s="2110"/>
      <c r="K50" s="2109"/>
      <c r="L50" s="1394"/>
      <c r="P50" s="2111"/>
      <c r="Q50" s="2111"/>
      <c r="R50" s="353"/>
      <c r="S50" s="1239"/>
      <c r="T50" s="288"/>
      <c r="U50" s="288"/>
      <c r="V50" s="320"/>
      <c r="W50" s="320"/>
      <c r="X50" s="320"/>
      <c r="Y50" s="324" t="str">
        <f>Z49&amp;"-"&amp;AB49</f>
        <v>-</v>
      </c>
      <c r="Z50" s="2113"/>
      <c r="AA50" s="1981"/>
      <c r="AB50" s="2113"/>
      <c r="AC50" s="1981"/>
      <c r="AD50" s="320"/>
      <c r="AE50" s="320"/>
      <c r="AF50" s="320"/>
      <c r="AG50" s="324" t="str">
        <f>AH49&amp;"-"&amp;AJ49</f>
        <v>-</v>
      </c>
      <c r="AH50" s="2113"/>
      <c r="AI50" s="1981"/>
      <c r="AJ50" s="2115"/>
      <c r="AK50" s="1981"/>
      <c r="AL50" s="1379"/>
      <c r="AM50" s="2138"/>
      <c r="AO50" s="506"/>
      <c r="AP50" s="506" t="str">
        <f>IF(T50="","",T50)</f>
        <v/>
      </c>
      <c r="AQ50" s="506"/>
      <c r="AR50" s="506"/>
    </row>
    <row customHeight="1" ht="11.25">
      <c r="A51" s="1393" t="s">
        <v>231</v>
      </c>
      <c r="B51" s="1393" t="s">
        <v>232</v>
      </c>
      <c r="C51" s="1393" t="s">
        <v>233</v>
      </c>
      <c r="D51" s="1393" t="s">
        <v>234</v>
      </c>
      <c r="E51" s="2108"/>
      <c r="F51" s="2108"/>
      <c r="G51" s="2108"/>
      <c r="H51" s="2108"/>
      <c r="I51" s="2110"/>
      <c r="J51" s="2109"/>
      <c r="K51" s="1393"/>
      <c r="L51" s="1394"/>
      <c r="P51" s="2111"/>
      <c r="Q51" s="2111"/>
      <c r="R51" s="352"/>
      <c r="S51" s="1308"/>
      <c r="T51" s="276" t="s">
        <v>626</v>
      </c>
      <c r="U51" s="367"/>
      <c r="V51" s="367"/>
      <c r="W51" s="367"/>
      <c r="X51" s="367"/>
      <c r="Y51" s="367"/>
      <c r="Z51" s="367"/>
      <c r="AA51" s="367"/>
      <c r="AB51" s="367"/>
      <c r="AC51" s="367"/>
      <c r="AD51" s="367"/>
      <c r="AE51" s="367"/>
      <c r="AF51" s="367"/>
      <c r="AG51" s="367"/>
      <c r="AH51" s="367"/>
      <c r="AI51" s="367"/>
      <c r="AJ51" s="367"/>
      <c r="AK51" s="367"/>
      <c r="AL51" s="319"/>
      <c r="AM51" s="2139"/>
      <c r="AO51" s="506"/>
      <c r="AP51" s="506" t="str">
        <f>IF(T51="","",T51)</f>
        <v>Добавить вид теплоносителя (параметры теплоносителя)</v>
      </c>
      <c r="AQ51" s="506"/>
      <c r="AR51" s="506"/>
    </row>
    <row customHeight="1" ht="11.25">
      <c r="A52" s="1393" t="s">
        <v>231</v>
      </c>
      <c r="B52" s="1393" t="s">
        <v>232</v>
      </c>
      <c r="C52" s="1393" t="s">
        <v>233</v>
      </c>
      <c r="D52" s="1393" t="s">
        <v>234</v>
      </c>
      <c r="E52" s="2108"/>
      <c r="F52" s="2108"/>
      <c r="G52" s="2108"/>
      <c r="H52" s="2108"/>
      <c r="I52" s="2109"/>
      <c r="J52" s="1393"/>
      <c r="K52" s="1393"/>
      <c r="L52" s="1394"/>
      <c r="P52" s="2111"/>
      <c r="Q52" s="1235"/>
      <c r="R52" s="352"/>
      <c r="S52" s="1308"/>
      <c r="T52" s="275" t="s">
        <v>627</v>
      </c>
      <c r="U52" s="367"/>
      <c r="V52" s="367"/>
      <c r="W52" s="367"/>
      <c r="X52" s="367"/>
      <c r="Y52" s="367"/>
      <c r="Z52" s="367"/>
      <c r="AA52" s="367"/>
      <c r="AB52" s="367"/>
      <c r="AC52" s="366"/>
      <c r="AD52" s="367"/>
      <c r="AE52" s="367"/>
      <c r="AF52" s="367"/>
      <c r="AG52" s="367"/>
      <c r="AH52" s="367"/>
      <c r="AI52" s="367"/>
      <c r="AJ52" s="367"/>
      <c r="AK52" s="366"/>
      <c r="AL52" s="367"/>
      <c r="AM52" s="291"/>
      <c r="AO52" s="506"/>
      <c r="AP52" s="506" t="str">
        <f>IF(T52="","",T52)</f>
        <v>Добавить группу потребителей</v>
      </c>
      <c r="AQ52" s="506"/>
      <c r="AR52" s="506"/>
    </row>
    <row customHeight="1" ht="14.25">
      <c r="A53" s="1393" t="s">
        <v>231</v>
      </c>
      <c r="B53" s="1393" t="s">
        <v>232</v>
      </c>
      <c r="C53" s="1393" t="s">
        <v>233</v>
      </c>
      <c r="D53" s="1393" t="s">
        <v>234</v>
      </c>
      <c r="E53" s="2108"/>
      <c r="F53" s="2108"/>
      <c r="G53" s="2108"/>
      <c r="H53" s="2107"/>
      <c r="I53" s="1393"/>
      <c r="J53" s="1393"/>
      <c r="K53" s="1393"/>
      <c r="L53" s="1394"/>
      <c r="M53" s="1395"/>
      <c r="N53" s="1395"/>
      <c r="O53" s="543"/>
      <c r="P53" s="356"/>
      <c r="Q53" s="376"/>
      <c r="R53" s="351"/>
      <c r="S53" s="1308"/>
      <c r="T53" s="364" t="s">
        <v>628</v>
      </c>
      <c r="U53" s="367"/>
      <c r="V53" s="367"/>
      <c r="W53" s="367"/>
      <c r="X53" s="367"/>
      <c r="Y53" s="367"/>
      <c r="Z53" s="367"/>
      <c r="AA53" s="367"/>
      <c r="AB53" s="367"/>
      <c r="AC53" s="366"/>
      <c r="AD53" s="367"/>
      <c r="AE53" s="367"/>
      <c r="AF53" s="367"/>
      <c r="AG53" s="367"/>
      <c r="AH53" s="367"/>
      <c r="AI53" s="367"/>
      <c r="AJ53" s="367"/>
      <c r="AK53" s="366"/>
      <c r="AL53" s="367"/>
      <c r="AM53" s="291"/>
      <c r="AO53" s="506"/>
      <c r="AP53" s="506" t="str">
        <f>IF(T53="","",T53)</f>
        <v>Добавить схему подключения</v>
      </c>
      <c r="AQ53" s="506"/>
      <c r="AR53" s="506"/>
    </row>
    <row s="3314" customFormat="1" customHeight="1" ht="0.75">
      <c r="A54" s="1373" t="s">
        <v>231</v>
      </c>
      <c r="B54" s="1373" t="s">
        <v>232</v>
      </c>
      <c r="C54" s="1373" t="s">
        <v>233</v>
      </c>
      <c r="D54" s="1344"/>
      <c r="E54" s="2108"/>
      <c r="F54" s="2108"/>
      <c r="G54" s="2107"/>
      <c r="H54" s="1344"/>
      <c r="I54" s="1344"/>
      <c r="J54" s="1344"/>
      <c r="K54" s="1344"/>
      <c r="L54" s="1369"/>
      <c r="M54" s="1345"/>
      <c r="N54" s="1345"/>
      <c r="P54" s="1346"/>
      <c r="Q54" s="1347"/>
      <c r="R54" s="1346"/>
      <c r="S54" s="1352"/>
      <c r="T54" s="1355" t="s">
        <v>254</v>
      </c>
      <c r="U54" s="1354"/>
      <c r="V54" s="1354"/>
      <c r="W54" s="1354"/>
      <c r="X54" s="1354"/>
      <c r="Y54" s="1354"/>
      <c r="Z54" s="1354"/>
      <c r="AA54" s="1354"/>
      <c r="AB54" s="1354"/>
      <c r="AC54" s="1354"/>
      <c r="AD54" s="1354"/>
      <c r="AE54" s="1354"/>
      <c r="AF54" s="1354"/>
      <c r="AG54" s="1354"/>
      <c r="AH54" s="1354"/>
      <c r="AI54" s="1354"/>
      <c r="AJ54" s="1354"/>
      <c r="AK54" s="1354"/>
      <c r="AL54" s="1354"/>
      <c r="AM54" s="1354"/>
      <c r="AO54" s="795"/>
      <c r="AP54" s="795" t="str">
        <f>IF(T54="","",T54)</f>
        <v>Добавить источник для дифференциации</v>
      </c>
      <c r="AQ54" s="795"/>
      <c r="AR54" s="795"/>
    </row>
    <row s="3314" customFormat="1" customHeight="1" ht="0.75">
      <c r="A55" s="1373" t="s">
        <v>231</v>
      </c>
      <c r="B55" s="1373" t="s">
        <v>232</v>
      </c>
      <c r="C55" s="1344"/>
      <c r="D55" s="1344"/>
      <c r="E55" s="2108"/>
      <c r="F55" s="2107"/>
      <c r="G55" s="1344"/>
      <c r="H55" s="1344"/>
      <c r="I55" s="1344"/>
      <c r="J55" s="1344"/>
      <c r="K55" s="1344"/>
      <c r="L55" s="1369"/>
      <c r="M55" s="1351"/>
      <c r="N55" s="1351"/>
      <c r="P55" s="1346"/>
      <c r="Q55" s="1347"/>
      <c r="R55" s="1346"/>
      <c r="S55" s="1352"/>
      <c r="T55" s="1355" t="s">
        <v>255</v>
      </c>
      <c r="U55" s="1354"/>
      <c r="V55" s="1354"/>
      <c r="W55" s="1354"/>
      <c r="X55" s="1354"/>
      <c r="Y55" s="1354"/>
      <c r="Z55" s="1354"/>
      <c r="AA55" s="1354"/>
      <c r="AB55" s="1354"/>
      <c r="AC55" s="1354"/>
      <c r="AD55" s="1354"/>
      <c r="AE55" s="1354"/>
      <c r="AF55" s="1354"/>
      <c r="AG55" s="1354"/>
      <c r="AH55" s="1354"/>
      <c r="AI55" s="1354"/>
      <c r="AJ55" s="1354"/>
      <c r="AK55" s="1354"/>
      <c r="AL55" s="1354"/>
      <c r="AM55" s="1354"/>
      <c r="AO55" s="795"/>
      <c r="AP55" s="795" t="str">
        <f>IF(T55="","",T55)</f>
        <v>Добавить централизованную систему для дифференциации</v>
      </c>
      <c r="AQ55" s="795"/>
      <c r="AR55" s="795"/>
    </row>
    <row s="2612" customFormat="1" customHeight="1" ht="0.75">
      <c r="A56" s="1373" t="s">
        <v>231</v>
      </c>
      <c r="B56" s="1373"/>
      <c r="C56" s="1373"/>
      <c r="D56" s="1373"/>
      <c r="E56" s="2107"/>
      <c r="F56" s="1373"/>
      <c r="G56" s="1373"/>
      <c r="H56" s="1373"/>
      <c r="I56" s="1373"/>
      <c r="J56" s="1373"/>
      <c r="K56" s="1373"/>
      <c r="L56" s="1376"/>
      <c r="M56" s="1351"/>
      <c r="N56" s="1351"/>
      <c r="O56" s="524"/>
      <c r="P56" s="385"/>
      <c r="Q56" s="1374"/>
      <c r="R56" s="385"/>
      <c r="S56" s="1352"/>
      <c r="T56" s="1355" t="s">
        <v>329</v>
      </c>
      <c r="U56" s="1354"/>
      <c r="V56" s="1354"/>
      <c r="W56" s="1354"/>
      <c r="X56" s="1354"/>
      <c r="Y56" s="1354"/>
      <c r="Z56" s="1354"/>
      <c r="AA56" s="1354"/>
      <c r="AB56" s="1354"/>
      <c r="AC56" s="1354"/>
      <c r="AD56" s="1354"/>
      <c r="AE56" s="1354"/>
      <c r="AF56" s="1354"/>
      <c r="AG56" s="1354"/>
      <c r="AH56" s="1354"/>
      <c r="AI56" s="1354"/>
      <c r="AJ56" s="1354"/>
      <c r="AK56" s="1354"/>
      <c r="AL56" s="1354"/>
      <c r="AM56" s="1354"/>
      <c r="AO56" s="506"/>
      <c r="AP56" s="506" t="str">
        <f>IF(T56="","",T56)</f>
        <v>Добавить территорию для дифференциации</v>
      </c>
      <c r="AQ56" s="506"/>
      <c r="AR56" s="506"/>
    </row>
    <row s="3314" customFormat="1" customHeight="1" ht="0.75">
      <c r="A57" s="1344"/>
      <c r="B57" s="1344"/>
      <c r="C57" s="1344"/>
      <c r="D57" s="1344"/>
      <c r="E57" s="1373"/>
      <c r="F57" s="1344"/>
      <c r="G57" s="1344"/>
      <c r="H57" s="1344"/>
      <c r="I57" s="1344"/>
      <c r="J57" s="1344"/>
      <c r="K57" s="1344"/>
      <c r="L57" s="1369"/>
      <c r="M57" s="1351"/>
      <c r="N57" s="1351"/>
      <c r="P57" s="1346"/>
      <c r="Q57" s="1347"/>
      <c r="R57" s="1346"/>
      <c r="S57" s="1352"/>
      <c r="T57" s="1355" t="s">
        <v>398</v>
      </c>
      <c r="U57" s="1354"/>
      <c r="V57" s="1354"/>
      <c r="W57" s="1354"/>
      <c r="X57" s="1354"/>
      <c r="Y57" s="1354"/>
      <c r="Z57" s="1354"/>
      <c r="AA57" s="1354"/>
      <c r="AB57" s="1354"/>
      <c r="AC57" s="1354"/>
      <c r="AD57" s="1354"/>
      <c r="AE57" s="1354"/>
      <c r="AF57" s="1354"/>
      <c r="AG57" s="1354"/>
      <c r="AH57" s="1354"/>
      <c r="AI57" s="1354"/>
      <c r="AJ57" s="1354"/>
      <c r="AK57" s="1354"/>
      <c r="AL57" s="1354"/>
      <c r="AM57" s="1354"/>
      <c r="AO57" s="795"/>
      <c r="AP57" s="795" t="str">
        <f>IF(T57="","",T57)</f>
        <v>Добавить наименование тарифа</v>
      </c>
      <c r="AQ57" s="795"/>
      <c r="AR57" s="795"/>
    </row>
    <row customHeight="1" ht="11.25">
      <c r="M58" s="1168"/>
      <c r="N58" s="1168"/>
      <c r="O58" s="543"/>
      <c r="P58" s="1163"/>
      <c r="Q58" s="1163"/>
      <c r="R58" s="1163"/>
      <c r="S58" s="1163"/>
      <c r="AN58" s="1163"/>
      <c r="AO58" s="1163"/>
      <c r="AP58" s="1163"/>
      <c r="AQ58" s="1163"/>
      <c r="AR58" s="1163"/>
    </row>
    <row customHeight="1" ht="27">
      <c r="O59" s="543"/>
      <c r="S59" s="1273"/>
      <c r="T59" s="2106"/>
      <c r="U59" s="2106"/>
      <c r="V59" s="2106"/>
      <c r="W59" s="2106"/>
      <c r="X59" s="2106"/>
      <c r="Y59" s="2106"/>
      <c r="Z59" s="2106"/>
      <c r="AA59" s="2106"/>
      <c r="AB59" s="2106"/>
      <c r="AC59" s="2106"/>
      <c r="AD59" s="2106"/>
      <c r="AE59" s="2106"/>
      <c r="AF59" s="2106"/>
      <c r="AG59" s="2106"/>
      <c r="AH59" s="2106"/>
      <c r="AI59" s="2106"/>
      <c r="AJ59" s="2106"/>
      <c r="AK59" s="2106"/>
      <c r="AL59" s="2106"/>
      <c r="AM59" s="2106"/>
    </row>
    <row customHeight="1" ht="64.5">
      <c r="O60" s="543"/>
      <c r="P60" s="1333"/>
      <c r="T60" s="2106"/>
      <c r="U60" s="2106"/>
      <c r="V60" s="2106"/>
      <c r="W60" s="2106"/>
      <c r="X60" s="2106"/>
      <c r="Y60" s="2106"/>
      <c r="Z60" s="2106"/>
      <c r="AA60" s="2106"/>
      <c r="AB60" s="2106"/>
      <c r="AC60" s="2106"/>
      <c r="AD60" s="2106"/>
      <c r="AE60" s="2106"/>
      <c r="AF60" s="2106"/>
      <c r="AG60" s="2106"/>
      <c r="AH60" s="2106"/>
      <c r="AI60" s="2106"/>
      <c r="AJ60" s="2106"/>
      <c r="AK60" s="2106"/>
      <c r="AL60" s="2106"/>
      <c r="AM60" s="2106"/>
    </row>
    <row customHeight="1" ht="14.25">
      <c r="O61" s="543"/>
    </row>
    <row customHeight="1" ht="18">
      <c r="O62" s="543"/>
      <c r="P62" s="1358"/>
      <c r="S62" s="1273"/>
      <c r="T62" s="2106"/>
      <c r="U62" s="2106"/>
      <c r="V62" s="2106"/>
      <c r="W62" s="2106"/>
      <c r="X62" s="2106"/>
      <c r="Y62" s="2106"/>
      <c r="Z62" s="2106"/>
      <c r="AA62" s="2106"/>
      <c r="AB62" s="2106"/>
      <c r="AC62" s="2106"/>
      <c r="AD62" s="2106"/>
      <c r="AE62" s="2106"/>
      <c r="AF62" s="2106"/>
      <c r="AG62" s="2106"/>
      <c r="AH62" s="2106"/>
      <c r="AI62" s="2106"/>
      <c r="AJ62" s="2106"/>
      <c r="AK62" s="2106"/>
      <c r="AL62" s="2106"/>
      <c r="AM62" s="2106"/>
    </row>
    <row customHeight="1" ht="18">
      <c r="O63" s="543"/>
      <c r="P63" s="1358"/>
      <c r="T63" s="2106"/>
      <c r="U63" s="2106"/>
      <c r="V63" s="2106"/>
      <c r="W63" s="2106"/>
      <c r="X63" s="2106"/>
      <c r="Y63" s="2106"/>
      <c r="Z63" s="2106"/>
      <c r="AA63" s="2106"/>
      <c r="AB63" s="2106"/>
      <c r="AC63" s="2106"/>
      <c r="AD63" s="2106"/>
      <c r="AE63" s="2106"/>
      <c r="AF63" s="2106"/>
      <c r="AG63" s="2106"/>
      <c r="AH63" s="2106"/>
      <c r="AI63" s="2106"/>
      <c r="AJ63" s="2106"/>
      <c r="AK63" s="2106"/>
      <c r="AL63" s="2106"/>
      <c r="AM63" s="2106"/>
    </row>
    <row customHeight="1" ht="27.75">
      <c r="O64" s="543"/>
      <c r="P64" s="1358"/>
      <c r="S64" s="1273"/>
      <c r="T64" s="2106"/>
      <c r="U64" s="2106"/>
      <c r="V64" s="2106"/>
      <c r="W64" s="2106"/>
      <c r="X64" s="2106"/>
      <c r="Y64" s="2106"/>
      <c r="Z64" s="2106"/>
      <c r="AA64" s="2106"/>
      <c r="AB64" s="2106"/>
      <c r="AC64" s="2106"/>
      <c r="AD64" s="2106"/>
      <c r="AE64" s="2106"/>
      <c r="AF64" s="2106"/>
      <c r="AG64" s="2106"/>
      <c r="AH64" s="2106"/>
      <c r="AI64" s="2106"/>
      <c r="AJ64" s="2106"/>
      <c r="AK64" s="2106"/>
      <c r="AL64" s="2106"/>
      <c r="AM64" s="2106"/>
    </row>
  </sheetData>
  <sheetProtection formatColumns="0" formatRows="0" autoFilter="0" sort="0" insertRows="0" insertColumns="1" deleteRows="0" deleteColumns="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8EA74E-DBB6-3D46-F82F-40039290BDF9}"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2.00390625" hidden="1" customWidth="1"/>
    <col min="10" max="10" style="2683" width="9.8515625" hidden="1" customWidth="1"/>
    <col min="11" max="11" style="2683" width="11.421875" hidden="1" customWidth="1"/>
    <col min="12" max="12" style="3333" width="19.140625" hidden="1" customWidth="1"/>
    <col min="13" max="14" style="3334" width="12.28125" hidden="1" customWidth="1"/>
    <col min="15" max="15" style="3334" width="23.421875" hidden="1" customWidth="1"/>
    <col min="16" max="16" style="3355" width="3.7109375" customWidth="1"/>
    <col min="17" max="18" style="3411" width="3.7109375" customWidth="1"/>
    <col min="19" max="19" style="3412" width="12.7109375" customWidth="1"/>
    <col min="20" max="20" style="2984" width="32.00390625" customWidth="1"/>
    <col min="21" max="21" style="2984" width="0.140625" customWidth="1"/>
    <col min="22" max="22" style="2984" width="24.7109375" hidden="1" customWidth="1"/>
    <col min="23" max="23" style="2984" width="0.140625" hidden="1" customWidth="1"/>
    <col min="24" max="25" style="2984" width="24.7109375" hidden="1" customWidth="1"/>
    <col min="26" max="26" style="2984" width="11.7109375" hidden="1" customWidth="1"/>
    <col min="27" max="27" style="2984" width="3.7109375" hidden="1" customWidth="1"/>
    <col min="28" max="28" style="2984" width="11.7109375" hidden="1" customWidth="1"/>
    <col min="29" max="29" style="2984" width="8.57421875" hidden="1" customWidth="1"/>
    <col min="30" max="30" style="2984" width="24.7109375" customWidth="1"/>
    <col min="31" max="31" style="2984" width="0.140625" customWidth="1"/>
    <col min="32" max="33" style="2984" width="24.7109375" customWidth="1"/>
    <col min="34" max="34" style="2984" width="11.7109375" customWidth="1"/>
    <col min="35" max="35" style="2984" width="3.7109375" customWidth="1"/>
    <col min="36" max="36" style="2984" width="11.7109375" customWidth="1"/>
    <col min="37" max="37" style="2984" width="8.57421875" hidden="1" customWidth="1"/>
    <col min="38" max="38" style="2984" width="4.7109375" customWidth="1"/>
    <col min="39" max="39" style="2984" width="115.7109375" customWidth="1"/>
    <col min="40" max="41" style="2612" width="10.57421875"/>
    <col min="42" max="42" style="2612" width="11.140625" customWidth="1"/>
    <col min="43" max="44" style="2612" width="10.57421875"/>
  </cols>
  <sheetData>
    <row customHeight="1" ht="14.25" hidden="1">
      <c r="Y1" s="323"/>
      <c r="Z1" s="323"/>
      <c r="AG1" s="323"/>
      <c r="AH1" s="323"/>
    </row>
    <row customHeight="1" ht="21" hidden="1">
      <c r="A2" s="1393"/>
      <c r="B2" s="1393"/>
      <c r="C2" s="1393"/>
      <c r="D2" s="1393"/>
      <c r="E2" s="2107">
        <v>1</v>
      </c>
      <c r="F2" s="1393"/>
      <c r="G2" s="1393"/>
      <c r="H2" s="1393"/>
      <c r="I2" s="1393"/>
      <c r="J2" s="1393"/>
      <c r="K2" s="1393"/>
      <c r="L2" s="1394"/>
      <c r="M2" s="1395"/>
      <c r="N2" s="1395"/>
      <c r="O2" s="1395"/>
      <c r="P2" s="357"/>
      <c r="Q2" s="356"/>
      <c r="R2" s="351"/>
      <c r="S2" s="1366">
        <f>INDEX(PT_DIFFERENTIATION_NUM_NTAR,MATCH(A2,PT_DIFFERENTIATION_NTAR_ID,0))</f>
      </c>
      <c r="T2" s="286" t="s">
        <v>204</v>
      </c>
      <c r="U2" s="288"/>
      <c r="V2" s="2101"/>
      <c r="W2" s="2102"/>
      <c r="X2" s="2102"/>
      <c r="Y2" s="2102"/>
      <c r="Z2" s="2102"/>
      <c r="AA2" s="2102"/>
      <c r="AB2" s="2102"/>
      <c r="AC2" s="2103"/>
      <c r="AD2" s="2101">
        <f>INDEX(PT_DIFFERENTIATION_NTAR,MATCH(A2,PT_DIFFERENTIATION_NTAR_ID,0))</f>
      </c>
      <c r="AE2" s="2102"/>
      <c r="AF2" s="2102"/>
      <c r="AG2" s="2102"/>
      <c r="AH2" s="2102"/>
      <c r="AI2" s="2102"/>
      <c r="AJ2" s="2102"/>
      <c r="AK2" s="2102"/>
      <c r="AL2" s="2103"/>
      <c r="AM2" s="1286" t="s">
        <v>611</v>
      </c>
      <c r="AO2" s="506"/>
      <c r="AP2" s="506" t="str">
        <f>IF(T2="","",T2)</f>
        <v>Наименование тарифа</v>
      </c>
      <c r="AQ2" s="506"/>
      <c r="AR2" s="506"/>
    </row>
    <row customHeight="1" ht="21" hidden="1">
      <c r="A3" s="1393"/>
      <c r="B3" s="1393"/>
      <c r="C3" s="1393"/>
      <c r="D3" s="1393"/>
      <c r="E3" s="2108"/>
      <c r="F3" s="2107">
        <v>1</v>
      </c>
      <c r="G3" s="1393"/>
      <c r="H3" s="1393"/>
      <c r="I3" s="1393"/>
      <c r="J3" s="1393"/>
      <c r="K3" s="1393"/>
      <c r="L3" s="1394"/>
      <c r="M3" s="1395"/>
      <c r="N3" s="1395"/>
      <c r="O3" s="1395"/>
      <c r="P3" s="1362"/>
      <c r="Q3" s="348"/>
      <c r="R3" s="349"/>
      <c r="S3" s="1366">
        <f>INDEX(PT_DIFFERENTIATION_NUM_TER,MATCH(B3,PT_DIFFERENTIATION_TER_ID,0))</f>
      </c>
      <c r="T3" s="298" t="s">
        <v>612</v>
      </c>
      <c r="U3" s="288"/>
      <c r="V3" s="2101"/>
      <c r="W3" s="2102"/>
      <c r="X3" s="2102"/>
      <c r="Y3" s="2102"/>
      <c r="Z3" s="2102"/>
      <c r="AA3" s="2102"/>
      <c r="AB3" s="2102"/>
      <c r="AC3" s="2103"/>
      <c r="AD3" s="2101">
        <f>INDEX(PT_DIFFERENTIATION_TER,MATCH(B3,PT_DIFFERENTIATION_TER_ID,0))</f>
      </c>
      <c r="AE3" s="2102"/>
      <c r="AF3" s="2102"/>
      <c r="AG3" s="2102"/>
      <c r="AH3" s="2102"/>
      <c r="AI3" s="2102"/>
      <c r="AJ3" s="2102"/>
      <c r="AK3" s="2102"/>
      <c r="AL3" s="2103"/>
      <c r="AM3" s="1286" t="s">
        <v>613</v>
      </c>
      <c r="AO3" s="506"/>
      <c r="AP3" s="506" t="str">
        <f>IF(T3="","",T3)</f>
        <v>Территория действия тарифа</v>
      </c>
      <c r="AQ3" s="506"/>
      <c r="AR3" s="506"/>
    </row>
    <row customHeight="1" ht="23.25" hidden="1">
      <c r="A4" s="1393"/>
      <c r="B4" s="1393"/>
      <c r="C4" s="1393"/>
      <c r="D4" s="1393"/>
      <c r="E4" s="2108"/>
      <c r="F4" s="2108"/>
      <c r="G4" s="2107">
        <v>1</v>
      </c>
      <c r="H4" s="1393"/>
      <c r="I4" s="1393"/>
      <c r="J4" s="1393"/>
      <c r="K4" s="1393"/>
      <c r="L4" s="1394"/>
      <c r="M4" s="1395"/>
      <c r="N4" s="1395"/>
      <c r="O4" s="1395"/>
      <c r="P4" s="350"/>
      <c r="Q4" s="348"/>
      <c r="R4" s="349"/>
      <c r="S4" s="1366">
        <f>INDEX(PT_DIFFERENTIATION_NUM_CS,MATCH(C4,PT_DIFFERENTIATION_CS_ID,0))</f>
      </c>
      <c r="T4" s="299" t="s">
        <v>614</v>
      </c>
      <c r="U4" s="288"/>
      <c r="V4" s="2101"/>
      <c r="W4" s="2102"/>
      <c r="X4" s="2102"/>
      <c r="Y4" s="2102"/>
      <c r="Z4" s="2102"/>
      <c r="AA4" s="2102"/>
      <c r="AB4" s="2102"/>
      <c r="AC4" s="2103"/>
      <c r="AD4" s="2101">
        <f>INDEX(PT_DIFFERENTIATION_CS,MATCH(C4,PT_DIFFERENTIATION_CS_ID,0))</f>
      </c>
      <c r="AE4" s="2102"/>
      <c r="AF4" s="2102"/>
      <c r="AG4" s="2102"/>
      <c r="AH4" s="2102"/>
      <c r="AI4" s="2102"/>
      <c r="AJ4" s="2102"/>
      <c r="AK4" s="2102"/>
      <c r="AL4" s="2103"/>
      <c r="AM4" s="1286" t="s">
        <v>615</v>
      </c>
      <c r="AO4" s="506"/>
      <c r="AP4" s="506" t="str">
        <f>IF(T4="","",T4)</f>
        <v>Наименование системы теплоснабжения </v>
      </c>
      <c r="AQ4" s="506"/>
      <c r="AR4" s="506"/>
    </row>
    <row customHeight="1" ht="21" hidden="1">
      <c r="A5" s="1393"/>
      <c r="B5" s="1393"/>
      <c r="C5" s="1393"/>
      <c r="D5" s="1393"/>
      <c r="E5" s="2108"/>
      <c r="F5" s="2108"/>
      <c r="G5" s="2108"/>
      <c r="H5" s="2107">
        <v>1</v>
      </c>
      <c r="I5" s="1393"/>
      <c r="J5" s="1393"/>
      <c r="K5" s="1393"/>
      <c r="L5" s="1394"/>
      <c r="M5" s="1395"/>
      <c r="N5" s="1395"/>
      <c r="O5" s="1395"/>
      <c r="P5" s="350"/>
      <c r="Q5" s="348"/>
      <c r="R5" s="349"/>
      <c r="S5" s="1366">
        <f>INDEX(PT_DIFFERENTIATION_NUM_IST_TE,MATCH(D5,PT_DIFFERENTIATION_IST_TE_ID,0))</f>
      </c>
      <c r="T5" s="300" t="s">
        <v>616</v>
      </c>
      <c r="U5" s="288"/>
      <c r="V5" s="2101"/>
      <c r="W5" s="2102"/>
      <c r="X5" s="2102"/>
      <c r="Y5" s="2102"/>
      <c r="Z5" s="2102"/>
      <c r="AA5" s="2102"/>
      <c r="AB5" s="2102"/>
      <c r="AC5" s="2103"/>
      <c r="AD5" s="2101">
        <f>INDEX(PT_DIFFERENTIATION_IST_TE,MATCH(D5,PT_DIFFERENTIATION_IST_TE_ID,0))</f>
      </c>
      <c r="AE5" s="2102"/>
      <c r="AF5" s="2102"/>
      <c r="AG5" s="2102"/>
      <c r="AH5" s="2102"/>
      <c r="AI5" s="2102"/>
      <c r="AJ5" s="2102"/>
      <c r="AK5" s="2102"/>
      <c r="AL5" s="2103"/>
      <c r="AM5" s="1286" t="s">
        <v>617</v>
      </c>
      <c r="AO5" s="506"/>
      <c r="AP5" s="506" t="str">
        <f>IF(T5="","",T5)</f>
        <v>Источник тепловой энергии  </v>
      </c>
      <c r="AQ5" s="506"/>
      <c r="AR5" s="506"/>
    </row>
    <row customHeight="1" ht="47.25" hidden="1">
      <c r="A6" s="1393"/>
      <c r="B6" s="1393"/>
      <c r="C6" s="1393"/>
      <c r="D6" s="1393"/>
      <c r="E6" s="2108"/>
      <c r="F6" s="2108"/>
      <c r="G6" s="2108"/>
      <c r="H6" s="2108"/>
      <c r="I6" s="2109">
        <f>S5&amp;".1"</f>
      </c>
      <c r="J6" s="1393"/>
      <c r="K6" s="1393"/>
      <c r="L6" s="1394" t="s">
        <v>618</v>
      </c>
      <c r="M6" s="543"/>
      <c r="P6" s="2111">
        <v>1</v>
      </c>
      <c r="Q6" s="1361"/>
      <c r="R6" s="352"/>
      <c r="S6" s="1366">
        <f>$I6</f>
      </c>
      <c r="T6" s="273" t="s">
        <v>619</v>
      </c>
      <c r="U6" s="288"/>
      <c r="V6" s="2095"/>
      <c r="W6" s="2096"/>
      <c r="X6" s="2096"/>
      <c r="Y6" s="2096"/>
      <c r="Z6" s="2096"/>
      <c r="AA6" s="2096"/>
      <c r="AB6" s="2096"/>
      <c r="AC6" s="2097"/>
      <c r="AD6" s="2095"/>
      <c r="AE6" s="2096"/>
      <c r="AF6" s="2096"/>
      <c r="AG6" s="2096"/>
      <c r="AH6" s="2096"/>
      <c r="AI6" s="2096"/>
      <c r="AJ6" s="2096"/>
      <c r="AK6" s="2096"/>
      <c r="AL6" s="2097"/>
      <c r="AM6" s="1286" t="s">
        <v>620</v>
      </c>
      <c r="AO6" s="506"/>
      <c r="AP6" s="506" t="str">
        <f>IF(T6="","",T6)</f>
        <v>Схема подключения теплопотребляющей установки к коллектору источника тепловой энергии</v>
      </c>
      <c r="AQ6" s="506"/>
      <c r="AR6" s="506"/>
    </row>
    <row customHeight="1" ht="21" hidden="1">
      <c r="A7" s="1393"/>
      <c r="B7" s="1393"/>
      <c r="C7" s="1393"/>
      <c r="D7" s="1393"/>
      <c r="E7" s="2108"/>
      <c r="F7" s="2108"/>
      <c r="G7" s="2108"/>
      <c r="H7" s="2108"/>
      <c r="I7" s="2110"/>
      <c r="J7" s="2109">
        <f>I6&amp;".1"</f>
      </c>
      <c r="K7" s="1393"/>
      <c r="L7" s="1394" t="s">
        <v>621</v>
      </c>
      <c r="M7" s="543"/>
      <c r="N7" s="1396"/>
      <c r="P7" s="2111"/>
      <c r="Q7" s="2111">
        <v>1</v>
      </c>
      <c r="R7" s="353"/>
      <c r="S7" s="1366">
        <f>$J7</f>
      </c>
      <c r="T7" s="274" t="s">
        <v>622</v>
      </c>
      <c r="U7" s="288"/>
      <c r="V7" s="2095"/>
      <c r="W7" s="2096"/>
      <c r="X7" s="2096"/>
      <c r="Y7" s="2096"/>
      <c r="Z7" s="2096"/>
      <c r="AA7" s="2096"/>
      <c r="AB7" s="2096"/>
      <c r="AC7" s="2097"/>
      <c r="AD7" s="2095"/>
      <c r="AE7" s="2096"/>
      <c r="AF7" s="2096"/>
      <c r="AG7" s="2096"/>
      <c r="AH7" s="2096"/>
      <c r="AI7" s="2096"/>
      <c r="AJ7" s="2096"/>
      <c r="AK7" s="2096"/>
      <c r="AL7" s="2097"/>
      <c r="AM7" s="1286" t="s">
        <v>623</v>
      </c>
      <c r="AO7" s="506"/>
      <c r="AP7" s="506" t="str">
        <f>IF(T7="","",T7)</f>
        <v>Группа потребителей</v>
      </c>
      <c r="AQ7" s="506"/>
      <c r="AR7" s="506"/>
    </row>
    <row customHeight="1" ht="21" hidden="1">
      <c r="A8" s="1393"/>
      <c r="B8" s="1393"/>
      <c r="C8" s="1393"/>
      <c r="D8" s="1393"/>
      <c r="E8" s="2108"/>
      <c r="F8" s="2108"/>
      <c r="G8" s="2108"/>
      <c r="H8" s="2108"/>
      <c r="I8" s="2110"/>
      <c r="J8" s="2110"/>
      <c r="K8" s="2109">
        <f>J7&amp;".1"</f>
      </c>
      <c r="L8" s="1394" t="s">
        <v>624</v>
      </c>
      <c r="M8" s="543"/>
      <c r="N8" s="1396"/>
      <c r="O8" s="1396"/>
      <c r="P8" s="2111"/>
      <c r="Q8" s="2111"/>
      <c r="R8" s="353">
        <v>1</v>
      </c>
      <c r="S8" s="1366">
        <f>$K8</f>
      </c>
      <c r="T8" s="1377"/>
      <c r="U8" s="288"/>
      <c r="V8" s="757"/>
      <c r="W8" s="320"/>
      <c r="X8" s="757"/>
      <c r="Y8" s="1285"/>
      <c r="Z8" s="2112"/>
      <c r="AA8" s="1981" t="s">
        <v>63</v>
      </c>
      <c r="AB8" s="2112"/>
      <c r="AC8" s="1981" t="s">
        <v>63</v>
      </c>
      <c r="AD8" s="757"/>
      <c r="AE8" s="320"/>
      <c r="AF8" s="757"/>
      <c r="AG8" s="1285"/>
      <c r="AH8" s="2112"/>
      <c r="AI8" s="1981" t="s">
        <v>63</v>
      </c>
      <c r="AJ8" s="2112"/>
      <c r="AK8" s="1981" t="s">
        <v>63</v>
      </c>
      <c r="AL8" s="320"/>
      <c r="AM8" s="2137" t="s">
        <v>625</v>
      </c>
      <c r="AN8" s="517">
        <f>STRCHECKDATE(V9:AL9)</f>
      </c>
      <c r="AO8" s="506"/>
      <c r="AP8" s="506" t="str">
        <f>IF(T8="","",T8)</f>
        <v/>
      </c>
      <c r="AQ8" s="506"/>
      <c r="AR8" s="506"/>
    </row>
    <row customHeight="1" ht="0.75" hidden="1">
      <c r="A9" s="1393"/>
      <c r="B9" s="1393"/>
      <c r="C9" s="1393"/>
      <c r="D9" s="1393"/>
      <c r="E9" s="2108"/>
      <c r="F9" s="2108"/>
      <c r="G9" s="2108"/>
      <c r="H9" s="2108"/>
      <c r="I9" s="2110"/>
      <c r="J9" s="2110"/>
      <c r="K9" s="2109"/>
      <c r="L9" s="1394"/>
      <c r="M9" s="543"/>
      <c r="N9" s="1396"/>
      <c r="O9" s="1396"/>
      <c r="P9" s="2111"/>
      <c r="Q9" s="2111"/>
      <c r="R9" s="353"/>
      <c r="S9" s="1372"/>
      <c r="T9" s="288"/>
      <c r="U9" s="288"/>
      <c r="V9" s="320"/>
      <c r="W9" s="320"/>
      <c r="X9" s="320"/>
      <c r="Y9" s="324" t="str">
        <f>Z8&amp;"-"&amp;AB8</f>
        <v>-</v>
      </c>
      <c r="Z9" s="2113"/>
      <c r="AA9" s="1981"/>
      <c r="AB9" s="2113"/>
      <c r="AC9" s="1981"/>
      <c r="AD9" s="320"/>
      <c r="AE9" s="320"/>
      <c r="AF9" s="320"/>
      <c r="AG9" s="324" t="str">
        <f>AH8&amp;"-"&amp;AJ8</f>
        <v>-</v>
      </c>
      <c r="AH9" s="2113"/>
      <c r="AI9" s="1981"/>
      <c r="AJ9" s="2113"/>
      <c r="AK9" s="1981"/>
      <c r="AL9" s="320"/>
      <c r="AM9" s="2138"/>
      <c r="AO9" s="506"/>
      <c r="AP9" s="506" t="str">
        <f>IF(T9="","",T9)</f>
        <v/>
      </c>
      <c r="AQ9" s="506"/>
      <c r="AR9" s="506"/>
    </row>
    <row customHeight="1" ht="15" hidden="1">
      <c r="A10" s="1393"/>
      <c r="B10" s="1393"/>
      <c r="C10" s="1393"/>
      <c r="D10" s="1393"/>
      <c r="E10" s="2108"/>
      <c r="F10" s="2108"/>
      <c r="G10" s="2108"/>
      <c r="H10" s="2108"/>
      <c r="I10" s="2110"/>
      <c r="J10" s="2109"/>
      <c r="K10" s="1393"/>
      <c r="L10" s="1394"/>
      <c r="M10" s="543"/>
      <c r="N10" s="1396"/>
      <c r="P10" s="2111"/>
      <c r="Q10" s="2111"/>
      <c r="R10" s="352"/>
      <c r="S10" s="1308"/>
      <c r="T10" s="276" t="s">
        <v>626</v>
      </c>
      <c r="U10" s="367"/>
      <c r="V10" s="367"/>
      <c r="W10" s="367"/>
      <c r="X10" s="367"/>
      <c r="Y10" s="367"/>
      <c r="Z10" s="367"/>
      <c r="AA10" s="367"/>
      <c r="AB10" s="367"/>
      <c r="AC10" s="367"/>
      <c r="AD10" s="367"/>
      <c r="AE10" s="367"/>
      <c r="AF10" s="367"/>
      <c r="AG10" s="367"/>
      <c r="AH10" s="367"/>
      <c r="AI10" s="367"/>
      <c r="AJ10" s="367"/>
      <c r="AK10" s="367"/>
      <c r="AL10" s="319"/>
      <c r="AM10" s="2139"/>
      <c r="AO10" s="506"/>
      <c r="AP10" s="506" t="str">
        <f>IF(T10="","",T10)</f>
        <v>Добавить вид теплоносителя (параметры теплоносителя)</v>
      </c>
      <c r="AQ10" s="506"/>
      <c r="AR10" s="506"/>
    </row>
    <row customHeight="1" ht="15" hidden="1">
      <c r="A11" s="1393"/>
      <c r="B11" s="1393"/>
      <c r="C11" s="1393"/>
      <c r="D11" s="1393"/>
      <c r="E11" s="2108"/>
      <c r="F11" s="2108"/>
      <c r="G11" s="2108"/>
      <c r="H11" s="2108"/>
      <c r="I11" s="2109"/>
      <c r="J11" s="1393"/>
      <c r="K11" s="1393"/>
      <c r="L11" s="1394"/>
      <c r="M11" s="543"/>
      <c r="P11" s="2111"/>
      <c r="Q11" s="1361"/>
      <c r="R11" s="352"/>
      <c r="S11" s="1308"/>
      <c r="T11" s="275" t="s">
        <v>627</v>
      </c>
      <c r="U11" s="367"/>
      <c r="V11" s="367"/>
      <c r="W11" s="367"/>
      <c r="X11" s="367"/>
      <c r="Y11" s="367"/>
      <c r="Z11" s="367"/>
      <c r="AA11" s="367"/>
      <c r="AB11" s="367"/>
      <c r="AC11" s="366"/>
      <c r="AD11" s="367"/>
      <c r="AE11" s="367"/>
      <c r="AF11" s="367"/>
      <c r="AG11" s="367"/>
      <c r="AH11" s="367"/>
      <c r="AI11" s="367"/>
      <c r="AJ11" s="367"/>
      <c r="AK11" s="366"/>
      <c r="AL11" s="367"/>
      <c r="AM11" s="291"/>
      <c r="AO11" s="506"/>
      <c r="AP11" s="506" t="str">
        <f>IF(T11="","",T11)</f>
        <v>Добавить группу потребителей</v>
      </c>
      <c r="AQ11" s="506"/>
      <c r="AR11" s="506"/>
    </row>
    <row customHeight="1" ht="14.25" hidden="1">
      <c r="A12" s="1393"/>
      <c r="B12" s="1393"/>
      <c r="C12" s="1393"/>
      <c r="D12" s="1393"/>
      <c r="E12" s="2108"/>
      <c r="F12" s="2108"/>
      <c r="G12" s="2108"/>
      <c r="H12" s="2107"/>
      <c r="I12" s="1393"/>
      <c r="J12" s="1393"/>
      <c r="K12" s="1393"/>
      <c r="L12" s="1394"/>
      <c r="M12" s="1395"/>
      <c r="N12" s="1395"/>
      <c r="O12" s="543"/>
      <c r="P12" s="356"/>
      <c r="Q12" s="376"/>
      <c r="R12" s="351"/>
      <c r="S12" s="1308"/>
      <c r="T12" s="364" t="s">
        <v>628</v>
      </c>
      <c r="U12" s="367"/>
      <c r="V12" s="367"/>
      <c r="W12" s="367"/>
      <c r="X12" s="367"/>
      <c r="Y12" s="367"/>
      <c r="Z12" s="367"/>
      <c r="AA12" s="367"/>
      <c r="AB12" s="367"/>
      <c r="AC12" s="366"/>
      <c r="AD12" s="367"/>
      <c r="AE12" s="367"/>
      <c r="AF12" s="367"/>
      <c r="AG12" s="367"/>
      <c r="AH12" s="367"/>
      <c r="AI12" s="367"/>
      <c r="AJ12" s="367"/>
      <c r="AK12" s="366"/>
      <c r="AL12" s="367"/>
      <c r="AM12" s="291"/>
      <c r="AO12" s="506"/>
      <c r="AP12" s="506" t="str">
        <f>IF(T12="","",T12)</f>
        <v>Добавить схему подключения</v>
      </c>
      <c r="AQ12" s="506"/>
      <c r="AR12" s="506"/>
    </row>
    <row s="3314" customFormat="1" customHeight="1" ht="0.75" hidden="1">
      <c r="A13" s="1344"/>
      <c r="B13" s="1344"/>
      <c r="C13" s="1344"/>
      <c r="D13" s="1344"/>
      <c r="E13" s="2108"/>
      <c r="F13" s="2108"/>
      <c r="G13" s="2107"/>
      <c r="H13" s="1344"/>
      <c r="I13" s="1344"/>
      <c r="J13" s="1344"/>
      <c r="K13" s="1344"/>
      <c r="L13" s="1369"/>
      <c r="M13" s="1345"/>
      <c r="N13" s="1345"/>
      <c r="P13" s="1346"/>
      <c r="Q13" s="1347"/>
      <c r="R13" s="1346"/>
      <c r="S13" s="1348"/>
      <c r="T13" s="1349" t="s">
        <v>254</v>
      </c>
      <c r="U13" s="1350"/>
      <c r="V13" s="1350"/>
      <c r="W13" s="1350"/>
      <c r="X13" s="1350"/>
      <c r="Y13" s="1350"/>
      <c r="Z13" s="1350"/>
      <c r="AA13" s="1350"/>
      <c r="AB13" s="1350"/>
      <c r="AC13" s="1350"/>
      <c r="AD13" s="1350"/>
      <c r="AE13" s="1350"/>
      <c r="AF13" s="1350"/>
      <c r="AG13" s="1350"/>
      <c r="AH13" s="1350"/>
      <c r="AI13" s="1350"/>
      <c r="AJ13" s="1350"/>
      <c r="AK13" s="1350"/>
      <c r="AL13" s="1350"/>
      <c r="AM13" s="1350"/>
      <c r="AO13" s="795"/>
      <c r="AP13" s="795" t="str">
        <f>IF(T13="","",T13)</f>
        <v>Добавить источник для дифференциации</v>
      </c>
      <c r="AQ13" s="795"/>
      <c r="AR13" s="795"/>
    </row>
    <row s="3314" customFormat="1" customHeight="1" ht="0.75" hidden="1">
      <c r="A14" s="1344"/>
      <c r="B14" s="1344"/>
      <c r="C14" s="1344"/>
      <c r="D14" s="1344"/>
      <c r="E14" s="2108"/>
      <c r="F14" s="2107"/>
      <c r="G14" s="1344"/>
      <c r="H14" s="1344"/>
      <c r="I14" s="1344"/>
      <c r="J14" s="1344"/>
      <c r="K14" s="1344"/>
      <c r="L14" s="1369"/>
      <c r="M14" s="1351"/>
      <c r="N14" s="1351"/>
      <c r="P14" s="1346"/>
      <c r="Q14" s="1347"/>
      <c r="R14" s="1346"/>
      <c r="S14" s="1352"/>
      <c r="T14" s="1353" t="s">
        <v>255</v>
      </c>
      <c r="U14" s="1354"/>
      <c r="V14" s="1354"/>
      <c r="W14" s="1354"/>
      <c r="X14" s="1354"/>
      <c r="Y14" s="1354"/>
      <c r="Z14" s="1354"/>
      <c r="AA14" s="1354"/>
      <c r="AB14" s="1354"/>
      <c r="AC14" s="1354"/>
      <c r="AD14" s="1354"/>
      <c r="AE14" s="1354"/>
      <c r="AF14" s="1354"/>
      <c r="AG14" s="1354"/>
      <c r="AH14" s="1354"/>
      <c r="AI14" s="1354"/>
      <c r="AJ14" s="1354"/>
      <c r="AK14" s="1354"/>
      <c r="AL14" s="1354"/>
      <c r="AM14" s="1354"/>
      <c r="AO14" s="795"/>
      <c r="AP14" s="795" t="str">
        <f>IF(T14="","",T14)</f>
        <v>Добавить централизованную систему для дифференциации</v>
      </c>
      <c r="AQ14" s="795"/>
      <c r="AR14" s="795"/>
    </row>
    <row s="3314" customFormat="1" customHeight="1" ht="0.75" hidden="1">
      <c r="A15" s="1344"/>
      <c r="B15" s="1344"/>
      <c r="C15" s="1344"/>
      <c r="D15" s="1344"/>
      <c r="E15" s="2107"/>
      <c r="F15" s="1344"/>
      <c r="G15" s="1344"/>
      <c r="H15" s="1344"/>
      <c r="I15" s="1344"/>
      <c r="J15" s="1344"/>
      <c r="K15" s="1344"/>
      <c r="L15" s="1369"/>
      <c r="M15" s="1351"/>
      <c r="N15" s="1351"/>
      <c r="P15" s="1346"/>
      <c r="Q15" s="1347"/>
      <c r="R15" s="1346"/>
      <c r="S15" s="1352"/>
      <c r="T15" s="1355" t="s">
        <v>329</v>
      </c>
      <c r="U15" s="1354"/>
      <c r="V15" s="1354"/>
      <c r="W15" s="1354"/>
      <c r="X15" s="1354"/>
      <c r="Y15" s="1354"/>
      <c r="Z15" s="1354"/>
      <c r="AA15" s="1354"/>
      <c r="AB15" s="1354"/>
      <c r="AC15" s="1354"/>
      <c r="AD15" s="1354"/>
      <c r="AE15" s="1354"/>
      <c r="AF15" s="1354"/>
      <c r="AG15" s="1354"/>
      <c r="AH15" s="1354"/>
      <c r="AI15" s="1354"/>
      <c r="AJ15" s="1354"/>
      <c r="AK15" s="1354"/>
      <c r="AL15" s="1354"/>
      <c r="AM15" s="1354"/>
      <c r="AO15" s="795"/>
      <c r="AP15" s="795" t="str">
        <f>IF(T15="","",T15)</f>
        <v>Добавить территорию для дифференциации</v>
      </c>
      <c r="AQ15" s="795"/>
      <c r="AR15" s="795"/>
    </row>
    <row customHeight="1" ht="14.25" hidden="1">
      <c r="AC16" s="323"/>
      <c r="AK16" s="323"/>
    </row>
    <row customHeight="1" ht="14.25" hidden="1">
      <c r="AD17" s="1390"/>
      <c r="AE17" s="1390"/>
      <c r="AF17" s="1390"/>
      <c r="AG17" s="1391"/>
      <c r="AH17" s="2105"/>
      <c r="AI17" s="2104" t="s">
        <v>63</v>
      </c>
      <c r="AJ17" s="2105"/>
      <c r="AK17" s="2104" t="s">
        <v>63</v>
      </c>
    </row>
    <row customHeight="1" ht="14.25" hidden="1">
      <c r="AD18" s="1390"/>
      <c r="AE18" s="1390"/>
      <c r="AF18" s="1390"/>
      <c r="AG18" s="324" t="str">
        <f>AH17&amp;"-"&amp;AJ17</f>
        <v>-</v>
      </c>
      <c r="AH18" s="2104"/>
      <c r="AI18" s="2104"/>
      <c r="AJ18" s="2104"/>
      <c r="AK18" s="2104"/>
    </row>
    <row customHeight="1" ht="14.25" hidden="1">
      <c r="AK19" s="323"/>
    </row>
    <row s="2683" customFormat="1" customHeight="1" ht="22.5" hidden="1">
      <c r="L20" s="1359"/>
      <c r="M20" s="1392"/>
      <c r="N20" s="1392"/>
      <c r="O20" s="1397" t="s">
        <v>629</v>
      </c>
      <c r="P20" s="1392"/>
      <c r="Q20" s="1401"/>
      <c r="R20" s="1401"/>
      <c r="S20" s="735"/>
      <c r="Z20" s="1397"/>
      <c r="AB20" s="1397"/>
      <c r="AC20" s="1396"/>
      <c r="AH20" s="1397"/>
      <c r="AJ20" s="1397"/>
      <c r="AK20" s="1396"/>
      <c r="AN20" s="517"/>
      <c r="AO20" s="517"/>
      <c r="AP20" s="517"/>
      <c r="AQ20" s="517"/>
      <c r="AR20" s="517"/>
    </row>
    <row s="2683" customFormat="1" customHeight="1" ht="14.25" hidden="1">
      <c r="L21" s="1359"/>
      <c r="M21" s="1392"/>
      <c r="N21" s="1392"/>
      <c r="O21" s="1392"/>
      <c r="P21" s="1392"/>
      <c r="Q21" s="1401"/>
      <c r="R21" s="1401"/>
      <c r="S21" s="735"/>
      <c r="AC21" s="1396"/>
      <c r="AK21" s="1396"/>
      <c r="AN21" s="517"/>
      <c r="AO21" s="517"/>
      <c r="AP21" s="517"/>
      <c r="AQ21" s="517"/>
      <c r="AR21" s="517"/>
    </row>
    <row s="2683" customFormat="1" customHeight="1" ht="14.25" hidden="1">
      <c r="L22" s="1359"/>
      <c r="M22" s="1392"/>
      <c r="N22" s="1392"/>
      <c r="O22" s="1394" t="s">
        <v>630</v>
      </c>
      <c r="P22" s="1392"/>
      <c r="Q22" s="1401"/>
      <c r="R22" s="1401"/>
      <c r="S22" s="735"/>
      <c r="T22" s="1168" t="s">
        <v>631</v>
      </c>
      <c r="AA22" s="172" t="s">
        <v>632</v>
      </c>
      <c r="AC22" s="172" t="s">
        <v>633</v>
      </c>
      <c r="AD22" s="1168" t="s">
        <v>631</v>
      </c>
      <c r="AI22" s="172" t="s">
        <v>634</v>
      </c>
      <c r="AK22" s="172" t="s">
        <v>633</v>
      </c>
      <c r="AN22" s="517"/>
      <c r="AO22" s="517"/>
      <c r="AP22" s="517"/>
      <c r="AQ22" s="517"/>
      <c r="AR22" s="517"/>
    </row>
    <row customHeight="1" ht="14.25" hidden="1">
      <c r="O23" s="1394"/>
    </row>
    <row customHeight="1" ht="14.25" hidden="1">
      <c r="O24" s="1394"/>
    </row>
    <row customHeight="1" ht="14.25">
      <c r="Q25" s="377"/>
      <c r="R25" s="377"/>
      <c r="S25" s="1305"/>
      <c r="T25" s="361"/>
      <c r="U25" s="361"/>
      <c r="V25" s="515"/>
      <c r="W25" s="515"/>
      <c r="X25" s="515"/>
      <c r="Y25" s="515"/>
      <c r="Z25" s="515"/>
      <c r="AA25" s="515"/>
      <c r="AB25" s="515"/>
      <c r="AC25" s="515"/>
      <c r="AD25" s="515"/>
      <c r="AE25" s="515"/>
      <c r="AF25" s="515"/>
      <c r="AG25" s="515"/>
      <c r="AH25" s="515"/>
      <c r="AI25" s="515"/>
      <c r="AJ25" s="515"/>
      <c r="AK25" s="515"/>
    </row>
    <row customHeight="1" ht="14.25">
      <c r="Q26" s="377"/>
      <c r="R26" s="377"/>
      <c r="S26" s="214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40"/>
      <c r="U26" s="2140"/>
      <c r="V26" s="2140"/>
      <c r="W26" s="2140"/>
      <c r="X26" s="2140"/>
      <c r="Y26" s="2140"/>
      <c r="Z26" s="2140"/>
      <c r="AA26" s="2140"/>
      <c r="AB26" s="2140"/>
      <c r="AC26" s="2140"/>
      <c r="AD26" s="2140"/>
      <c r="AE26" s="2140"/>
      <c r="AF26" s="2140"/>
      <c r="AG26" s="2140"/>
      <c r="AH26" s="2140"/>
      <c r="AI26" s="2140"/>
      <c r="AJ26" s="2140"/>
      <c r="AK26" s="1261"/>
    </row>
    <row customHeight="1" ht="14.25">
      <c r="Q27" s="377"/>
      <c r="R27" s="377"/>
      <c r="S27" s="2141" t="str">
        <f>IF(org=0,"Не определено",org)</f>
        <v>АО "Мурманэнергосбыт"</v>
      </c>
      <c r="T27" s="2141"/>
      <c r="U27" s="2141"/>
      <c r="V27" s="2141"/>
      <c r="W27" s="2141"/>
      <c r="X27" s="2141"/>
      <c r="Y27" s="2141"/>
      <c r="Z27" s="2141"/>
      <c r="AA27" s="2141"/>
      <c r="AB27" s="2141"/>
      <c r="AC27" s="2141"/>
      <c r="AD27" s="2141"/>
      <c r="AE27" s="2141"/>
      <c r="AF27" s="2141"/>
      <c r="AG27" s="2141"/>
      <c r="AH27" s="2141"/>
      <c r="AI27" s="2141"/>
      <c r="AJ27" s="2141"/>
      <c r="AK27" s="1261"/>
    </row>
    <row customHeight="1" ht="14.25">
      <c r="Q28" s="377"/>
      <c r="R28" s="377"/>
      <c r="S28" s="1305"/>
      <c r="T28" s="361"/>
      <c r="U28" s="361"/>
      <c r="V28" s="316"/>
      <c r="W28" s="316"/>
      <c r="X28" s="316"/>
      <c r="Y28" s="316"/>
      <c r="Z28" s="316"/>
      <c r="AA28" s="316"/>
      <c r="AB28" s="316"/>
      <c r="AC28" s="316"/>
      <c r="AD28" s="316"/>
      <c r="AE28" s="316"/>
      <c r="AF28" s="316"/>
      <c r="AG28" s="316"/>
      <c r="AH28" s="316"/>
      <c r="AI28" s="316"/>
      <c r="AJ28" s="316"/>
      <c r="AK28" s="316"/>
      <c r="AL28" s="515"/>
    </row>
    <row s="3345" customFormat="1" customHeight="1" ht="25.5">
      <c r="A29" s="1398"/>
      <c r="B29" s="1398"/>
      <c r="C29" s="1398"/>
      <c r="D29" s="1398"/>
      <c r="E29" s="1398"/>
      <c r="F29" s="1398"/>
      <c r="G29" s="1398"/>
      <c r="H29" s="1398"/>
      <c r="I29" s="1398"/>
      <c r="J29" s="1398"/>
      <c r="K29" s="1398"/>
      <c r="L29" s="1399"/>
      <c r="M29" s="1398"/>
      <c r="N29" s="1398"/>
      <c r="O29" s="1398"/>
      <c r="S29" s="2098" t="s">
        <v>38</v>
      </c>
      <c r="T29" s="2098"/>
      <c r="U29" s="1402"/>
      <c r="V29" s="2100" t="str">
        <f>IF(TITLE_NAME_OR_PR_CHANGE="",IF(TITLE_NAME_OR_PR="","",TITLE_NAME_OR_PR),TITLE_NAME_OR_PR_CHANGE)</f>
        <v>Комитет по тарифному регулированию Мурманской области</v>
      </c>
      <c r="W29" s="2100"/>
      <c r="X29" s="2100"/>
      <c r="Y29" s="2100"/>
      <c r="Z29" s="2100"/>
      <c r="AA29" s="2100"/>
      <c r="AB29" s="2100"/>
      <c r="AC29" s="322"/>
      <c r="AD29" s="2100" t="str">
        <f>IF(TITLE_NAME_OR_PR_CHANGE="",IF(TITLE_NAME_OR_PR="","",TITLE_NAME_OR_PR),TITLE_NAME_OR_PR_CHANGE)</f>
        <v>Комитет по тарифному регулированию Мурманской области</v>
      </c>
      <c r="AE29" s="2100"/>
      <c r="AF29" s="2100"/>
      <c r="AG29" s="2100"/>
      <c r="AH29" s="2100"/>
      <c r="AI29" s="2100"/>
      <c r="AJ29" s="2100"/>
      <c r="AK29" s="322"/>
      <c r="AL29" s="322"/>
      <c r="AM29" s="268"/>
      <c r="AN29" s="368"/>
      <c r="AO29" s="368"/>
      <c r="AP29" s="368"/>
      <c r="AQ29" s="368"/>
      <c r="AR29" s="368"/>
    </row>
    <row s="3345" customFormat="1" customHeight="1" ht="18.75">
      <c r="A30" s="1398"/>
      <c r="B30" s="1398"/>
      <c r="C30" s="1398"/>
      <c r="D30" s="1398"/>
      <c r="E30" s="1398"/>
      <c r="F30" s="1398"/>
      <c r="G30" s="1398"/>
      <c r="H30" s="1398"/>
      <c r="I30" s="1398"/>
      <c r="J30" s="1398"/>
      <c r="K30" s="1398"/>
      <c r="L30" s="1399"/>
      <c r="M30" s="1398"/>
      <c r="N30" s="1398"/>
      <c r="O30" s="1398"/>
      <c r="S30" s="2098" t="s">
        <v>635</v>
      </c>
      <c r="T30" s="2098"/>
      <c r="U30" s="1402"/>
      <c r="V30" s="2099" t="str">
        <f>IF(TITLE_DATE_PR_CHANGE="",IF(TITLE_DATE_PR="","",TITLE_DATE_PR),TITLE_DATE_PR_CHANGE)</f>
        <v>45205</v>
      </c>
      <c r="W30" s="2099"/>
      <c r="X30" s="2099"/>
      <c r="Y30" s="2099"/>
      <c r="Z30" s="2099"/>
      <c r="AA30" s="2099"/>
      <c r="AB30" s="2099"/>
      <c r="AC30" s="322"/>
      <c r="AD30" s="2099" t="str">
        <f>IF(TITLE_DATE_PR_CHANGE="",IF(TITLE_DATE_PR="","",TITLE_DATE_PR),TITLE_DATE_PR_CHANGE)</f>
        <v>45205</v>
      </c>
      <c r="AE30" s="2099"/>
      <c r="AF30" s="2099"/>
      <c r="AG30" s="2099"/>
      <c r="AH30" s="2099"/>
      <c r="AI30" s="2099"/>
      <c r="AJ30" s="2099"/>
      <c r="AK30" s="322"/>
      <c r="AL30" s="322"/>
      <c r="AM30" s="268"/>
      <c r="AN30" s="368"/>
      <c r="AO30" s="368"/>
      <c r="AP30" s="368"/>
      <c r="AQ30" s="368"/>
      <c r="AR30" s="368"/>
    </row>
    <row s="3345" customFormat="1" customHeight="1" ht="18.75">
      <c r="A31" s="1398"/>
      <c r="B31" s="1398"/>
      <c r="C31" s="1398"/>
      <c r="D31" s="1398"/>
      <c r="E31" s="1398"/>
      <c r="F31" s="1398"/>
      <c r="G31" s="1398"/>
      <c r="H31" s="1398"/>
      <c r="I31" s="1398"/>
      <c r="J31" s="1398"/>
      <c r="K31" s="1398"/>
      <c r="L31" s="1399"/>
      <c r="M31" s="1398"/>
      <c r="N31" s="1398"/>
      <c r="O31" s="1398"/>
      <c r="S31" s="2098" t="s">
        <v>636</v>
      </c>
      <c r="T31" s="2098"/>
      <c r="U31" s="1402"/>
      <c r="V31" s="2100" t="str">
        <f>IF(TITLE_NUMBER_PR_CHANGE="",IF(TITLE_NUMBER_PR="","",TITLE_NUMBER_PR),TITLE_NUMBER_PR_CHANGE)</f>
        <v>36/2</v>
      </c>
      <c r="W31" s="2100"/>
      <c r="X31" s="2100"/>
      <c r="Y31" s="2100"/>
      <c r="Z31" s="2100"/>
      <c r="AA31" s="2100"/>
      <c r="AB31" s="2100"/>
      <c r="AC31" s="322"/>
      <c r="AD31" s="2100" t="str">
        <f>IF(TITLE_NUMBER_PR_CHANGE="",IF(TITLE_NUMBER_PR="","",TITLE_NUMBER_PR),TITLE_NUMBER_PR_CHANGE)</f>
        <v>36/2</v>
      </c>
      <c r="AE31" s="2100"/>
      <c r="AF31" s="2100"/>
      <c r="AG31" s="2100"/>
      <c r="AH31" s="2100"/>
      <c r="AI31" s="2100"/>
      <c r="AJ31" s="2100"/>
      <c r="AK31" s="322"/>
      <c r="AL31" s="322"/>
      <c r="AM31" s="268"/>
      <c r="AN31" s="368"/>
      <c r="AO31" s="368"/>
      <c r="AP31" s="368"/>
      <c r="AQ31" s="368"/>
      <c r="AR31" s="368"/>
    </row>
    <row s="3345" customFormat="1" customHeight="1" ht="18.75">
      <c r="A32" s="1398"/>
      <c r="B32" s="1398"/>
      <c r="C32" s="1398"/>
      <c r="D32" s="1398"/>
      <c r="E32" s="1398"/>
      <c r="F32" s="1398"/>
      <c r="G32" s="1398"/>
      <c r="H32" s="1398"/>
      <c r="I32" s="1398"/>
      <c r="J32" s="1398"/>
      <c r="K32" s="1398"/>
      <c r="L32" s="1399"/>
      <c r="M32" s="1398"/>
      <c r="N32" s="1398"/>
      <c r="O32" s="1398"/>
      <c r="S32" s="2098" t="s">
        <v>40</v>
      </c>
      <c r="T32" s="2098"/>
      <c r="U32" s="1402"/>
      <c r="V32" s="2100" t="str">
        <f>IF(TITLE_IST_PUB_CHANGE="",IF(TITLE_IST_PUB="","",TITLE_IST_PUB),TITLE_IST_PUB_CHANGE)</f>
        <v>https://npa.gov-murman.ru/bitrix/components/b1team/govmurman.element.file/download.php?ID=495002&amp;FID=732763</v>
      </c>
      <c r="W32" s="2100"/>
      <c r="X32" s="2100"/>
      <c r="Y32" s="2100"/>
      <c r="Z32" s="2100"/>
      <c r="AA32" s="2100"/>
      <c r="AB32" s="2100"/>
      <c r="AC32" s="322"/>
      <c r="AD32" s="2100" t="str">
        <f>IF(TITLE_IST_PUB_CHANGE="",IF(TITLE_IST_PUB="","",TITLE_IST_PUB),TITLE_IST_PUB_CHANGE)</f>
        <v>https://npa.gov-murman.ru/bitrix/components/b1team/govmurman.element.file/download.php?ID=495002&amp;FID=732763</v>
      </c>
      <c r="AE32" s="2100"/>
      <c r="AF32" s="2100"/>
      <c r="AG32" s="2100"/>
      <c r="AH32" s="2100"/>
      <c r="AI32" s="2100"/>
      <c r="AJ32" s="2100"/>
      <c r="AK32" s="322"/>
      <c r="AL32" s="322"/>
      <c r="AM32" s="268"/>
      <c r="AN32" s="368"/>
      <c r="AO32" s="368"/>
      <c r="AP32" s="368"/>
      <c r="AQ32" s="368"/>
      <c r="AR32" s="368"/>
    </row>
    <row customHeight="1" ht="14.25" hidden="1">
      <c r="Q33" s="377"/>
      <c r="R33" s="377"/>
      <c r="S33" s="1305"/>
      <c r="T33" s="361"/>
      <c r="U33" s="361"/>
      <c r="V33" s="316"/>
      <c r="W33" s="316"/>
      <c r="X33" s="316"/>
      <c r="Y33" s="316"/>
      <c r="Z33" s="316"/>
      <c r="AA33" s="316"/>
      <c r="AB33" s="316"/>
      <c r="AC33" s="316"/>
      <c r="AD33" s="316"/>
      <c r="AE33" s="316"/>
      <c r="AF33" s="316"/>
      <c r="AG33" s="316"/>
      <c r="AH33" s="316"/>
      <c r="AI33" s="316"/>
      <c r="AJ33" s="316"/>
      <c r="AK33" s="316"/>
      <c r="AL33" s="515"/>
    </row>
    <row s="3345" customFormat="1" customHeight="1" ht="18.75" hidden="1">
      <c r="A34" s="1398"/>
      <c r="B34" s="1398"/>
      <c r="C34" s="1398"/>
      <c r="D34" s="1398"/>
      <c r="E34" s="1398"/>
      <c r="F34" s="1398"/>
      <c r="G34" s="1398"/>
      <c r="H34" s="1398"/>
      <c r="I34" s="1398"/>
      <c r="J34" s="1398"/>
      <c r="K34" s="1398"/>
      <c r="L34" s="1399"/>
      <c r="M34" s="1398"/>
      <c r="N34" s="1398"/>
      <c r="O34" s="1398"/>
      <c r="S34" s="2098" t="s">
        <v>637</v>
      </c>
      <c r="T34" s="2098"/>
      <c r="U34" s="1402"/>
      <c r="V34" s="2099" t="str">
        <f>IF(TITLE_DATE_PR_CHANGE="",IF(TITLE_DATE_PR="","",TITLE_DATE_PR),TITLE_DATE_PR_CHANGE)</f>
        <v>45205</v>
      </c>
      <c r="W34" s="2099"/>
      <c r="X34" s="2099"/>
      <c r="Y34" s="2099"/>
      <c r="Z34" s="2099"/>
      <c r="AA34" s="2099"/>
      <c r="AB34" s="2099"/>
      <c r="AC34" s="322"/>
      <c r="AD34" s="2099" t="str">
        <f>IF(TITLE_DATE_PR_CHANGE="",IF(TITLE_DATE_PR="","",TITLE_DATE_PR),TITLE_DATE_PR_CHANGE)</f>
        <v>45205</v>
      </c>
      <c r="AE34" s="2099"/>
      <c r="AF34" s="2099"/>
      <c r="AG34" s="2099"/>
      <c r="AH34" s="2099"/>
      <c r="AI34" s="2099"/>
      <c r="AJ34" s="2099"/>
      <c r="AK34" s="322"/>
      <c r="AL34" s="322"/>
      <c r="AM34" s="268"/>
      <c r="AN34" s="368"/>
      <c r="AO34" s="368"/>
      <c r="AP34" s="368"/>
      <c r="AQ34" s="368"/>
      <c r="AR34" s="368"/>
    </row>
    <row s="3345" customFormat="1" customHeight="1" ht="18.75" hidden="1">
      <c r="A35" s="1398"/>
      <c r="B35" s="1398"/>
      <c r="C35" s="1398"/>
      <c r="D35" s="1398"/>
      <c r="E35" s="1398"/>
      <c r="F35" s="1398"/>
      <c r="G35" s="1398"/>
      <c r="H35" s="1398"/>
      <c r="I35" s="1398"/>
      <c r="J35" s="1398"/>
      <c r="K35" s="1398"/>
      <c r="L35" s="1399"/>
      <c r="M35" s="1398"/>
      <c r="N35" s="1398"/>
      <c r="O35" s="1398"/>
      <c r="S35" s="2098" t="s">
        <v>638</v>
      </c>
      <c r="T35" s="2098"/>
      <c r="U35" s="1402"/>
      <c r="V35" s="2100" t="str">
        <f>IF(TITLE_NUMBER_PR_CHANGE="",IF(TITLE_NUMBER_PR="","",TITLE_NUMBER_PR),TITLE_NUMBER_PR_CHANGE)</f>
        <v>36/2</v>
      </c>
      <c r="W35" s="2100"/>
      <c r="X35" s="2100"/>
      <c r="Y35" s="2100"/>
      <c r="Z35" s="2100"/>
      <c r="AA35" s="2100"/>
      <c r="AB35" s="2100"/>
      <c r="AC35" s="322"/>
      <c r="AD35" s="2100" t="str">
        <f>IF(TITLE_NUMBER_PR_CHANGE="",IF(TITLE_NUMBER_PR="","",TITLE_NUMBER_PR),TITLE_NUMBER_PR_CHANGE)</f>
        <v>36/2</v>
      </c>
      <c r="AE35" s="2100"/>
      <c r="AF35" s="2100"/>
      <c r="AG35" s="2100"/>
      <c r="AH35" s="2100"/>
      <c r="AI35" s="2100"/>
      <c r="AJ35" s="2100"/>
      <c r="AK35" s="322"/>
      <c r="AL35" s="322"/>
      <c r="AM35" s="268"/>
      <c r="AN35" s="368"/>
      <c r="AO35" s="368"/>
      <c r="AP35" s="368"/>
      <c r="AQ35" s="368"/>
      <c r="AR35" s="368"/>
    </row>
    <row s="3345" customFormat="1" customHeight="1" ht="0">
      <c r="A36" s="1398"/>
      <c r="B36" s="1398"/>
      <c r="C36" s="1398"/>
      <c r="D36" s="1398"/>
      <c r="E36" s="1398"/>
      <c r="F36" s="1398"/>
      <c r="G36" s="1398"/>
      <c r="H36" s="1398"/>
      <c r="I36" s="1398"/>
      <c r="J36" s="1398"/>
      <c r="K36" s="1398"/>
      <c r="L36" s="1399"/>
      <c r="M36" s="1398"/>
      <c r="N36" s="1398"/>
      <c r="O36" s="1398"/>
      <c r="S36" s="318"/>
      <c r="T36" s="318"/>
      <c r="U36" s="1370"/>
      <c r="V36" s="322"/>
      <c r="W36" s="322"/>
      <c r="X36" s="322"/>
      <c r="Y36" s="322"/>
      <c r="Z36" s="322"/>
      <c r="AA36" s="322"/>
      <c r="AB36" s="322"/>
      <c r="AC36" s="266" t="s">
        <v>639</v>
      </c>
      <c r="AD36" s="322"/>
      <c r="AE36" s="322"/>
      <c r="AF36" s="322"/>
      <c r="AG36" s="322"/>
      <c r="AH36" s="322"/>
      <c r="AI36" s="322"/>
      <c r="AJ36" s="322"/>
      <c r="AK36" s="266" t="s">
        <v>639</v>
      </c>
      <c r="AN36" s="368"/>
      <c r="AO36" s="368"/>
      <c r="AP36" s="368"/>
      <c r="AQ36" s="368"/>
      <c r="AR36" s="368"/>
    </row>
    <row customHeight="1" ht="14.25">
      <c r="Q37" s="377"/>
      <c r="R37" s="377"/>
      <c r="S37" s="1305"/>
      <c r="T37" s="361"/>
      <c r="U37" s="1262"/>
      <c r="V37" s="2124"/>
      <c r="W37" s="2124"/>
      <c r="X37" s="2124"/>
      <c r="Y37" s="2124"/>
      <c r="Z37" s="2124"/>
      <c r="AA37" s="2124"/>
      <c r="AB37" s="2124"/>
      <c r="AC37" s="2124"/>
      <c r="AD37" s="2124"/>
      <c r="AE37" s="2124"/>
      <c r="AF37" s="2124"/>
      <c r="AG37" s="2124"/>
      <c r="AH37" s="2124"/>
      <c r="AI37" s="2124"/>
      <c r="AJ37" s="2124"/>
      <c r="AK37" s="2124"/>
    </row>
    <row customHeight="1" ht="14.25">
      <c r="Q38" s="377"/>
      <c r="R38" s="377"/>
      <c r="S38" s="1971" t="s">
        <v>513</v>
      </c>
      <c r="T38" s="1971"/>
      <c r="U38" s="1971"/>
      <c r="V38" s="1971"/>
      <c r="W38" s="1971"/>
      <c r="X38" s="1971"/>
      <c r="Y38" s="1971"/>
      <c r="Z38" s="1971"/>
      <c r="AA38" s="1971"/>
      <c r="AB38" s="1971"/>
      <c r="AC38" s="1971"/>
      <c r="AD38" s="1971"/>
      <c r="AE38" s="1971"/>
      <c r="AF38" s="1971"/>
      <c r="AG38" s="1971"/>
      <c r="AH38" s="1971"/>
      <c r="AI38" s="1971"/>
      <c r="AJ38" s="1971"/>
      <c r="AK38" s="1971"/>
      <c r="AL38" s="1971"/>
      <c r="AM38" s="1971" t="s">
        <v>514</v>
      </c>
    </row>
    <row customHeight="1" ht="14.25">
      <c r="Q39" s="377"/>
      <c r="R39" s="377"/>
      <c r="S39" s="2125" t="s">
        <v>89</v>
      </c>
      <c r="T39" s="2062" t="s">
        <v>640</v>
      </c>
      <c r="U39" s="289"/>
      <c r="V39" s="2126" t="s">
        <v>641</v>
      </c>
      <c r="W39" s="2127"/>
      <c r="X39" s="2127"/>
      <c r="Y39" s="2127"/>
      <c r="Z39" s="2127"/>
      <c r="AA39" s="2127"/>
      <c r="AB39" s="2128"/>
      <c r="AC39" s="2129" t="s">
        <v>642</v>
      </c>
      <c r="AD39" s="2126" t="s">
        <v>641</v>
      </c>
      <c r="AE39" s="2127"/>
      <c r="AF39" s="2127"/>
      <c r="AG39" s="2127"/>
      <c r="AH39" s="2127"/>
      <c r="AI39" s="2127"/>
      <c r="AJ39" s="2128"/>
      <c r="AK39" s="2129" t="s">
        <v>643</v>
      </c>
      <c r="AL39" s="2132" t="s">
        <v>644</v>
      </c>
      <c r="AM39" s="1971"/>
    </row>
    <row customHeight="1" ht="33.75">
      <c r="Q40" s="377"/>
      <c r="R40" s="377"/>
      <c r="S40" s="2125"/>
      <c r="T40" s="2062"/>
      <c r="U40" s="1038"/>
      <c r="V40" s="2135" t="s">
        <v>645</v>
      </c>
      <c r="W40" s="2116" t="s">
        <v>646</v>
      </c>
      <c r="X40" s="2118" t="s">
        <v>647</v>
      </c>
      <c r="Y40" s="2120"/>
      <c r="Z40" s="2118" t="s">
        <v>660</v>
      </c>
      <c r="AA40" s="2119"/>
      <c r="AB40" s="2120"/>
      <c r="AC40" s="2130"/>
      <c r="AD40" s="2135" t="s">
        <v>645</v>
      </c>
      <c r="AE40" s="2116" t="s">
        <v>646</v>
      </c>
      <c r="AF40" s="2118" t="s">
        <v>647</v>
      </c>
      <c r="AG40" s="2120"/>
      <c r="AH40" s="2118" t="s">
        <v>648</v>
      </c>
      <c r="AI40" s="2119"/>
      <c r="AJ40" s="2120"/>
      <c r="AK40" s="2130"/>
      <c r="AL40" s="2133"/>
      <c r="AM40" s="1971"/>
    </row>
    <row customHeight="1" ht="33.75">
      <c r="A41" s="1400"/>
      <c r="B41" s="1400" t="s">
        <v>216</v>
      </c>
      <c r="C41" s="1400" t="s">
        <v>217</v>
      </c>
      <c r="D41" s="1400" t="s">
        <v>218</v>
      </c>
      <c r="E41" s="1394" t="s">
        <v>649</v>
      </c>
      <c r="F41" s="1394" t="s">
        <v>650</v>
      </c>
      <c r="G41" s="1394" t="s">
        <v>651</v>
      </c>
      <c r="H41" s="1394" t="s">
        <v>652</v>
      </c>
      <c r="I41" s="1394" t="s">
        <v>653</v>
      </c>
      <c r="J41" s="1394" t="s">
        <v>654</v>
      </c>
      <c r="K41" s="1394" t="s">
        <v>655</v>
      </c>
      <c r="L41" s="1394" t="s">
        <v>630</v>
      </c>
      <c r="Q41" s="377"/>
      <c r="R41" s="377"/>
      <c r="S41" s="2125"/>
      <c r="T41" s="2062"/>
      <c r="U41" s="290"/>
      <c r="V41" s="2136"/>
      <c r="W41" s="2117"/>
      <c r="X41" s="1237" t="s">
        <v>656</v>
      </c>
      <c r="Y41" s="1237" t="s">
        <v>657</v>
      </c>
      <c r="Z41" s="1368" t="s">
        <v>658</v>
      </c>
      <c r="AA41" s="2121" t="s">
        <v>659</v>
      </c>
      <c r="AB41" s="2122"/>
      <c r="AC41" s="2131"/>
      <c r="AD41" s="2136"/>
      <c r="AE41" s="2117"/>
      <c r="AF41" s="1237" t="s">
        <v>656</v>
      </c>
      <c r="AG41" s="1237" t="s">
        <v>657</v>
      </c>
      <c r="AH41" s="1368" t="s">
        <v>658</v>
      </c>
      <c r="AI41" s="2121" t="s">
        <v>659</v>
      </c>
      <c r="AJ41" s="2122"/>
      <c r="AK41" s="2131"/>
      <c r="AL41" s="2134"/>
      <c r="AM41" s="1971"/>
    </row>
    <row s="2611" customFormat="1" customHeight="1" ht="11.25" hidden="1">
      <c r="A42" s="1400"/>
      <c r="B42" s="1400"/>
      <c r="C42" s="1400"/>
      <c r="D42" s="1400"/>
      <c r="E42" s="1400"/>
      <c r="F42" s="1400"/>
      <c r="G42" s="1400"/>
      <c r="H42" s="1400"/>
      <c r="I42" s="1400"/>
      <c r="J42" s="1400"/>
      <c r="K42" s="1400"/>
      <c r="L42" s="1394"/>
      <c r="M42" s="1392"/>
      <c r="N42" s="1392"/>
      <c r="O42" s="1392"/>
      <c r="P42" s="1264"/>
      <c r="Q42" s="1265"/>
      <c r="R42" s="1280">
        <v>1</v>
      </c>
      <c r="S42" s="1307" t="s">
        <v>193</v>
      </c>
      <c r="T42" s="1281" t="s">
        <v>104</v>
      </c>
      <c r="U42" s="1263" t="str">
        <f>OFFSET(U42,0,-1)</f>
        <v>2</v>
      </c>
      <c r="V42" s="1365">
        <f>OFFSET(V42,0,-1)+1</f>
        <v>3</v>
      </c>
      <c r="W42" s="1365"/>
      <c r="X42" s="1365">
        <f>OFFSET(X42,0,-1)+1</f>
        <v>1</v>
      </c>
      <c r="Y42" s="1365">
        <f>OFFSET(Y42,0,-1)+1</f>
        <v>2</v>
      </c>
      <c r="Z42" s="1365">
        <f>OFFSET(Z42,0,-1)+1</f>
        <v>3</v>
      </c>
      <c r="AA42" s="2123">
        <f>OFFSET(AA42,0,-1)+1</f>
        <v>4</v>
      </c>
      <c r="AB42" s="2123"/>
      <c r="AC42" s="1365">
        <f>OFFSET(AC42,0,-2)+1</f>
        <v>5</v>
      </c>
      <c r="AD42" s="1365">
        <f>OFFSET(AD42,0,-1)+1</f>
        <v>6</v>
      </c>
      <c r="AE42" s="1365"/>
      <c r="AF42" s="1365">
        <f>OFFSET(AF42,0,-1)+1</f>
        <v>1</v>
      </c>
      <c r="AG42" s="1365">
        <f>OFFSET(AG42,0,-1)+1</f>
        <v>2</v>
      </c>
      <c r="AH42" s="1365">
        <f>OFFSET(AH42,0,-1)+1</f>
        <v>3</v>
      </c>
      <c r="AI42" s="2123">
        <f>OFFSET(AI42,0,-1)+1</f>
        <v>4</v>
      </c>
      <c r="AJ42" s="2123"/>
      <c r="AK42" s="1365">
        <f>OFFSET(AK42,0,-2)+1</f>
        <v>5</v>
      </c>
      <c r="AL42" s="1263">
        <f>OFFSET(AL42,0,-1)</f>
        <v>5</v>
      </c>
      <c r="AM42" s="1365">
        <f>OFFSET(AM42,0,-1)+1</f>
        <v>6</v>
      </c>
      <c r="AN42" s="517"/>
      <c r="AO42" s="517"/>
      <c r="AP42" s="517"/>
      <c r="AQ42" s="517"/>
      <c r="AR42" s="517"/>
    </row>
    <row customHeight="1" ht="21">
      <c r="A43" s="1393" t="s">
        <v>237</v>
      </c>
      <c r="B43" s="1393"/>
      <c r="C43" s="1393"/>
      <c r="D43" s="1393"/>
      <c r="E43" s="2107">
        <v>1</v>
      </c>
      <c r="F43" s="1393"/>
      <c r="G43" s="1393"/>
      <c r="H43" s="1393"/>
      <c r="I43" s="1393"/>
      <c r="J43" s="1393"/>
      <c r="K43" s="1393"/>
      <c r="L43" s="1394"/>
      <c r="M43" s="1395"/>
      <c r="N43" s="1395"/>
      <c r="O43" s="1395"/>
      <c r="P43" s="357"/>
      <c r="Q43" s="356"/>
      <c r="R43" s="351"/>
      <c r="S43" s="1366">
        <f>INDEX(PT_DIFFERENTIATION_NUM_NTAR,MATCH(A43,PT_DIFFERENTIATION_NTAR_ID,0))</f>
        <v>0</v>
      </c>
      <c r="T43" s="286" t="s">
        <v>204</v>
      </c>
      <c r="U43" s="288"/>
      <c r="V43" s="2101"/>
      <c r="W43" s="2102"/>
      <c r="X43" s="2102"/>
      <c r="Y43" s="2102"/>
      <c r="Z43" s="2102"/>
      <c r="AA43" s="2102"/>
      <c r="AB43" s="2102"/>
      <c r="AC43" s="2103"/>
      <c r="AD43" s="2101" t="str">
        <f>INDEX(PT_DIFFERENTIATION_NTAR,MATCH(A43,PT_DIFFERENTIATION_NTAR_ID,0))</f>
        <v/>
      </c>
      <c r="AE43" s="2102"/>
      <c r="AF43" s="2102"/>
      <c r="AG43" s="2102"/>
      <c r="AH43" s="2102"/>
      <c r="AI43" s="2102"/>
      <c r="AJ43" s="2102"/>
      <c r="AK43" s="2102"/>
      <c r="AL43" s="2103"/>
      <c r="AM43" s="12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6"/>
      <c r="AP43" s="506" t="str">
        <f>IF(T43="","",T43)</f>
        <v>Наименование тарифа</v>
      </c>
      <c r="AQ43" s="506"/>
      <c r="AR43" s="506"/>
    </row>
    <row customHeight="1" ht="21">
      <c r="A44" s="1393" t="s">
        <v>237</v>
      </c>
      <c r="B44" s="1393" t="s">
        <v>238</v>
      </c>
      <c r="C44" s="1393"/>
      <c r="D44" s="1393"/>
      <c r="E44" s="2108"/>
      <c r="F44" s="2107">
        <v>1</v>
      </c>
      <c r="G44" s="1393"/>
      <c r="H44" s="1393"/>
      <c r="I44" s="1393"/>
      <c r="J44" s="1393"/>
      <c r="K44" s="1393"/>
      <c r="L44" s="1394"/>
      <c r="M44" s="1395"/>
      <c r="N44" s="1395"/>
      <c r="O44" s="1395"/>
      <c r="P44" s="1362"/>
      <c r="Q44" s="348"/>
      <c r="R44" s="349"/>
      <c r="S44" s="1366" t="str">
        <f>INDEX(PT_DIFFERENTIATION_NUM_TER,MATCH(B44,PT_DIFFERENTIATION_TER_ID,0))</f>
        <v>.</v>
      </c>
      <c r="T44" s="298" t="s">
        <v>612</v>
      </c>
      <c r="U44" s="288"/>
      <c r="V44" s="2101"/>
      <c r="W44" s="2102"/>
      <c r="X44" s="2102"/>
      <c r="Y44" s="2102"/>
      <c r="Z44" s="2102"/>
      <c r="AA44" s="2102"/>
      <c r="AB44" s="2102"/>
      <c r="AC44" s="2103"/>
      <c r="AD44" s="2101" t="str">
        <f>INDEX(PT_DIFFERENTIATION_TER,MATCH(B44,PT_DIFFERENTIATION_TER_ID,0))</f>
        <v/>
      </c>
      <c r="AE44" s="2102"/>
      <c r="AF44" s="2102"/>
      <c r="AG44" s="2102"/>
      <c r="AH44" s="2102"/>
      <c r="AI44" s="2102"/>
      <c r="AJ44" s="2102"/>
      <c r="AK44" s="2102"/>
      <c r="AL44" s="2103"/>
      <c r="AM44" s="1286" t="s">
        <v>613</v>
      </c>
      <c r="AO44" s="506"/>
      <c r="AP44" s="506" t="str">
        <f>IF(T44="","",T44)</f>
        <v>Территория действия тарифа</v>
      </c>
      <c r="AQ44" s="506"/>
      <c r="AR44" s="506"/>
    </row>
    <row customHeight="1" ht="23.25">
      <c r="A45" s="1393" t="s">
        <v>237</v>
      </c>
      <c r="B45" s="1393" t="s">
        <v>238</v>
      </c>
      <c r="C45" s="1393" t="s">
        <v>239</v>
      </c>
      <c r="D45" s="1393"/>
      <c r="E45" s="2108"/>
      <c r="F45" s="2108"/>
      <c r="G45" s="2107">
        <v>1</v>
      </c>
      <c r="H45" s="1393"/>
      <c r="I45" s="1393"/>
      <c r="J45" s="1393"/>
      <c r="K45" s="1393"/>
      <c r="L45" s="1394"/>
      <c r="M45" s="1395"/>
      <c r="N45" s="1395"/>
      <c r="O45" s="1395"/>
      <c r="P45" s="350"/>
      <c r="Q45" s="348"/>
      <c r="R45" s="349"/>
      <c r="S45" s="1366" t="str">
        <f>INDEX(PT_DIFFERENTIATION_NUM_CS,MATCH(C45,PT_DIFFERENTIATION_CS_ID,0))</f>
        <v>..</v>
      </c>
      <c r="T45" s="299" t="s">
        <v>614</v>
      </c>
      <c r="U45" s="288"/>
      <c r="V45" s="2101"/>
      <c r="W45" s="2102"/>
      <c r="X45" s="2102"/>
      <c r="Y45" s="2102"/>
      <c r="Z45" s="2102"/>
      <c r="AA45" s="2102"/>
      <c r="AB45" s="2102"/>
      <c r="AC45" s="2103"/>
      <c r="AD45" s="2101" t="str">
        <f>INDEX(PT_DIFFERENTIATION_CS,MATCH(C45,PT_DIFFERENTIATION_CS_ID,0))</f>
        <v/>
      </c>
      <c r="AE45" s="2102"/>
      <c r="AF45" s="2102"/>
      <c r="AG45" s="2102"/>
      <c r="AH45" s="2102"/>
      <c r="AI45" s="2102"/>
      <c r="AJ45" s="2102"/>
      <c r="AK45" s="2102"/>
      <c r="AL45" s="2103"/>
      <c r="AM45" s="1286" t="s">
        <v>615</v>
      </c>
      <c r="AO45" s="506"/>
      <c r="AP45" s="506" t="str">
        <f>IF(T45="","",T45)</f>
        <v>Наименование системы теплоснабжения </v>
      </c>
      <c r="AQ45" s="506"/>
      <c r="AR45" s="506"/>
    </row>
    <row customHeight="1" ht="21">
      <c r="A46" s="1393" t="s">
        <v>237</v>
      </c>
      <c r="B46" s="1393" t="s">
        <v>238</v>
      </c>
      <c r="C46" s="1393" t="s">
        <v>239</v>
      </c>
      <c r="D46" s="1393" t="s">
        <v>240</v>
      </c>
      <c r="E46" s="2108"/>
      <c r="F46" s="2108"/>
      <c r="G46" s="2108"/>
      <c r="H46" s="2107">
        <v>1</v>
      </c>
      <c r="I46" s="1393"/>
      <c r="J46" s="1393"/>
      <c r="K46" s="1393"/>
      <c r="L46" s="1394"/>
      <c r="M46" s="1395"/>
      <c r="N46" s="1395"/>
      <c r="O46" s="1395"/>
      <c r="P46" s="350"/>
      <c r="Q46" s="348"/>
      <c r="R46" s="349"/>
      <c r="S46" s="1366" t="str">
        <f>INDEX(PT_DIFFERENTIATION_NUM_IST_TE,MATCH(D46,PT_DIFFERENTIATION_IST_TE_ID,0))</f>
        <v>...</v>
      </c>
      <c r="T46" s="300" t="s">
        <v>616</v>
      </c>
      <c r="U46" s="288"/>
      <c r="V46" s="2101"/>
      <c r="W46" s="2102"/>
      <c r="X46" s="2102"/>
      <c r="Y46" s="2102"/>
      <c r="Z46" s="2102"/>
      <c r="AA46" s="2102"/>
      <c r="AB46" s="2102"/>
      <c r="AC46" s="2103"/>
      <c r="AD46" s="2101" t="str">
        <f>INDEX(PT_DIFFERENTIATION_IST_TE,MATCH(D46,PT_DIFFERENTIATION_IST_TE_ID,0))</f>
        <v/>
      </c>
      <c r="AE46" s="2102"/>
      <c r="AF46" s="2102"/>
      <c r="AG46" s="2102"/>
      <c r="AH46" s="2102"/>
      <c r="AI46" s="2102"/>
      <c r="AJ46" s="2102"/>
      <c r="AK46" s="2102"/>
      <c r="AL46" s="2103"/>
      <c r="AM46" s="1286" t="s">
        <v>617</v>
      </c>
      <c r="AO46" s="506"/>
      <c r="AP46" s="506" t="str">
        <f>IF(T46="","",T46)</f>
        <v>Источник тепловой энергии  </v>
      </c>
      <c r="AQ46" s="506"/>
      <c r="AR46" s="506"/>
    </row>
    <row customHeight="1" ht="47.25">
      <c r="A47" s="1393" t="s">
        <v>237</v>
      </c>
      <c r="B47" s="1393" t="s">
        <v>238</v>
      </c>
      <c r="C47" s="1393" t="s">
        <v>239</v>
      </c>
      <c r="D47" s="1393" t="s">
        <v>240</v>
      </c>
      <c r="E47" s="2108"/>
      <c r="F47" s="2108"/>
      <c r="G47" s="2108"/>
      <c r="H47" s="2108"/>
      <c r="I47" s="2109" t="str">
        <f>S46&amp;".1"</f>
        <v>....1</v>
      </c>
      <c r="J47" s="1393"/>
      <c r="K47" s="1393"/>
      <c r="L47" s="1394" t="s">
        <v>618</v>
      </c>
      <c r="P47" s="2111">
        <v>1</v>
      </c>
      <c r="Q47" s="1361"/>
      <c r="R47" s="352"/>
      <c r="S47" s="1366" t="str">
        <f>$I47</f>
        <v>....1</v>
      </c>
      <c r="T47" s="273" t="s">
        <v>619</v>
      </c>
      <c r="U47" s="288"/>
      <c r="V47" s="2095"/>
      <c r="W47" s="2096"/>
      <c r="X47" s="2096"/>
      <c r="Y47" s="2096"/>
      <c r="Z47" s="2096"/>
      <c r="AA47" s="2096"/>
      <c r="AB47" s="2096"/>
      <c r="AC47" s="2097"/>
      <c r="AD47" s="2095"/>
      <c r="AE47" s="2096"/>
      <c r="AF47" s="2096"/>
      <c r="AG47" s="2096"/>
      <c r="AH47" s="2096"/>
      <c r="AI47" s="2096"/>
      <c r="AJ47" s="2096"/>
      <c r="AK47" s="2096"/>
      <c r="AL47" s="2097"/>
      <c r="AM47" s="1286" t="s">
        <v>620</v>
      </c>
      <c r="AO47" s="506"/>
      <c r="AP47" s="506" t="str">
        <f>IF(T47="","",T47)</f>
        <v>Схема подключения теплопотребляющей установки к коллектору источника тепловой энергии</v>
      </c>
      <c r="AQ47" s="506"/>
      <c r="AR47" s="506"/>
    </row>
    <row customHeight="1" ht="21">
      <c r="A48" s="1393" t="s">
        <v>237</v>
      </c>
      <c r="B48" s="1393" t="s">
        <v>238</v>
      </c>
      <c r="C48" s="1393" t="s">
        <v>239</v>
      </c>
      <c r="D48" s="1393" t="s">
        <v>240</v>
      </c>
      <c r="E48" s="2108"/>
      <c r="F48" s="2108"/>
      <c r="G48" s="2108"/>
      <c r="H48" s="2108"/>
      <c r="I48" s="2110"/>
      <c r="J48" s="2109" t="str">
        <f>I47&amp;".1"</f>
        <v>....1.1</v>
      </c>
      <c r="K48" s="1393"/>
      <c r="L48" s="1394" t="s">
        <v>621</v>
      </c>
      <c r="P48" s="2111"/>
      <c r="Q48" s="2111">
        <v>1</v>
      </c>
      <c r="R48" s="353"/>
      <c r="S48" s="1366" t="str">
        <f>$J48</f>
        <v>....1.1</v>
      </c>
      <c r="T48" s="274" t="s">
        <v>622</v>
      </c>
      <c r="U48" s="288"/>
      <c r="V48" s="2095"/>
      <c r="W48" s="2096"/>
      <c r="X48" s="2096"/>
      <c r="Y48" s="2096"/>
      <c r="Z48" s="2096"/>
      <c r="AA48" s="2096"/>
      <c r="AB48" s="2096"/>
      <c r="AC48" s="2097"/>
      <c r="AD48" s="2095"/>
      <c r="AE48" s="2096"/>
      <c r="AF48" s="2096"/>
      <c r="AG48" s="2096"/>
      <c r="AH48" s="2096"/>
      <c r="AI48" s="2096"/>
      <c r="AJ48" s="2096"/>
      <c r="AK48" s="2096"/>
      <c r="AL48" s="2097"/>
      <c r="AM48" s="1286" t="s">
        <v>623</v>
      </c>
      <c r="AO48" s="506"/>
      <c r="AP48" s="506" t="str">
        <f>IF(T48="","",T48)</f>
        <v>Группа потребителей</v>
      </c>
      <c r="AQ48" s="506"/>
      <c r="AR48" s="506"/>
    </row>
    <row customHeight="1" ht="21">
      <c r="A49" s="1393" t="s">
        <v>237</v>
      </c>
      <c r="B49" s="1393" t="s">
        <v>238</v>
      </c>
      <c r="C49" s="1393" t="s">
        <v>239</v>
      </c>
      <c r="D49" s="1393" t="s">
        <v>240</v>
      </c>
      <c r="E49" s="2108"/>
      <c r="F49" s="2108"/>
      <c r="G49" s="2108"/>
      <c r="H49" s="2108"/>
      <c r="I49" s="2110"/>
      <c r="J49" s="2110"/>
      <c r="K49" s="2109" t="str">
        <f>J48&amp;".1"</f>
        <v>....1.1.1</v>
      </c>
      <c r="L49" s="1394" t="s">
        <v>624</v>
      </c>
      <c r="P49" s="2111"/>
      <c r="Q49" s="2111"/>
      <c r="R49" s="353">
        <v>1</v>
      </c>
      <c r="S49" s="1366" t="str">
        <f>$K49</f>
        <v>....1.1.1</v>
      </c>
      <c r="T49" s="1377"/>
      <c r="U49" s="288"/>
      <c r="V49" s="757"/>
      <c r="W49" s="320"/>
      <c r="X49" s="757"/>
      <c r="Y49" s="1285"/>
      <c r="Z49" s="2112"/>
      <c r="AA49" s="1981" t="s">
        <v>63</v>
      </c>
      <c r="AB49" s="2112"/>
      <c r="AC49" s="1981" t="s">
        <v>63</v>
      </c>
      <c r="AD49" s="757"/>
      <c r="AE49" s="320"/>
      <c r="AF49" s="757"/>
      <c r="AG49" s="1285"/>
      <c r="AH49" s="2112"/>
      <c r="AI49" s="1981" t="s">
        <v>63</v>
      </c>
      <c r="AJ49" s="2114"/>
      <c r="AK49" s="1981" t="s">
        <v>63</v>
      </c>
      <c r="AL49" s="1378"/>
      <c r="AM49" s="2137" t="s">
        <v>625</v>
      </c>
      <c r="AN49" s="517">
        <f>STRCHECKDATE(V50:AL50)</f>
      </c>
      <c r="AO49" s="506"/>
      <c r="AP49" s="506" t="str">
        <f>IF(T49="","",T49)</f>
        <v/>
      </c>
      <c r="AQ49" s="506"/>
      <c r="AR49" s="506"/>
    </row>
    <row customHeight="1" ht="0.75">
      <c r="A50" s="1393" t="s">
        <v>237</v>
      </c>
      <c r="B50" s="1393" t="s">
        <v>238</v>
      </c>
      <c r="C50" s="1393" t="s">
        <v>239</v>
      </c>
      <c r="D50" s="1393" t="s">
        <v>240</v>
      </c>
      <c r="E50" s="2108"/>
      <c r="F50" s="2108"/>
      <c r="G50" s="2108"/>
      <c r="H50" s="2108"/>
      <c r="I50" s="2110"/>
      <c r="J50" s="2110"/>
      <c r="K50" s="2109"/>
      <c r="L50" s="1394"/>
      <c r="P50" s="2111"/>
      <c r="Q50" s="2111"/>
      <c r="R50" s="353"/>
      <c r="S50" s="1372"/>
      <c r="T50" s="288"/>
      <c r="U50" s="288"/>
      <c r="V50" s="320"/>
      <c r="W50" s="320"/>
      <c r="X50" s="320"/>
      <c r="Y50" s="324" t="str">
        <f>Z49&amp;"-"&amp;AB49</f>
        <v>-</v>
      </c>
      <c r="Z50" s="2113"/>
      <c r="AA50" s="1981"/>
      <c r="AB50" s="2113"/>
      <c r="AC50" s="1981"/>
      <c r="AD50" s="320"/>
      <c r="AE50" s="320"/>
      <c r="AF50" s="320"/>
      <c r="AG50" s="324" t="str">
        <f>AH49&amp;"-"&amp;AJ49</f>
        <v>-</v>
      </c>
      <c r="AH50" s="2113"/>
      <c r="AI50" s="1981"/>
      <c r="AJ50" s="2115"/>
      <c r="AK50" s="1981"/>
      <c r="AL50" s="1379"/>
      <c r="AM50" s="2138"/>
      <c r="AO50" s="506"/>
      <c r="AP50" s="506" t="str">
        <f>IF(T50="","",T50)</f>
        <v/>
      </c>
      <c r="AQ50" s="506"/>
      <c r="AR50" s="506"/>
    </row>
    <row customHeight="1" ht="11.25">
      <c r="A51" s="1393" t="s">
        <v>237</v>
      </c>
      <c r="B51" s="1393" t="s">
        <v>238</v>
      </c>
      <c r="C51" s="1393" t="s">
        <v>239</v>
      </c>
      <c r="D51" s="1393" t="s">
        <v>240</v>
      </c>
      <c r="E51" s="2108"/>
      <c r="F51" s="2108"/>
      <c r="G51" s="2108"/>
      <c r="H51" s="2108"/>
      <c r="I51" s="2110"/>
      <c r="J51" s="2109"/>
      <c r="K51" s="1393"/>
      <c r="L51" s="1394"/>
      <c r="P51" s="2111"/>
      <c r="Q51" s="2111"/>
      <c r="R51" s="352"/>
      <c r="S51" s="1308"/>
      <c r="T51" s="276" t="s">
        <v>626</v>
      </c>
      <c r="U51" s="367"/>
      <c r="V51" s="367"/>
      <c r="W51" s="367"/>
      <c r="X51" s="367"/>
      <c r="Y51" s="367"/>
      <c r="Z51" s="367"/>
      <c r="AA51" s="367"/>
      <c r="AB51" s="367"/>
      <c r="AC51" s="367"/>
      <c r="AD51" s="367"/>
      <c r="AE51" s="367"/>
      <c r="AF51" s="367"/>
      <c r="AG51" s="367"/>
      <c r="AH51" s="367"/>
      <c r="AI51" s="367"/>
      <c r="AJ51" s="367"/>
      <c r="AK51" s="367"/>
      <c r="AL51" s="319"/>
      <c r="AM51" s="2139"/>
      <c r="AO51" s="506"/>
      <c r="AP51" s="506" t="str">
        <f>IF(T51="","",T51)</f>
        <v>Добавить вид теплоносителя (параметры теплоносителя)</v>
      </c>
      <c r="AQ51" s="506"/>
      <c r="AR51" s="506"/>
    </row>
    <row customHeight="1" ht="11.25">
      <c r="A52" s="1393" t="s">
        <v>237</v>
      </c>
      <c r="B52" s="1393" t="s">
        <v>238</v>
      </c>
      <c r="C52" s="1393" t="s">
        <v>239</v>
      </c>
      <c r="D52" s="1393" t="s">
        <v>240</v>
      </c>
      <c r="E52" s="2108"/>
      <c r="F52" s="2108"/>
      <c r="G52" s="2108"/>
      <c r="H52" s="2108"/>
      <c r="I52" s="2109"/>
      <c r="J52" s="1393"/>
      <c r="K52" s="1393"/>
      <c r="L52" s="1394"/>
      <c r="P52" s="2111"/>
      <c r="Q52" s="1361"/>
      <c r="R52" s="352"/>
      <c r="S52" s="1308"/>
      <c r="T52" s="275" t="s">
        <v>627</v>
      </c>
      <c r="U52" s="367"/>
      <c r="V52" s="367"/>
      <c r="W52" s="367"/>
      <c r="X52" s="367"/>
      <c r="Y52" s="367"/>
      <c r="Z52" s="367"/>
      <c r="AA52" s="367"/>
      <c r="AB52" s="367"/>
      <c r="AC52" s="366"/>
      <c r="AD52" s="367"/>
      <c r="AE52" s="367"/>
      <c r="AF52" s="367"/>
      <c r="AG52" s="367"/>
      <c r="AH52" s="367"/>
      <c r="AI52" s="367"/>
      <c r="AJ52" s="367"/>
      <c r="AK52" s="366"/>
      <c r="AL52" s="367"/>
      <c r="AM52" s="291"/>
      <c r="AO52" s="506"/>
      <c r="AP52" s="506" t="str">
        <f>IF(T52="","",T52)</f>
        <v>Добавить группу потребителей</v>
      </c>
      <c r="AQ52" s="506"/>
      <c r="AR52" s="506"/>
    </row>
    <row customHeight="1" ht="14.25">
      <c r="A53" s="1393" t="s">
        <v>237</v>
      </c>
      <c r="B53" s="1393" t="s">
        <v>238</v>
      </c>
      <c r="C53" s="1393" t="s">
        <v>239</v>
      </c>
      <c r="D53" s="1393" t="s">
        <v>240</v>
      </c>
      <c r="E53" s="2108"/>
      <c r="F53" s="2108"/>
      <c r="G53" s="2108"/>
      <c r="H53" s="2107"/>
      <c r="I53" s="1393"/>
      <c r="J53" s="1393"/>
      <c r="K53" s="1393"/>
      <c r="L53" s="1394"/>
      <c r="M53" s="1395"/>
      <c r="N53" s="1395"/>
      <c r="O53" s="543"/>
      <c r="P53" s="356"/>
      <c r="Q53" s="376"/>
      <c r="R53" s="351"/>
      <c r="S53" s="1308"/>
      <c r="T53" s="364" t="s">
        <v>628</v>
      </c>
      <c r="U53" s="367"/>
      <c r="V53" s="367"/>
      <c r="W53" s="367"/>
      <c r="X53" s="367"/>
      <c r="Y53" s="367"/>
      <c r="Z53" s="367"/>
      <c r="AA53" s="367"/>
      <c r="AB53" s="367"/>
      <c r="AC53" s="366"/>
      <c r="AD53" s="367"/>
      <c r="AE53" s="367"/>
      <c r="AF53" s="367"/>
      <c r="AG53" s="367"/>
      <c r="AH53" s="367"/>
      <c r="AI53" s="367"/>
      <c r="AJ53" s="367"/>
      <c r="AK53" s="366"/>
      <c r="AL53" s="367"/>
      <c r="AM53" s="291"/>
      <c r="AO53" s="506"/>
      <c r="AP53" s="506" t="str">
        <f>IF(T53="","",T53)</f>
        <v>Добавить схему подключения</v>
      </c>
      <c r="AQ53" s="506"/>
      <c r="AR53" s="506"/>
    </row>
    <row s="3314" customFormat="1" customHeight="1" ht="0.75">
      <c r="A54" s="1373" t="s">
        <v>237</v>
      </c>
      <c r="B54" s="1373" t="s">
        <v>238</v>
      </c>
      <c r="C54" s="1373" t="s">
        <v>239</v>
      </c>
      <c r="D54" s="1344"/>
      <c r="E54" s="2108"/>
      <c r="F54" s="2108"/>
      <c r="G54" s="2107"/>
      <c r="H54" s="1344"/>
      <c r="I54" s="1344"/>
      <c r="J54" s="1344"/>
      <c r="K54" s="1344"/>
      <c r="L54" s="1369"/>
      <c r="M54" s="1345"/>
      <c r="N54" s="1345"/>
      <c r="P54" s="1346"/>
      <c r="Q54" s="1347"/>
      <c r="R54" s="1346"/>
      <c r="S54" s="1352"/>
      <c r="T54" s="1355" t="s">
        <v>254</v>
      </c>
      <c r="U54" s="1354"/>
      <c r="V54" s="1354"/>
      <c r="W54" s="1354"/>
      <c r="X54" s="1354"/>
      <c r="Y54" s="1354"/>
      <c r="Z54" s="1354"/>
      <c r="AA54" s="1354"/>
      <c r="AB54" s="1354"/>
      <c r="AC54" s="1354"/>
      <c r="AD54" s="1354"/>
      <c r="AE54" s="1354"/>
      <c r="AF54" s="1354"/>
      <c r="AG54" s="1354"/>
      <c r="AH54" s="1354"/>
      <c r="AI54" s="1354"/>
      <c r="AJ54" s="1354"/>
      <c r="AK54" s="1354"/>
      <c r="AL54" s="1354"/>
      <c r="AM54" s="1354"/>
      <c r="AO54" s="795"/>
      <c r="AP54" s="795" t="str">
        <f>IF(T54="","",T54)</f>
        <v>Добавить источник для дифференциации</v>
      </c>
      <c r="AQ54" s="795"/>
      <c r="AR54" s="795"/>
    </row>
    <row s="3314" customFormat="1" customHeight="1" ht="0.75">
      <c r="A55" s="1373" t="s">
        <v>237</v>
      </c>
      <c r="B55" s="1373" t="s">
        <v>238</v>
      </c>
      <c r="C55" s="1344"/>
      <c r="D55" s="1344"/>
      <c r="E55" s="2108"/>
      <c r="F55" s="2107"/>
      <c r="G55" s="1344"/>
      <c r="H55" s="1344"/>
      <c r="I55" s="1344"/>
      <c r="J55" s="1344"/>
      <c r="K55" s="1344"/>
      <c r="L55" s="1369"/>
      <c r="M55" s="1351"/>
      <c r="N55" s="1351"/>
      <c r="P55" s="1346"/>
      <c r="Q55" s="1347"/>
      <c r="R55" s="1346"/>
      <c r="S55" s="1352"/>
      <c r="T55" s="1355" t="s">
        <v>255</v>
      </c>
      <c r="U55" s="1354"/>
      <c r="V55" s="1354"/>
      <c r="W55" s="1354"/>
      <c r="X55" s="1354"/>
      <c r="Y55" s="1354"/>
      <c r="Z55" s="1354"/>
      <c r="AA55" s="1354"/>
      <c r="AB55" s="1354"/>
      <c r="AC55" s="1354"/>
      <c r="AD55" s="1354"/>
      <c r="AE55" s="1354"/>
      <c r="AF55" s="1354"/>
      <c r="AG55" s="1354"/>
      <c r="AH55" s="1354"/>
      <c r="AI55" s="1354"/>
      <c r="AJ55" s="1354"/>
      <c r="AK55" s="1354"/>
      <c r="AL55" s="1354"/>
      <c r="AM55" s="1354"/>
      <c r="AO55" s="795"/>
      <c r="AP55" s="795" t="str">
        <f>IF(T55="","",T55)</f>
        <v>Добавить централизованную систему для дифференциации</v>
      </c>
      <c r="AQ55" s="795"/>
      <c r="AR55" s="795"/>
    </row>
    <row s="2612" customFormat="1" customHeight="1" ht="0.75">
      <c r="A56" s="1373" t="s">
        <v>237</v>
      </c>
      <c r="B56" s="1373"/>
      <c r="C56" s="1373"/>
      <c r="D56" s="1373"/>
      <c r="E56" s="2107"/>
      <c r="F56" s="1373"/>
      <c r="G56" s="1373"/>
      <c r="H56" s="1373"/>
      <c r="I56" s="1373"/>
      <c r="J56" s="1373"/>
      <c r="K56" s="1373"/>
      <c r="L56" s="1376"/>
      <c r="M56" s="1351"/>
      <c r="N56" s="1351"/>
      <c r="O56" s="524"/>
      <c r="P56" s="385"/>
      <c r="Q56" s="1374"/>
      <c r="R56" s="385"/>
      <c r="S56" s="1352"/>
      <c r="T56" s="1355" t="s">
        <v>329</v>
      </c>
      <c r="U56" s="1354"/>
      <c r="V56" s="1354"/>
      <c r="W56" s="1354"/>
      <c r="X56" s="1354"/>
      <c r="Y56" s="1354"/>
      <c r="Z56" s="1354"/>
      <c r="AA56" s="1354"/>
      <c r="AB56" s="1354"/>
      <c r="AC56" s="1354"/>
      <c r="AD56" s="1354"/>
      <c r="AE56" s="1354"/>
      <c r="AF56" s="1354"/>
      <c r="AG56" s="1354"/>
      <c r="AH56" s="1354"/>
      <c r="AI56" s="1354"/>
      <c r="AJ56" s="1354"/>
      <c r="AK56" s="1354"/>
      <c r="AL56" s="1354"/>
      <c r="AM56" s="1354"/>
      <c r="AO56" s="506"/>
      <c r="AP56" s="506" t="str">
        <f>IF(T56="","",T56)</f>
        <v>Добавить территорию для дифференциации</v>
      </c>
      <c r="AQ56" s="506"/>
      <c r="AR56" s="506"/>
    </row>
    <row s="3314" customFormat="1" customHeight="1" ht="0.75">
      <c r="A57" s="1344"/>
      <c r="B57" s="1344"/>
      <c r="C57" s="1344"/>
      <c r="D57" s="1344"/>
      <c r="E57" s="1373"/>
      <c r="F57" s="1344"/>
      <c r="G57" s="1344"/>
      <c r="H57" s="1344"/>
      <c r="I57" s="1344"/>
      <c r="J57" s="1344"/>
      <c r="K57" s="1344"/>
      <c r="L57" s="1369"/>
      <c r="M57" s="1351"/>
      <c r="N57" s="1351"/>
      <c r="P57" s="1346"/>
      <c r="Q57" s="1347"/>
      <c r="R57" s="1346"/>
      <c r="S57" s="1352"/>
      <c r="T57" s="1355" t="s">
        <v>398</v>
      </c>
      <c r="U57" s="1354"/>
      <c r="V57" s="1354"/>
      <c r="W57" s="1354"/>
      <c r="X57" s="1354"/>
      <c r="Y57" s="1354"/>
      <c r="Z57" s="1354"/>
      <c r="AA57" s="1354"/>
      <c r="AB57" s="1354"/>
      <c r="AC57" s="1354"/>
      <c r="AD57" s="1354"/>
      <c r="AE57" s="1354"/>
      <c r="AF57" s="1354"/>
      <c r="AG57" s="1354"/>
      <c r="AH57" s="1354"/>
      <c r="AI57" s="1354"/>
      <c r="AJ57" s="1354"/>
      <c r="AK57" s="1354"/>
      <c r="AL57" s="1354"/>
      <c r="AM57" s="1354"/>
      <c r="AO57" s="795"/>
      <c r="AP57" s="795" t="str">
        <f>IF(T57="","",T57)</f>
        <v>Добавить наименование тарифа</v>
      </c>
      <c r="AQ57" s="795"/>
      <c r="AR57" s="795"/>
    </row>
    <row customHeight="1" ht="11.25">
      <c r="M58" s="1168"/>
      <c r="N58" s="1168"/>
      <c r="O58" s="543"/>
      <c r="P58" s="1163"/>
      <c r="Q58" s="1163"/>
      <c r="R58" s="1163"/>
      <c r="S58" s="1163"/>
      <c r="AN58" s="1163"/>
      <c r="AO58" s="1163"/>
      <c r="AP58" s="1163"/>
      <c r="AQ58" s="1163"/>
      <c r="AR58" s="1163"/>
    </row>
    <row customHeight="1" ht="27">
      <c r="O59" s="543"/>
      <c r="S59" s="1273"/>
      <c r="T59" s="2106"/>
      <c r="U59" s="2106"/>
      <c r="V59" s="2106"/>
      <c r="W59" s="2106"/>
      <c r="X59" s="2106"/>
      <c r="Y59" s="2106"/>
      <c r="Z59" s="2106"/>
      <c r="AA59" s="2106"/>
      <c r="AB59" s="2106"/>
      <c r="AC59" s="2106"/>
      <c r="AD59" s="2106"/>
      <c r="AE59" s="2106"/>
      <c r="AF59" s="2106"/>
      <c r="AG59" s="2106"/>
      <c r="AH59" s="2106"/>
      <c r="AI59" s="2106"/>
      <c r="AJ59" s="2106"/>
      <c r="AK59" s="2106"/>
      <c r="AL59" s="2106"/>
      <c r="AM59" s="2106"/>
    </row>
    <row customHeight="1" ht="62.25">
      <c r="O60" s="543"/>
      <c r="T60" s="2106"/>
      <c r="U60" s="2106"/>
      <c r="V60" s="2106"/>
      <c r="W60" s="2106"/>
      <c r="X60" s="2106"/>
      <c r="Y60" s="2106"/>
      <c r="Z60" s="2106"/>
      <c r="AA60" s="2106"/>
      <c r="AB60" s="2106"/>
      <c r="AC60" s="2106"/>
      <c r="AD60" s="2106"/>
      <c r="AE60" s="2106"/>
      <c r="AF60" s="2106"/>
      <c r="AG60" s="2106"/>
      <c r="AH60" s="2106"/>
      <c r="AI60" s="2106"/>
      <c r="AJ60" s="2106"/>
      <c r="AK60" s="2106"/>
      <c r="AL60" s="2106"/>
      <c r="AM60" s="2106"/>
    </row>
    <row customHeight="1" ht="14.25">
      <c r="O61" s="543"/>
    </row>
    <row customHeight="1" ht="18">
      <c r="O62" s="543"/>
      <c r="S62" s="1273"/>
      <c r="T62" s="2106"/>
      <c r="U62" s="2106"/>
      <c r="V62" s="2106"/>
      <c r="W62" s="2106"/>
      <c r="X62" s="2106"/>
      <c r="Y62" s="2106"/>
      <c r="Z62" s="2106"/>
      <c r="AA62" s="2106"/>
      <c r="AB62" s="2106"/>
      <c r="AC62" s="2106"/>
      <c r="AD62" s="2106"/>
      <c r="AE62" s="2106"/>
      <c r="AF62" s="2106"/>
      <c r="AG62" s="2106"/>
      <c r="AH62" s="2106"/>
      <c r="AI62" s="2106"/>
      <c r="AJ62" s="2106"/>
      <c r="AK62" s="2106"/>
      <c r="AL62" s="2106"/>
      <c r="AM62" s="2106"/>
    </row>
    <row customHeight="1" ht="18">
      <c r="O63" s="543"/>
      <c r="T63" s="2106"/>
      <c r="U63" s="2106"/>
      <c r="V63" s="2106"/>
      <c r="W63" s="2106"/>
      <c r="X63" s="2106"/>
      <c r="Y63" s="2106"/>
      <c r="Z63" s="2106"/>
      <c r="AA63" s="2106"/>
      <c r="AB63" s="2106"/>
      <c r="AC63" s="2106"/>
      <c r="AD63" s="2106"/>
      <c r="AE63" s="2106"/>
      <c r="AF63" s="2106"/>
      <c r="AG63" s="2106"/>
      <c r="AH63" s="2106"/>
      <c r="AI63" s="2106"/>
      <c r="AJ63" s="2106"/>
      <c r="AK63" s="2106"/>
      <c r="AL63" s="2106"/>
      <c r="AM63" s="2106"/>
    </row>
    <row customHeight="1" ht="27.75">
      <c r="O64" s="543"/>
      <c r="S64" s="1273"/>
      <c r="T64" s="2106"/>
      <c r="U64" s="2106"/>
      <c r="V64" s="2106"/>
      <c r="W64" s="2106"/>
      <c r="X64" s="2106"/>
      <c r="Y64" s="2106"/>
      <c r="Z64" s="2106"/>
      <c r="AA64" s="2106"/>
      <c r="AB64" s="2106"/>
      <c r="AC64" s="2106"/>
      <c r="AD64" s="2106"/>
      <c r="AE64" s="2106"/>
      <c r="AF64" s="2106"/>
      <c r="AG64" s="2106"/>
      <c r="AH64" s="2106"/>
      <c r="AI64" s="2106"/>
      <c r="AJ64" s="2106"/>
      <c r="AK64" s="2106"/>
      <c r="AL64" s="2106"/>
      <c r="AM64" s="2106"/>
    </row>
  </sheetData>
  <sheetProtection formatColumns="0" formatRows="0" autoFilter="0" sort="0" insertRows="0" insertColumns="1" deleteRows="0" deleteColumns="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65110E-E381-737A-28DD-871B1A4917DC}"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2.00390625" hidden="1" customWidth="1"/>
    <col min="10" max="10" style="2683" width="9.8515625" hidden="1" customWidth="1"/>
    <col min="11" max="11" style="2683" width="11.421875" hidden="1" customWidth="1"/>
    <col min="12" max="12" style="3333" width="19.140625" hidden="1" customWidth="1"/>
    <col min="13" max="14" style="3334" width="12.28125" hidden="1" customWidth="1"/>
    <col min="15" max="15" style="3334" width="23.421875" hidden="1" customWidth="1"/>
    <col min="16" max="16" style="3355" width="3.7109375" customWidth="1"/>
    <col min="17" max="18" style="3411" width="3.7109375" customWidth="1"/>
    <col min="19" max="19" style="3412" width="12.7109375" customWidth="1"/>
    <col min="20" max="20" style="2984" width="32.00390625" customWidth="1"/>
    <col min="21" max="21" style="2984" width="0.7109375" hidden="1" customWidth="1"/>
    <col min="22" max="22" style="2984" width="1.7109375" hidden="1" customWidth="1"/>
    <col min="23" max="23" style="2984" width="24.7109375" hidden="1" customWidth="1"/>
    <col min="24" max="25" style="2984" width="0.140625" hidden="1" customWidth="1"/>
    <col min="26" max="26" style="2984" width="11.7109375" hidden="1" customWidth="1"/>
    <col min="27" max="27" style="2984" width="3.7109375" hidden="1" customWidth="1"/>
    <col min="28" max="28" style="2984" width="11.7109375" hidden="1" customWidth="1"/>
    <col min="29" max="29" style="2984" width="8.57421875" hidden="1" customWidth="1"/>
    <col min="30" max="30" style="2984" width="0.140625" customWidth="1"/>
    <col min="31" max="31" style="2984" width="24.7109375" customWidth="1"/>
    <col min="32" max="33" style="2984" width="0.140625" customWidth="1"/>
    <col min="34" max="34" style="2984" width="11.7109375" customWidth="1"/>
    <col min="35" max="35" style="2984" width="3.7109375" customWidth="1"/>
    <col min="36" max="36" style="2984" width="11.7109375" customWidth="1"/>
    <col min="37" max="37" style="2984" width="8.57421875" hidden="1" customWidth="1"/>
    <col min="38" max="38" style="2984" width="4.7109375" customWidth="1"/>
    <col min="39" max="39" style="2984" width="115.7109375" customWidth="1"/>
    <col min="40" max="41" style="2612" width="10.57421875"/>
    <col min="42" max="42" style="2612" width="11.140625" customWidth="1"/>
    <col min="43" max="44" style="2612" width="10.57421875"/>
  </cols>
  <sheetData>
    <row customHeight="1" ht="14.25" hidden="1">
      <c r="Y1" s="323"/>
      <c r="Z1" s="323"/>
      <c r="AG1" s="323"/>
      <c r="AH1" s="323"/>
    </row>
    <row customHeight="1" ht="21" hidden="1">
      <c r="A2" s="1393"/>
      <c r="B2" s="1393"/>
      <c r="C2" s="1393"/>
      <c r="D2" s="1393"/>
      <c r="E2" s="2107">
        <v>1</v>
      </c>
      <c r="F2" s="1393"/>
      <c r="G2" s="1393"/>
      <c r="H2" s="1393"/>
      <c r="I2" s="1393"/>
      <c r="J2" s="1393"/>
      <c r="K2" s="1393"/>
      <c r="L2" s="1394"/>
      <c r="M2" s="1395"/>
      <c r="N2" s="1395"/>
      <c r="O2" s="1395"/>
      <c r="P2" s="357"/>
      <c r="Q2" s="356"/>
      <c r="R2" s="351"/>
      <c r="S2" s="1366">
        <f>INDEX(PT_DIFFERENTIATION_NUM_NTAR,MATCH(A2,PT_DIFFERENTIATION_NTAR_ID,0))</f>
      </c>
      <c r="T2" s="286" t="s">
        <v>204</v>
      </c>
      <c r="U2" s="288"/>
      <c r="V2" s="2101"/>
      <c r="W2" s="2102"/>
      <c r="X2" s="2102"/>
      <c r="Y2" s="2102"/>
      <c r="Z2" s="2102"/>
      <c r="AA2" s="2102"/>
      <c r="AB2" s="2102"/>
      <c r="AC2" s="2103"/>
      <c r="AD2" s="2101">
        <f>INDEX(PT_DIFFERENTIATION_NTAR,MATCH(A2,PT_DIFFERENTIATION_NTAR_ID,0))</f>
      </c>
      <c r="AE2" s="2102"/>
      <c r="AF2" s="2102"/>
      <c r="AG2" s="2102"/>
      <c r="AH2" s="2102"/>
      <c r="AI2" s="2102"/>
      <c r="AJ2" s="2102"/>
      <c r="AK2" s="2102"/>
      <c r="AL2" s="2103"/>
      <c r="AM2" s="1286" t="s">
        <v>611</v>
      </c>
      <c r="AO2" s="506"/>
      <c r="AP2" s="506" t="str">
        <f>IF(T2="","",T2)</f>
        <v>Наименование тарифа</v>
      </c>
      <c r="AQ2" s="506"/>
      <c r="AR2" s="506"/>
    </row>
    <row customHeight="1" ht="21" hidden="1">
      <c r="A3" s="1393"/>
      <c r="B3" s="1393"/>
      <c r="C3" s="1393"/>
      <c r="D3" s="1393"/>
      <c r="E3" s="2108"/>
      <c r="F3" s="2107">
        <v>1</v>
      </c>
      <c r="G3" s="1393"/>
      <c r="H3" s="1393"/>
      <c r="I3" s="1393"/>
      <c r="J3" s="1393"/>
      <c r="K3" s="1393"/>
      <c r="L3" s="1394"/>
      <c r="M3" s="1395"/>
      <c r="N3" s="1395"/>
      <c r="O3" s="1395"/>
      <c r="P3" s="1362"/>
      <c r="Q3" s="348"/>
      <c r="R3" s="349"/>
      <c r="S3" s="1366">
        <f>INDEX(PT_DIFFERENTIATION_NUM_TER,MATCH(B3,PT_DIFFERENTIATION_TER_ID,0))</f>
      </c>
      <c r="T3" s="298" t="s">
        <v>612</v>
      </c>
      <c r="U3" s="288"/>
      <c r="V3" s="2101"/>
      <c r="W3" s="2102"/>
      <c r="X3" s="2102"/>
      <c r="Y3" s="2102"/>
      <c r="Z3" s="2102"/>
      <c r="AA3" s="2102"/>
      <c r="AB3" s="2102"/>
      <c r="AC3" s="2103"/>
      <c r="AD3" s="2101">
        <f>INDEX(PT_DIFFERENTIATION_TER,MATCH(B3,PT_DIFFERENTIATION_TER_ID,0))</f>
      </c>
      <c r="AE3" s="2102"/>
      <c r="AF3" s="2102"/>
      <c r="AG3" s="2102"/>
      <c r="AH3" s="2102"/>
      <c r="AI3" s="2102"/>
      <c r="AJ3" s="2102"/>
      <c r="AK3" s="2102"/>
      <c r="AL3" s="2103"/>
      <c r="AM3" s="1286" t="s">
        <v>613</v>
      </c>
      <c r="AO3" s="506"/>
      <c r="AP3" s="506" t="str">
        <f>IF(T3="","",T3)</f>
        <v>Территория действия тарифа</v>
      </c>
      <c r="AQ3" s="506"/>
      <c r="AR3" s="506"/>
    </row>
    <row customHeight="1" ht="23.25" hidden="1">
      <c r="A4" s="1393"/>
      <c r="B4" s="1393"/>
      <c r="C4" s="1393"/>
      <c r="D4" s="1393"/>
      <c r="E4" s="2108"/>
      <c r="F4" s="2108"/>
      <c r="G4" s="2107">
        <v>1</v>
      </c>
      <c r="H4" s="1393"/>
      <c r="I4" s="1393"/>
      <c r="J4" s="1393"/>
      <c r="K4" s="1393"/>
      <c r="L4" s="1394"/>
      <c r="M4" s="1395"/>
      <c r="N4" s="1395"/>
      <c r="O4" s="1395"/>
      <c r="P4" s="350"/>
      <c r="Q4" s="348"/>
      <c r="R4" s="349"/>
      <c r="S4" s="1366">
        <f>INDEX(PT_DIFFERENTIATION_NUM_CS,MATCH(C4,PT_DIFFERENTIATION_CS_ID,0))</f>
      </c>
      <c r="T4" s="299" t="s">
        <v>614</v>
      </c>
      <c r="U4" s="288"/>
      <c r="V4" s="2101"/>
      <c r="W4" s="2102"/>
      <c r="X4" s="2102"/>
      <c r="Y4" s="2102"/>
      <c r="Z4" s="2102"/>
      <c r="AA4" s="2102"/>
      <c r="AB4" s="2102"/>
      <c r="AC4" s="2103"/>
      <c r="AD4" s="2101">
        <f>INDEX(PT_DIFFERENTIATION_CS,MATCH(C4,PT_DIFFERENTIATION_CS_ID,0))</f>
      </c>
      <c r="AE4" s="2102"/>
      <c r="AF4" s="2102"/>
      <c r="AG4" s="2102"/>
      <c r="AH4" s="2102"/>
      <c r="AI4" s="2102"/>
      <c r="AJ4" s="2102"/>
      <c r="AK4" s="2102"/>
      <c r="AL4" s="2103"/>
      <c r="AM4" s="1286" t="s">
        <v>615</v>
      </c>
      <c r="AO4" s="506"/>
      <c r="AP4" s="506" t="str">
        <f>IF(T4="","",T4)</f>
        <v>Наименование системы теплоснабжения </v>
      </c>
      <c r="AQ4" s="506"/>
      <c r="AR4" s="506"/>
    </row>
    <row customHeight="1" ht="21" hidden="1">
      <c r="A5" s="1393"/>
      <c r="B5" s="1393"/>
      <c r="C5" s="1393"/>
      <c r="D5" s="1393"/>
      <c r="E5" s="2108"/>
      <c r="F5" s="2108"/>
      <c r="G5" s="2108"/>
      <c r="H5" s="2107">
        <v>1</v>
      </c>
      <c r="I5" s="1393"/>
      <c r="J5" s="1393"/>
      <c r="K5" s="1393"/>
      <c r="L5" s="1394"/>
      <c r="M5" s="1395"/>
      <c r="N5" s="1395"/>
      <c r="O5" s="1395"/>
      <c r="P5" s="350"/>
      <c r="Q5" s="348"/>
      <c r="R5" s="349"/>
      <c r="S5" s="1366">
        <f>INDEX(PT_DIFFERENTIATION_NUM_IST_TE,MATCH(D5,PT_DIFFERENTIATION_IST_TE_ID,0))</f>
      </c>
      <c r="T5" s="300" t="s">
        <v>616</v>
      </c>
      <c r="U5" s="288"/>
      <c r="V5" s="2101"/>
      <c r="W5" s="2102"/>
      <c r="X5" s="2102"/>
      <c r="Y5" s="2102"/>
      <c r="Z5" s="2102"/>
      <c r="AA5" s="2102"/>
      <c r="AB5" s="2102"/>
      <c r="AC5" s="2103"/>
      <c r="AD5" s="2101">
        <f>INDEX(PT_DIFFERENTIATION_IST_TE,MATCH(D5,PT_DIFFERENTIATION_IST_TE_ID,0))</f>
      </c>
      <c r="AE5" s="2102"/>
      <c r="AF5" s="2102"/>
      <c r="AG5" s="2102"/>
      <c r="AH5" s="2102"/>
      <c r="AI5" s="2102"/>
      <c r="AJ5" s="2102"/>
      <c r="AK5" s="2102"/>
      <c r="AL5" s="2103"/>
      <c r="AM5" s="1286" t="s">
        <v>617</v>
      </c>
      <c r="AO5" s="506"/>
      <c r="AP5" s="506" t="str">
        <f>IF(T5="","",T5)</f>
        <v>Источник тепловой энергии  </v>
      </c>
      <c r="AQ5" s="506"/>
      <c r="AR5" s="506"/>
    </row>
    <row customHeight="1" ht="47.25" hidden="1">
      <c r="A6" s="1393"/>
      <c r="B6" s="1393"/>
      <c r="C6" s="1393"/>
      <c r="D6" s="1393"/>
      <c r="E6" s="2108"/>
      <c r="F6" s="2108"/>
      <c r="G6" s="2108"/>
      <c r="H6" s="2108"/>
      <c r="I6" s="2109">
        <f>S5&amp;".1"</f>
      </c>
      <c r="J6" s="1393"/>
      <c r="K6" s="1393"/>
      <c r="L6" s="1394" t="s">
        <v>618</v>
      </c>
      <c r="M6" s="543"/>
      <c r="P6" s="2111">
        <v>1</v>
      </c>
      <c r="Q6" s="1361"/>
      <c r="R6" s="352"/>
      <c r="S6" s="1366">
        <f>$I6</f>
      </c>
      <c r="T6" s="273" t="s">
        <v>619</v>
      </c>
      <c r="U6" s="288"/>
      <c r="V6" s="2095"/>
      <c r="W6" s="2096"/>
      <c r="X6" s="2096"/>
      <c r="Y6" s="2096"/>
      <c r="Z6" s="2096"/>
      <c r="AA6" s="2096"/>
      <c r="AB6" s="2096"/>
      <c r="AC6" s="2097"/>
      <c r="AD6" s="2095"/>
      <c r="AE6" s="2096"/>
      <c r="AF6" s="2096"/>
      <c r="AG6" s="2096"/>
      <c r="AH6" s="2096"/>
      <c r="AI6" s="2096"/>
      <c r="AJ6" s="2096"/>
      <c r="AK6" s="2096"/>
      <c r="AL6" s="2097"/>
      <c r="AM6" s="1286" t="s">
        <v>620</v>
      </c>
      <c r="AO6" s="506"/>
      <c r="AP6" s="506" t="str">
        <f>IF(T6="","",T6)</f>
        <v>Схема подключения теплопотребляющей установки к коллектору источника тепловой энергии</v>
      </c>
      <c r="AQ6" s="506"/>
      <c r="AR6" s="506"/>
    </row>
    <row customHeight="1" ht="21" hidden="1">
      <c r="A7" s="1393"/>
      <c r="B7" s="1393"/>
      <c r="C7" s="1393"/>
      <c r="D7" s="1393"/>
      <c r="E7" s="2108"/>
      <c r="F7" s="2108"/>
      <c r="G7" s="2108"/>
      <c r="H7" s="2108"/>
      <c r="I7" s="2110"/>
      <c r="J7" s="2109">
        <f>I6&amp;".1"</f>
      </c>
      <c r="K7" s="1393"/>
      <c r="L7" s="1394" t="s">
        <v>621</v>
      </c>
      <c r="M7" s="543"/>
      <c r="N7" s="1396"/>
      <c r="P7" s="2111"/>
      <c r="Q7" s="2111">
        <v>1</v>
      </c>
      <c r="R7" s="353"/>
      <c r="S7" s="1366">
        <f>$J7</f>
      </c>
      <c r="T7" s="274" t="s">
        <v>622</v>
      </c>
      <c r="U7" s="288"/>
      <c r="V7" s="2095"/>
      <c r="W7" s="2096"/>
      <c r="X7" s="2096"/>
      <c r="Y7" s="2096"/>
      <c r="Z7" s="2096"/>
      <c r="AA7" s="2096"/>
      <c r="AB7" s="2096"/>
      <c r="AC7" s="2097"/>
      <c r="AD7" s="2095"/>
      <c r="AE7" s="2096"/>
      <c r="AF7" s="2096"/>
      <c r="AG7" s="2096"/>
      <c r="AH7" s="2096"/>
      <c r="AI7" s="2096"/>
      <c r="AJ7" s="2096"/>
      <c r="AK7" s="2096"/>
      <c r="AL7" s="2097"/>
      <c r="AM7" s="1286" t="s">
        <v>623</v>
      </c>
      <c r="AO7" s="506"/>
      <c r="AP7" s="506" t="str">
        <f>IF(T7="","",T7)</f>
        <v>Группа потребителей</v>
      </c>
      <c r="AQ7" s="506"/>
      <c r="AR7" s="506"/>
    </row>
    <row customHeight="1" ht="21" hidden="1">
      <c r="A8" s="1393"/>
      <c r="B8" s="1393"/>
      <c r="C8" s="1393"/>
      <c r="D8" s="1393"/>
      <c r="E8" s="2108"/>
      <c r="F8" s="2108"/>
      <c r="G8" s="2108"/>
      <c r="H8" s="2108"/>
      <c r="I8" s="2110"/>
      <c r="J8" s="2110"/>
      <c r="K8" s="2109">
        <f>J7&amp;".1"</f>
      </c>
      <c r="L8" s="1394" t="s">
        <v>624</v>
      </c>
      <c r="M8" s="543"/>
      <c r="N8" s="1396"/>
      <c r="O8" s="1396"/>
      <c r="P8" s="2111"/>
      <c r="Q8" s="2111"/>
      <c r="R8" s="353">
        <v>1</v>
      </c>
      <c r="S8" s="1366">
        <f>$K8</f>
      </c>
      <c r="T8" s="1377"/>
      <c r="U8" s="288"/>
      <c r="V8" s="320"/>
      <c r="W8" s="757"/>
      <c r="X8" s="320"/>
      <c r="Y8" s="390"/>
      <c r="Z8" s="2112"/>
      <c r="AA8" s="1981" t="s">
        <v>63</v>
      </c>
      <c r="AB8" s="2112"/>
      <c r="AC8" s="1981" t="s">
        <v>63</v>
      </c>
      <c r="AD8" s="320"/>
      <c r="AE8" s="757"/>
      <c r="AF8" s="320"/>
      <c r="AG8" s="390"/>
      <c r="AH8" s="2112"/>
      <c r="AI8" s="1981" t="s">
        <v>63</v>
      </c>
      <c r="AJ8" s="2112"/>
      <c r="AK8" s="1981" t="s">
        <v>63</v>
      </c>
      <c r="AL8" s="320"/>
      <c r="AM8" s="2137" t="s">
        <v>625</v>
      </c>
      <c r="AN8" s="517">
        <f>STRCHECKDATE(V9:AL9)</f>
      </c>
      <c r="AO8" s="506"/>
      <c r="AP8" s="506" t="str">
        <f>IF(T8="","",T8)</f>
        <v/>
      </c>
      <c r="AQ8" s="506"/>
      <c r="AR8" s="506"/>
    </row>
    <row customHeight="1" ht="0.75" hidden="1">
      <c r="A9" s="1393"/>
      <c r="B9" s="1393"/>
      <c r="C9" s="1393"/>
      <c r="D9" s="1393"/>
      <c r="E9" s="2108"/>
      <c r="F9" s="2108"/>
      <c r="G9" s="2108"/>
      <c r="H9" s="2108"/>
      <c r="I9" s="2110"/>
      <c r="J9" s="2110"/>
      <c r="K9" s="2109"/>
      <c r="L9" s="1394"/>
      <c r="M9" s="543"/>
      <c r="N9" s="1396"/>
      <c r="O9" s="1396"/>
      <c r="P9" s="2111"/>
      <c r="Q9" s="2111"/>
      <c r="R9" s="353"/>
      <c r="S9" s="1372"/>
      <c r="T9" s="288"/>
      <c r="U9" s="288"/>
      <c r="V9" s="320"/>
      <c r="W9" s="320"/>
      <c r="X9" s="320"/>
      <c r="Y9" s="324" t="str">
        <f>Z8&amp;"-"&amp;AB8</f>
        <v>-</v>
      </c>
      <c r="Z9" s="2113"/>
      <c r="AA9" s="1981"/>
      <c r="AB9" s="2113"/>
      <c r="AC9" s="1981"/>
      <c r="AD9" s="320"/>
      <c r="AE9" s="320"/>
      <c r="AF9" s="320"/>
      <c r="AG9" s="324" t="str">
        <f>AH8&amp;"-"&amp;AJ8</f>
        <v>-</v>
      </c>
      <c r="AH9" s="2113"/>
      <c r="AI9" s="1981"/>
      <c r="AJ9" s="2113"/>
      <c r="AK9" s="1981"/>
      <c r="AL9" s="320"/>
      <c r="AM9" s="2138"/>
      <c r="AO9" s="506"/>
      <c r="AP9" s="506" t="str">
        <f>IF(T9="","",T9)</f>
        <v/>
      </c>
      <c r="AQ9" s="506"/>
      <c r="AR9" s="506"/>
    </row>
    <row customHeight="1" ht="15" hidden="1">
      <c r="A10" s="1393"/>
      <c r="B10" s="1393"/>
      <c r="C10" s="1393"/>
      <c r="D10" s="1393"/>
      <c r="E10" s="2108"/>
      <c r="F10" s="2108"/>
      <c r="G10" s="2108"/>
      <c r="H10" s="2108"/>
      <c r="I10" s="2110"/>
      <c r="J10" s="2109"/>
      <c r="K10" s="1393"/>
      <c r="L10" s="1394"/>
      <c r="M10" s="543"/>
      <c r="N10" s="1396"/>
      <c r="P10" s="2111"/>
      <c r="Q10" s="2111"/>
      <c r="R10" s="352"/>
      <c r="S10" s="1308"/>
      <c r="T10" s="276" t="s">
        <v>626</v>
      </c>
      <c r="U10" s="367"/>
      <c r="V10" s="367"/>
      <c r="W10" s="367"/>
      <c r="X10" s="367"/>
      <c r="Y10" s="367"/>
      <c r="Z10" s="367"/>
      <c r="AA10" s="367"/>
      <c r="AB10" s="367"/>
      <c r="AC10" s="367"/>
      <c r="AD10" s="367"/>
      <c r="AE10" s="367"/>
      <c r="AF10" s="367"/>
      <c r="AG10" s="367"/>
      <c r="AH10" s="367"/>
      <c r="AI10" s="367"/>
      <c r="AJ10" s="367"/>
      <c r="AK10" s="367"/>
      <c r="AL10" s="319"/>
      <c r="AM10" s="2139"/>
      <c r="AO10" s="506"/>
      <c r="AP10" s="506" t="str">
        <f>IF(T10="","",T10)</f>
        <v>Добавить вид теплоносителя (параметры теплоносителя)</v>
      </c>
      <c r="AQ10" s="506"/>
      <c r="AR10" s="506"/>
    </row>
    <row customHeight="1" ht="15" hidden="1">
      <c r="A11" s="1393"/>
      <c r="B11" s="1393"/>
      <c r="C11" s="1393"/>
      <c r="D11" s="1393"/>
      <c r="E11" s="2108"/>
      <c r="F11" s="2108"/>
      <c r="G11" s="2108"/>
      <c r="H11" s="2108"/>
      <c r="I11" s="2109"/>
      <c r="J11" s="1393"/>
      <c r="K11" s="1393"/>
      <c r="L11" s="1394"/>
      <c r="M11" s="543"/>
      <c r="P11" s="2111"/>
      <c r="Q11" s="1361"/>
      <c r="R11" s="352"/>
      <c r="S11" s="1308"/>
      <c r="T11" s="275" t="s">
        <v>627</v>
      </c>
      <c r="U11" s="367"/>
      <c r="V11" s="367"/>
      <c r="W11" s="367"/>
      <c r="X11" s="367"/>
      <c r="Y11" s="367"/>
      <c r="Z11" s="367"/>
      <c r="AA11" s="367"/>
      <c r="AB11" s="367"/>
      <c r="AC11" s="366"/>
      <c r="AD11" s="367"/>
      <c r="AE11" s="367"/>
      <c r="AF11" s="367"/>
      <c r="AG11" s="367"/>
      <c r="AH11" s="367"/>
      <c r="AI11" s="367"/>
      <c r="AJ11" s="367"/>
      <c r="AK11" s="366"/>
      <c r="AL11" s="367"/>
      <c r="AM11" s="291"/>
      <c r="AO11" s="506"/>
      <c r="AP11" s="506" t="str">
        <f>IF(T11="","",T11)</f>
        <v>Добавить группу потребителей</v>
      </c>
      <c r="AQ11" s="506"/>
      <c r="AR11" s="506"/>
    </row>
    <row customHeight="1" ht="14.25" hidden="1">
      <c r="A12" s="1393"/>
      <c r="B12" s="1393"/>
      <c r="C12" s="1393"/>
      <c r="D12" s="1393"/>
      <c r="E12" s="2108"/>
      <c r="F12" s="2108"/>
      <c r="G12" s="2108"/>
      <c r="H12" s="2107"/>
      <c r="I12" s="1393"/>
      <c r="J12" s="1393"/>
      <c r="K12" s="1393"/>
      <c r="L12" s="1394"/>
      <c r="M12" s="1395"/>
      <c r="N12" s="1395"/>
      <c r="O12" s="543"/>
      <c r="P12" s="356"/>
      <c r="Q12" s="376"/>
      <c r="R12" s="351"/>
      <c r="S12" s="1308"/>
      <c r="T12" s="364" t="s">
        <v>628</v>
      </c>
      <c r="U12" s="367"/>
      <c r="V12" s="367"/>
      <c r="W12" s="367"/>
      <c r="X12" s="367"/>
      <c r="Y12" s="367"/>
      <c r="Z12" s="367"/>
      <c r="AA12" s="367"/>
      <c r="AB12" s="367"/>
      <c r="AC12" s="366"/>
      <c r="AD12" s="367"/>
      <c r="AE12" s="367"/>
      <c r="AF12" s="367"/>
      <c r="AG12" s="367"/>
      <c r="AH12" s="367"/>
      <c r="AI12" s="367"/>
      <c r="AJ12" s="367"/>
      <c r="AK12" s="366"/>
      <c r="AL12" s="367"/>
      <c r="AM12" s="291"/>
      <c r="AO12" s="506"/>
      <c r="AP12" s="506" t="str">
        <f>IF(T12="","",T12)</f>
        <v>Добавить схему подключения</v>
      </c>
      <c r="AQ12" s="506"/>
      <c r="AR12" s="506"/>
    </row>
    <row s="3314" customFormat="1" customHeight="1" ht="0.75" hidden="1">
      <c r="A13" s="1344"/>
      <c r="B13" s="1344"/>
      <c r="C13" s="1344"/>
      <c r="D13" s="1344"/>
      <c r="E13" s="2108"/>
      <c r="F13" s="2108"/>
      <c r="G13" s="2107"/>
      <c r="H13" s="1344"/>
      <c r="I13" s="1344"/>
      <c r="J13" s="1344"/>
      <c r="K13" s="1344"/>
      <c r="L13" s="1369"/>
      <c r="M13" s="1345"/>
      <c r="N13" s="1345"/>
      <c r="P13" s="1346"/>
      <c r="Q13" s="1347"/>
      <c r="R13" s="1346"/>
      <c r="S13" s="1348"/>
      <c r="T13" s="1349" t="s">
        <v>254</v>
      </c>
      <c r="U13" s="1350"/>
      <c r="V13" s="1350"/>
      <c r="W13" s="1350"/>
      <c r="X13" s="1350"/>
      <c r="Y13" s="1350"/>
      <c r="Z13" s="1350"/>
      <c r="AA13" s="1350"/>
      <c r="AB13" s="1350"/>
      <c r="AC13" s="1350"/>
      <c r="AD13" s="1350"/>
      <c r="AE13" s="1350"/>
      <c r="AF13" s="1350"/>
      <c r="AG13" s="1350"/>
      <c r="AH13" s="1350"/>
      <c r="AI13" s="1350"/>
      <c r="AJ13" s="1350"/>
      <c r="AK13" s="1350"/>
      <c r="AL13" s="1350"/>
      <c r="AM13" s="1350"/>
      <c r="AO13" s="795"/>
      <c r="AP13" s="795" t="str">
        <f>IF(T13="","",T13)</f>
        <v>Добавить источник для дифференциации</v>
      </c>
      <c r="AQ13" s="795"/>
      <c r="AR13" s="795"/>
    </row>
    <row s="3314" customFormat="1" customHeight="1" ht="0.75" hidden="1">
      <c r="A14" s="1344"/>
      <c r="B14" s="1344"/>
      <c r="C14" s="1344"/>
      <c r="D14" s="1344"/>
      <c r="E14" s="2108"/>
      <c r="F14" s="2107"/>
      <c r="G14" s="1344"/>
      <c r="H14" s="1344"/>
      <c r="I14" s="1344"/>
      <c r="J14" s="1344"/>
      <c r="K14" s="1344"/>
      <c r="L14" s="1369"/>
      <c r="M14" s="1351"/>
      <c r="N14" s="1351"/>
      <c r="P14" s="1346"/>
      <c r="Q14" s="1347"/>
      <c r="R14" s="1346"/>
      <c r="S14" s="1352"/>
      <c r="T14" s="1353" t="s">
        <v>255</v>
      </c>
      <c r="U14" s="1354"/>
      <c r="V14" s="1354"/>
      <c r="W14" s="1354"/>
      <c r="X14" s="1354"/>
      <c r="Y14" s="1354"/>
      <c r="Z14" s="1354"/>
      <c r="AA14" s="1354"/>
      <c r="AB14" s="1354"/>
      <c r="AC14" s="1354"/>
      <c r="AD14" s="1354"/>
      <c r="AE14" s="1354"/>
      <c r="AF14" s="1354"/>
      <c r="AG14" s="1354"/>
      <c r="AH14" s="1354"/>
      <c r="AI14" s="1354"/>
      <c r="AJ14" s="1354"/>
      <c r="AK14" s="1354"/>
      <c r="AL14" s="1354"/>
      <c r="AM14" s="1354"/>
      <c r="AO14" s="795"/>
      <c r="AP14" s="795" t="str">
        <f>IF(T14="","",T14)</f>
        <v>Добавить централизованную систему для дифференциации</v>
      </c>
      <c r="AQ14" s="795"/>
      <c r="AR14" s="795"/>
    </row>
    <row s="3314" customFormat="1" customHeight="1" ht="0.75" hidden="1">
      <c r="A15" s="1344"/>
      <c r="B15" s="1344"/>
      <c r="C15" s="1344"/>
      <c r="D15" s="1344"/>
      <c r="E15" s="2107"/>
      <c r="F15" s="1344"/>
      <c r="G15" s="1344"/>
      <c r="H15" s="1344"/>
      <c r="I15" s="1344"/>
      <c r="J15" s="1344"/>
      <c r="K15" s="1344"/>
      <c r="L15" s="1369"/>
      <c r="M15" s="1351"/>
      <c r="N15" s="1351"/>
      <c r="P15" s="1346"/>
      <c r="Q15" s="1347"/>
      <c r="R15" s="1346"/>
      <c r="S15" s="1352"/>
      <c r="T15" s="1355" t="s">
        <v>329</v>
      </c>
      <c r="U15" s="1354"/>
      <c r="V15" s="1354"/>
      <c r="W15" s="1354"/>
      <c r="X15" s="1354"/>
      <c r="Y15" s="1354"/>
      <c r="Z15" s="1354"/>
      <c r="AA15" s="1354"/>
      <c r="AB15" s="1354"/>
      <c r="AC15" s="1354"/>
      <c r="AD15" s="1354"/>
      <c r="AE15" s="1354"/>
      <c r="AF15" s="1354"/>
      <c r="AG15" s="1354"/>
      <c r="AH15" s="1354"/>
      <c r="AI15" s="1354"/>
      <c r="AJ15" s="1354"/>
      <c r="AK15" s="1354"/>
      <c r="AL15" s="1354"/>
      <c r="AM15" s="1354"/>
      <c r="AO15" s="795"/>
      <c r="AP15" s="795" t="str">
        <f>IF(T15="","",T15)</f>
        <v>Добавить территорию для дифференциации</v>
      </c>
      <c r="AQ15" s="795"/>
      <c r="AR15" s="795"/>
    </row>
    <row customHeight="1" ht="14.25" hidden="1">
      <c r="AC16" s="323"/>
      <c r="AK16" s="323"/>
    </row>
    <row customHeight="1" ht="14.25" hidden="1">
      <c r="AD17" s="1390"/>
      <c r="AE17" s="1390"/>
      <c r="AF17" s="1390"/>
      <c r="AG17" s="1391"/>
      <c r="AH17" s="2105"/>
      <c r="AI17" s="2104" t="s">
        <v>63</v>
      </c>
      <c r="AJ17" s="2105"/>
      <c r="AK17" s="2104" t="s">
        <v>63</v>
      </c>
    </row>
    <row customHeight="1" ht="14.25" hidden="1">
      <c r="AD18" s="1390"/>
      <c r="AE18" s="1390"/>
      <c r="AF18" s="1390"/>
      <c r="AG18" s="324" t="str">
        <f>AH17&amp;"-"&amp;AJ17</f>
        <v>-</v>
      </c>
      <c r="AH18" s="2104"/>
      <c r="AI18" s="2104"/>
      <c r="AJ18" s="2104"/>
      <c r="AK18" s="2104"/>
    </row>
    <row customHeight="1" ht="14.25" hidden="1">
      <c r="AK19" s="323"/>
    </row>
    <row s="2683" customFormat="1" customHeight="1" ht="22.5" hidden="1">
      <c r="L20" s="1359"/>
      <c r="M20" s="1392"/>
      <c r="N20" s="1392"/>
      <c r="O20" s="1397" t="s">
        <v>629</v>
      </c>
      <c r="P20" s="1392"/>
      <c r="Q20" s="1401"/>
      <c r="R20" s="1401"/>
      <c r="S20" s="735"/>
      <c r="Z20" s="1397"/>
      <c r="AB20" s="1397"/>
      <c r="AC20" s="1396"/>
      <c r="AH20" s="1397"/>
      <c r="AJ20" s="1397"/>
      <c r="AK20" s="1396"/>
      <c r="AN20" s="517"/>
      <c r="AO20" s="517"/>
      <c r="AP20" s="517"/>
      <c r="AQ20" s="517"/>
      <c r="AR20" s="517"/>
    </row>
    <row s="2683" customFormat="1" customHeight="1" ht="14.25" hidden="1">
      <c r="L21" s="1359"/>
      <c r="M21" s="1392"/>
      <c r="N21" s="1392"/>
      <c r="O21" s="1392"/>
      <c r="P21" s="1392"/>
      <c r="Q21" s="1401"/>
      <c r="R21" s="1401"/>
      <c r="S21" s="735"/>
      <c r="AC21" s="1396"/>
      <c r="AK21" s="1396"/>
      <c r="AN21" s="517"/>
      <c r="AO21" s="517"/>
      <c r="AP21" s="517"/>
      <c r="AQ21" s="517"/>
      <c r="AR21" s="517"/>
    </row>
    <row s="2683" customFormat="1" customHeight="1" ht="33.75" hidden="1">
      <c r="L22" s="1359"/>
      <c r="M22" s="1392"/>
      <c r="N22" s="1392"/>
      <c r="O22" s="1394" t="s">
        <v>630</v>
      </c>
      <c r="P22" s="1392"/>
      <c r="Q22" s="1401"/>
      <c r="R22" s="1401"/>
      <c r="S22" s="735"/>
      <c r="T22" s="1168" t="s">
        <v>631</v>
      </c>
      <c r="AA22" s="172" t="s">
        <v>632</v>
      </c>
      <c r="AC22" s="172" t="s">
        <v>633</v>
      </c>
      <c r="AD22" s="1168" t="s">
        <v>631</v>
      </c>
      <c r="AI22" s="172" t="s">
        <v>634</v>
      </c>
      <c r="AK22" s="172" t="s">
        <v>633</v>
      </c>
      <c r="AN22" s="517"/>
      <c r="AO22" s="517"/>
      <c r="AP22" s="517"/>
      <c r="AQ22" s="517"/>
      <c r="AR22" s="517"/>
    </row>
    <row customHeight="1" ht="14.25" hidden="1">
      <c r="O23" s="1394"/>
    </row>
    <row customHeight="1" ht="14.25" hidden="1">
      <c r="O24" s="1394"/>
    </row>
    <row customHeight="1" ht="14.25">
      <c r="Q25" s="377"/>
      <c r="R25" s="377"/>
      <c r="S25" s="1305"/>
      <c r="T25" s="361"/>
      <c r="U25" s="361"/>
      <c r="V25" s="515"/>
      <c r="W25" s="515"/>
      <c r="X25" s="515"/>
      <c r="Y25" s="515"/>
      <c r="Z25" s="515"/>
      <c r="AA25" s="515"/>
      <c r="AB25" s="515"/>
      <c r="AC25" s="515"/>
      <c r="AD25" s="515"/>
      <c r="AE25" s="515"/>
      <c r="AF25" s="515"/>
      <c r="AG25" s="515"/>
      <c r="AH25" s="515"/>
      <c r="AI25" s="515"/>
      <c r="AJ25" s="515"/>
      <c r="AK25" s="515"/>
    </row>
    <row customHeight="1" ht="27.75">
      <c r="Q26" s="377"/>
      <c r="R26" s="377"/>
      <c r="S26" s="214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40"/>
      <c r="U26" s="2140"/>
      <c r="V26" s="2140"/>
      <c r="W26" s="2140"/>
      <c r="X26" s="2140"/>
      <c r="Y26" s="2140"/>
      <c r="Z26" s="2140"/>
      <c r="AA26" s="2140"/>
      <c r="AB26" s="2140"/>
      <c r="AC26" s="2140"/>
      <c r="AD26" s="2140"/>
      <c r="AE26" s="2140"/>
      <c r="AF26" s="2140"/>
      <c r="AG26" s="2140"/>
      <c r="AH26" s="2140"/>
      <c r="AI26" s="2140"/>
      <c r="AJ26" s="2140"/>
      <c r="AK26" s="1261"/>
    </row>
    <row customHeight="1" ht="14.25">
      <c r="Q27" s="377"/>
      <c r="R27" s="377"/>
      <c r="S27" s="2141" t="str">
        <f>IF(org=0,"Не определено",org)</f>
        <v>АО "Мурманэнергосбыт"</v>
      </c>
      <c r="T27" s="2141"/>
      <c r="U27" s="2141"/>
      <c r="V27" s="2141"/>
      <c r="W27" s="2141"/>
      <c r="X27" s="2141"/>
      <c r="Y27" s="2141"/>
      <c r="Z27" s="2141"/>
      <c r="AA27" s="2141"/>
      <c r="AB27" s="2141"/>
      <c r="AC27" s="2141"/>
      <c r="AD27" s="2141"/>
      <c r="AE27" s="2141"/>
      <c r="AF27" s="2141"/>
      <c r="AG27" s="2141"/>
      <c r="AH27" s="2141"/>
      <c r="AI27" s="2141"/>
      <c r="AJ27" s="2141"/>
      <c r="AK27" s="1261"/>
    </row>
    <row customHeight="1" ht="14.25">
      <c r="Q28" s="377"/>
      <c r="R28" s="377"/>
      <c r="S28" s="1305"/>
      <c r="T28" s="361"/>
      <c r="U28" s="361"/>
      <c r="V28" s="316"/>
      <c r="W28" s="316"/>
      <c r="X28" s="316"/>
      <c r="Y28" s="316"/>
      <c r="Z28" s="316"/>
      <c r="AA28" s="316"/>
      <c r="AB28" s="316"/>
      <c r="AC28" s="316"/>
      <c r="AD28" s="316"/>
      <c r="AE28" s="316"/>
      <c r="AF28" s="316"/>
      <c r="AG28" s="316"/>
      <c r="AH28" s="316"/>
      <c r="AI28" s="316"/>
      <c r="AJ28" s="316"/>
      <c r="AK28" s="316"/>
      <c r="AL28" s="515"/>
    </row>
    <row s="3345" customFormat="1" customHeight="1" ht="25.5">
      <c r="A29" s="1398"/>
      <c r="B29" s="1398"/>
      <c r="C29" s="1398"/>
      <c r="D29" s="1398"/>
      <c r="E29" s="1398"/>
      <c r="F29" s="1398"/>
      <c r="G29" s="1398"/>
      <c r="H29" s="1398"/>
      <c r="I29" s="1398"/>
      <c r="J29" s="1398"/>
      <c r="K29" s="1398"/>
      <c r="L29" s="1399"/>
      <c r="M29" s="1398"/>
      <c r="N29" s="1398"/>
      <c r="O29" s="1398"/>
      <c r="S29" s="2098" t="s">
        <v>38</v>
      </c>
      <c r="T29" s="2098"/>
      <c r="U29" s="1402"/>
      <c r="V29" s="2100" t="str">
        <f>IF(TITLE_NAME_OR_PR_CHANGE="",IF(TITLE_NAME_OR_PR="","",TITLE_NAME_OR_PR),TITLE_NAME_OR_PR_CHANGE)</f>
        <v>Комитет по тарифному регулированию Мурманской области</v>
      </c>
      <c r="W29" s="2100"/>
      <c r="X29" s="2100"/>
      <c r="Y29" s="2100"/>
      <c r="Z29" s="2100"/>
      <c r="AA29" s="2100"/>
      <c r="AB29" s="2100"/>
      <c r="AC29" s="322"/>
      <c r="AD29" s="2100" t="str">
        <f>IF(TITLE_NAME_OR_PR_CHANGE="",IF(TITLE_NAME_OR_PR="","",TITLE_NAME_OR_PR),TITLE_NAME_OR_PR_CHANGE)</f>
        <v>Комитет по тарифному регулированию Мурманской области</v>
      </c>
      <c r="AE29" s="2100"/>
      <c r="AF29" s="2100"/>
      <c r="AG29" s="2100"/>
      <c r="AH29" s="2100"/>
      <c r="AI29" s="2100"/>
      <c r="AJ29" s="2100"/>
      <c r="AK29" s="322"/>
      <c r="AL29" s="322"/>
      <c r="AM29" s="268"/>
      <c r="AN29" s="368"/>
      <c r="AO29" s="368"/>
      <c r="AP29" s="368"/>
      <c r="AQ29" s="368"/>
      <c r="AR29" s="368"/>
    </row>
    <row s="3345" customFormat="1" customHeight="1" ht="18.75">
      <c r="A30" s="1398"/>
      <c r="B30" s="1398"/>
      <c r="C30" s="1398"/>
      <c r="D30" s="1398"/>
      <c r="E30" s="1398"/>
      <c r="F30" s="1398"/>
      <c r="G30" s="1398"/>
      <c r="H30" s="1398"/>
      <c r="I30" s="1398"/>
      <c r="J30" s="1398"/>
      <c r="K30" s="1398"/>
      <c r="L30" s="1399"/>
      <c r="M30" s="1398"/>
      <c r="N30" s="1398"/>
      <c r="O30" s="1398"/>
      <c r="S30" s="2098" t="s">
        <v>635</v>
      </c>
      <c r="T30" s="2098"/>
      <c r="U30" s="1402"/>
      <c r="V30" s="2099" t="str">
        <f>IF(TITLE_DATE_PR_CHANGE="",IF(TITLE_DATE_PR="","",TITLE_DATE_PR),TITLE_DATE_PR_CHANGE)</f>
        <v>45205</v>
      </c>
      <c r="W30" s="2099"/>
      <c r="X30" s="2099"/>
      <c r="Y30" s="2099"/>
      <c r="Z30" s="2099"/>
      <c r="AA30" s="2099"/>
      <c r="AB30" s="2099"/>
      <c r="AC30" s="322"/>
      <c r="AD30" s="2099" t="str">
        <f>IF(TITLE_DATE_PR_CHANGE="",IF(TITLE_DATE_PR="","",TITLE_DATE_PR),TITLE_DATE_PR_CHANGE)</f>
        <v>45205</v>
      </c>
      <c r="AE30" s="2099"/>
      <c r="AF30" s="2099"/>
      <c r="AG30" s="2099"/>
      <c r="AH30" s="2099"/>
      <c r="AI30" s="2099"/>
      <c r="AJ30" s="2099"/>
      <c r="AK30" s="322"/>
      <c r="AL30" s="322"/>
      <c r="AM30" s="268"/>
      <c r="AN30" s="368"/>
      <c r="AO30" s="368"/>
      <c r="AP30" s="368"/>
      <c r="AQ30" s="368"/>
      <c r="AR30" s="368"/>
    </row>
    <row s="3345" customFormat="1" customHeight="1" ht="18.75">
      <c r="A31" s="1398"/>
      <c r="B31" s="1398"/>
      <c r="C31" s="1398"/>
      <c r="D31" s="1398"/>
      <c r="E31" s="1398"/>
      <c r="F31" s="1398"/>
      <c r="G31" s="1398"/>
      <c r="H31" s="1398"/>
      <c r="I31" s="1398"/>
      <c r="J31" s="1398"/>
      <c r="K31" s="1398"/>
      <c r="L31" s="1399"/>
      <c r="M31" s="1398"/>
      <c r="N31" s="1398"/>
      <c r="O31" s="1398"/>
      <c r="S31" s="2098" t="s">
        <v>636</v>
      </c>
      <c r="T31" s="2098"/>
      <c r="U31" s="1402"/>
      <c r="V31" s="2100" t="str">
        <f>IF(TITLE_NUMBER_PR_CHANGE="",IF(TITLE_NUMBER_PR="","",TITLE_NUMBER_PR),TITLE_NUMBER_PR_CHANGE)</f>
        <v>36/2</v>
      </c>
      <c r="W31" s="2100"/>
      <c r="X31" s="2100"/>
      <c r="Y31" s="2100"/>
      <c r="Z31" s="2100"/>
      <c r="AA31" s="2100"/>
      <c r="AB31" s="2100"/>
      <c r="AC31" s="322"/>
      <c r="AD31" s="2100" t="str">
        <f>IF(TITLE_NUMBER_PR_CHANGE="",IF(TITLE_NUMBER_PR="","",TITLE_NUMBER_PR),TITLE_NUMBER_PR_CHANGE)</f>
        <v>36/2</v>
      </c>
      <c r="AE31" s="2100"/>
      <c r="AF31" s="2100"/>
      <c r="AG31" s="2100"/>
      <c r="AH31" s="2100"/>
      <c r="AI31" s="2100"/>
      <c r="AJ31" s="2100"/>
      <c r="AK31" s="322"/>
      <c r="AL31" s="322"/>
      <c r="AM31" s="268"/>
      <c r="AN31" s="368"/>
      <c r="AO31" s="368"/>
      <c r="AP31" s="368"/>
      <c r="AQ31" s="368"/>
      <c r="AR31" s="368"/>
    </row>
    <row s="3345" customFormat="1" customHeight="1" ht="18.75">
      <c r="A32" s="1398"/>
      <c r="B32" s="1398"/>
      <c r="C32" s="1398"/>
      <c r="D32" s="1398"/>
      <c r="E32" s="1398"/>
      <c r="F32" s="1398"/>
      <c r="G32" s="1398"/>
      <c r="H32" s="1398"/>
      <c r="I32" s="1398"/>
      <c r="J32" s="1398"/>
      <c r="K32" s="1398"/>
      <c r="L32" s="1399"/>
      <c r="M32" s="1398"/>
      <c r="N32" s="1398"/>
      <c r="O32" s="1398"/>
      <c r="S32" s="2098" t="s">
        <v>40</v>
      </c>
      <c r="T32" s="2098"/>
      <c r="U32" s="1402"/>
      <c r="V32" s="2100" t="str">
        <f>IF(TITLE_IST_PUB_CHANGE="",IF(TITLE_IST_PUB="","",TITLE_IST_PUB),TITLE_IST_PUB_CHANGE)</f>
        <v>https://npa.gov-murman.ru/bitrix/components/b1team/govmurman.element.file/download.php?ID=495002&amp;FID=732763</v>
      </c>
      <c r="W32" s="2100"/>
      <c r="X32" s="2100"/>
      <c r="Y32" s="2100"/>
      <c r="Z32" s="2100"/>
      <c r="AA32" s="2100"/>
      <c r="AB32" s="2100"/>
      <c r="AC32" s="322"/>
      <c r="AD32" s="2100" t="str">
        <f>IF(TITLE_IST_PUB_CHANGE="",IF(TITLE_IST_PUB="","",TITLE_IST_PUB),TITLE_IST_PUB_CHANGE)</f>
        <v>https://npa.gov-murman.ru/bitrix/components/b1team/govmurman.element.file/download.php?ID=495002&amp;FID=732763</v>
      </c>
      <c r="AE32" s="2100"/>
      <c r="AF32" s="2100"/>
      <c r="AG32" s="2100"/>
      <c r="AH32" s="2100"/>
      <c r="AI32" s="2100"/>
      <c r="AJ32" s="2100"/>
      <c r="AK32" s="322"/>
      <c r="AL32" s="322"/>
      <c r="AM32" s="268"/>
      <c r="AN32" s="368"/>
      <c r="AO32" s="368"/>
      <c r="AP32" s="368"/>
      <c r="AQ32" s="368"/>
      <c r="AR32" s="368"/>
    </row>
    <row customHeight="1" ht="14.25" hidden="1">
      <c r="Q33" s="377"/>
      <c r="R33" s="377"/>
      <c r="S33" s="1305"/>
      <c r="T33" s="361"/>
      <c r="U33" s="361"/>
      <c r="V33" s="316"/>
      <c r="W33" s="316"/>
      <c r="X33" s="316"/>
      <c r="Y33" s="316"/>
      <c r="Z33" s="316"/>
      <c r="AA33" s="316"/>
      <c r="AB33" s="316"/>
      <c r="AC33" s="316"/>
      <c r="AD33" s="316"/>
      <c r="AE33" s="316"/>
      <c r="AF33" s="316"/>
      <c r="AG33" s="316"/>
      <c r="AH33" s="316"/>
      <c r="AI33" s="316"/>
      <c r="AJ33" s="316"/>
      <c r="AK33" s="316"/>
      <c r="AL33" s="515"/>
    </row>
    <row s="3345" customFormat="1" customHeight="1" ht="18.75" hidden="1">
      <c r="A34" s="1398"/>
      <c r="B34" s="1398"/>
      <c r="C34" s="1398"/>
      <c r="D34" s="1398"/>
      <c r="E34" s="1398"/>
      <c r="F34" s="1398"/>
      <c r="G34" s="1398"/>
      <c r="H34" s="1398"/>
      <c r="I34" s="1398"/>
      <c r="J34" s="1398"/>
      <c r="K34" s="1398"/>
      <c r="L34" s="1399"/>
      <c r="M34" s="1398"/>
      <c r="N34" s="1398"/>
      <c r="O34" s="1398"/>
      <c r="S34" s="2098" t="s">
        <v>637</v>
      </c>
      <c r="T34" s="2098"/>
      <c r="U34" s="1402"/>
      <c r="V34" s="2099" t="str">
        <f>IF(TITLE_DATE_PR_CHANGE="",IF(TITLE_DATE_PR="","",TITLE_DATE_PR),TITLE_DATE_PR_CHANGE)</f>
        <v>45205</v>
      </c>
      <c r="W34" s="2099"/>
      <c r="X34" s="2099"/>
      <c r="Y34" s="2099"/>
      <c r="Z34" s="2099"/>
      <c r="AA34" s="2099"/>
      <c r="AB34" s="2099"/>
      <c r="AC34" s="322"/>
      <c r="AD34" s="2099" t="str">
        <f>IF(TITLE_DATE_PR_CHANGE="",IF(TITLE_DATE_PR="","",TITLE_DATE_PR),TITLE_DATE_PR_CHANGE)</f>
        <v>45205</v>
      </c>
      <c r="AE34" s="2099"/>
      <c r="AF34" s="2099"/>
      <c r="AG34" s="2099"/>
      <c r="AH34" s="2099"/>
      <c r="AI34" s="2099"/>
      <c r="AJ34" s="2099"/>
      <c r="AK34" s="322"/>
      <c r="AL34" s="322"/>
      <c r="AM34" s="268"/>
      <c r="AN34" s="368"/>
      <c r="AO34" s="368"/>
      <c r="AP34" s="368"/>
      <c r="AQ34" s="368"/>
      <c r="AR34" s="368"/>
    </row>
    <row s="3345" customFormat="1" customHeight="1" ht="18.75" hidden="1">
      <c r="A35" s="1398"/>
      <c r="B35" s="1398"/>
      <c r="C35" s="1398"/>
      <c r="D35" s="1398"/>
      <c r="E35" s="1398"/>
      <c r="F35" s="1398"/>
      <c r="G35" s="1398"/>
      <c r="H35" s="1398"/>
      <c r="I35" s="1398"/>
      <c r="J35" s="1398"/>
      <c r="K35" s="1398"/>
      <c r="L35" s="1399"/>
      <c r="M35" s="1398"/>
      <c r="N35" s="1398"/>
      <c r="O35" s="1398"/>
      <c r="S35" s="2098" t="s">
        <v>638</v>
      </c>
      <c r="T35" s="2098"/>
      <c r="U35" s="1402"/>
      <c r="V35" s="2100" t="str">
        <f>IF(TITLE_NUMBER_PR_CHANGE="",IF(TITLE_NUMBER_PR="","",TITLE_NUMBER_PR),TITLE_NUMBER_PR_CHANGE)</f>
        <v>36/2</v>
      </c>
      <c r="W35" s="2100"/>
      <c r="X35" s="2100"/>
      <c r="Y35" s="2100"/>
      <c r="Z35" s="2100"/>
      <c r="AA35" s="2100"/>
      <c r="AB35" s="2100"/>
      <c r="AC35" s="322"/>
      <c r="AD35" s="2100" t="str">
        <f>IF(TITLE_NUMBER_PR_CHANGE="",IF(TITLE_NUMBER_PR="","",TITLE_NUMBER_PR),TITLE_NUMBER_PR_CHANGE)</f>
        <v>36/2</v>
      </c>
      <c r="AE35" s="2100"/>
      <c r="AF35" s="2100"/>
      <c r="AG35" s="2100"/>
      <c r="AH35" s="2100"/>
      <c r="AI35" s="2100"/>
      <c r="AJ35" s="2100"/>
      <c r="AK35" s="322"/>
      <c r="AL35" s="322"/>
      <c r="AM35" s="268"/>
      <c r="AN35" s="368"/>
      <c r="AO35" s="368"/>
      <c r="AP35" s="368"/>
      <c r="AQ35" s="368"/>
      <c r="AR35" s="368"/>
    </row>
    <row s="3345" customFormat="1" customHeight="1" ht="0">
      <c r="A36" s="1398"/>
      <c r="B36" s="1398"/>
      <c r="C36" s="1398"/>
      <c r="D36" s="1398"/>
      <c r="E36" s="1398"/>
      <c r="F36" s="1398"/>
      <c r="G36" s="1398"/>
      <c r="H36" s="1398"/>
      <c r="I36" s="1398"/>
      <c r="J36" s="1398"/>
      <c r="K36" s="1398"/>
      <c r="L36" s="1399"/>
      <c r="M36" s="1398"/>
      <c r="N36" s="1398"/>
      <c r="O36" s="1398"/>
      <c r="S36" s="318"/>
      <c r="T36" s="318"/>
      <c r="U36" s="1370"/>
      <c r="V36" s="322"/>
      <c r="W36" s="322"/>
      <c r="X36" s="322"/>
      <c r="Y36" s="322"/>
      <c r="Z36" s="322"/>
      <c r="AA36" s="322"/>
      <c r="AB36" s="322"/>
      <c r="AC36" s="266" t="s">
        <v>639</v>
      </c>
      <c r="AD36" s="322"/>
      <c r="AE36" s="322"/>
      <c r="AF36" s="322"/>
      <c r="AG36" s="322"/>
      <c r="AH36" s="322"/>
      <c r="AI36" s="322"/>
      <c r="AJ36" s="322"/>
      <c r="AK36" s="266" t="s">
        <v>639</v>
      </c>
      <c r="AN36" s="368"/>
      <c r="AO36" s="368"/>
      <c r="AP36" s="368"/>
      <c r="AQ36" s="368"/>
      <c r="AR36" s="368"/>
    </row>
    <row customHeight="1" ht="14.25">
      <c r="Q37" s="377"/>
      <c r="R37" s="377"/>
      <c r="S37" s="1305"/>
      <c r="T37" s="361"/>
      <c r="U37" s="1262"/>
      <c r="V37" s="2124"/>
      <c r="W37" s="2124"/>
      <c r="X37" s="2124"/>
      <c r="Y37" s="2124"/>
      <c r="Z37" s="2124"/>
      <c r="AA37" s="2124"/>
      <c r="AB37" s="2124"/>
      <c r="AC37" s="2124"/>
      <c r="AD37" s="2124"/>
      <c r="AE37" s="2124"/>
      <c r="AF37" s="2124"/>
      <c r="AG37" s="2124"/>
      <c r="AH37" s="2124"/>
      <c r="AI37" s="2124"/>
      <c r="AJ37" s="2124"/>
      <c r="AK37" s="2124"/>
    </row>
    <row customHeight="1" ht="14.25">
      <c r="Q38" s="377"/>
      <c r="R38" s="377"/>
      <c r="S38" s="1971" t="s">
        <v>513</v>
      </c>
      <c r="T38" s="1971"/>
      <c r="U38" s="1971"/>
      <c r="V38" s="1971"/>
      <c r="W38" s="1971"/>
      <c r="X38" s="1971"/>
      <c r="Y38" s="1971"/>
      <c r="Z38" s="1971"/>
      <c r="AA38" s="1971"/>
      <c r="AB38" s="1971"/>
      <c r="AC38" s="1971"/>
      <c r="AD38" s="1971"/>
      <c r="AE38" s="1971"/>
      <c r="AF38" s="1971"/>
      <c r="AG38" s="1971"/>
      <c r="AH38" s="1971"/>
      <c r="AI38" s="1971"/>
      <c r="AJ38" s="1971"/>
      <c r="AK38" s="1971"/>
      <c r="AL38" s="1971"/>
      <c r="AM38" s="1971" t="s">
        <v>514</v>
      </c>
    </row>
    <row customHeight="1" ht="14.25">
      <c r="Q39" s="377"/>
      <c r="R39" s="377"/>
      <c r="S39" s="2125" t="s">
        <v>89</v>
      </c>
      <c r="T39" s="2062" t="s">
        <v>640</v>
      </c>
      <c r="U39" s="289"/>
      <c r="V39" s="2126" t="s">
        <v>641</v>
      </c>
      <c r="W39" s="2127"/>
      <c r="X39" s="2146"/>
      <c r="Y39" s="2146"/>
      <c r="Z39" s="2127"/>
      <c r="AA39" s="2127"/>
      <c r="AB39" s="2128"/>
      <c r="AC39" s="2129" t="s">
        <v>642</v>
      </c>
      <c r="AD39" s="2126" t="s">
        <v>641</v>
      </c>
      <c r="AE39" s="2127"/>
      <c r="AF39" s="2146"/>
      <c r="AG39" s="2146"/>
      <c r="AH39" s="2127"/>
      <c r="AI39" s="2127"/>
      <c r="AJ39" s="2128"/>
      <c r="AK39" s="2129" t="s">
        <v>643</v>
      </c>
      <c r="AL39" s="2132" t="s">
        <v>644</v>
      </c>
      <c r="AM39" s="1971"/>
    </row>
    <row customHeight="1" ht="23.25">
      <c r="Q40" s="377"/>
      <c r="R40" s="377"/>
      <c r="S40" s="2125"/>
      <c r="T40" s="2062"/>
      <c r="U40" s="1038"/>
      <c r="V40" s="2142" t="s">
        <v>645</v>
      </c>
      <c r="W40" s="2144" t="s">
        <v>646</v>
      </c>
      <c r="X40" s="1406" t="s">
        <v>647</v>
      </c>
      <c r="Y40" s="1406"/>
      <c r="Z40" s="2119" t="s">
        <v>648</v>
      </c>
      <c r="AA40" s="2119"/>
      <c r="AB40" s="2120"/>
      <c r="AC40" s="2130"/>
      <c r="AD40" s="2142" t="s">
        <v>645</v>
      </c>
      <c r="AE40" s="2144" t="s">
        <v>646</v>
      </c>
      <c r="AF40" s="1406" t="s">
        <v>647</v>
      </c>
      <c r="AG40" s="1406"/>
      <c r="AH40" s="2119" t="s">
        <v>648</v>
      </c>
      <c r="AI40" s="2119"/>
      <c r="AJ40" s="2120"/>
      <c r="AK40" s="2130"/>
      <c r="AL40" s="2133"/>
      <c r="AM40" s="1971"/>
    </row>
    <row s="3425" customFormat="1" customHeight="1" ht="23.25">
      <c r="A41" s="1400"/>
      <c r="B41" s="1400" t="s">
        <v>216</v>
      </c>
      <c r="C41" s="1400" t="s">
        <v>217</v>
      </c>
      <c r="D41" s="1400" t="s">
        <v>218</v>
      </c>
      <c r="E41" s="1394" t="s">
        <v>649</v>
      </c>
      <c r="F41" s="1394" t="s">
        <v>650</v>
      </c>
      <c r="G41" s="1394" t="s">
        <v>651</v>
      </c>
      <c r="H41" s="1394" t="s">
        <v>652</v>
      </c>
      <c r="I41" s="1394" t="s">
        <v>653</v>
      </c>
      <c r="J41" s="1394" t="s">
        <v>654</v>
      </c>
      <c r="K41" s="1394" t="s">
        <v>655</v>
      </c>
      <c r="L41" s="1394" t="s">
        <v>630</v>
      </c>
      <c r="M41" s="1392"/>
      <c r="N41" s="1392"/>
      <c r="O41" s="1392"/>
      <c r="P41" s="1358"/>
      <c r="Q41" s="377"/>
      <c r="R41" s="377"/>
      <c r="S41" s="2125"/>
      <c r="T41" s="2062"/>
      <c r="U41" s="290"/>
      <c r="V41" s="2143"/>
      <c r="W41" s="2145"/>
      <c r="X41" s="1403" t="s">
        <v>656</v>
      </c>
      <c r="Y41" s="1403" t="s">
        <v>657</v>
      </c>
      <c r="Z41" s="1364" t="s">
        <v>658</v>
      </c>
      <c r="AA41" s="2121" t="s">
        <v>659</v>
      </c>
      <c r="AB41" s="2122"/>
      <c r="AC41" s="2131"/>
      <c r="AD41" s="2143"/>
      <c r="AE41" s="2145"/>
      <c r="AF41" s="1403" t="s">
        <v>656</v>
      </c>
      <c r="AG41" s="1403" t="s">
        <v>657</v>
      </c>
      <c r="AH41" s="1364" t="s">
        <v>658</v>
      </c>
      <c r="AI41" s="2121" t="s">
        <v>659</v>
      </c>
      <c r="AJ41" s="2122"/>
      <c r="AK41" s="2131"/>
      <c r="AL41" s="2134"/>
      <c r="AM41" s="1971"/>
      <c r="AN41" s="517"/>
      <c r="AO41" s="506"/>
      <c r="AP41" s="506"/>
      <c r="AQ41" s="506"/>
      <c r="AR41" s="506"/>
    </row>
    <row s="2611" customFormat="1" customHeight="1" ht="11.25" hidden="1">
      <c r="A42" s="1400"/>
      <c r="B42" s="1400"/>
      <c r="C42" s="1400"/>
      <c r="D42" s="1400"/>
      <c r="E42" s="1400"/>
      <c r="F42" s="1400"/>
      <c r="G42" s="1400"/>
      <c r="H42" s="1400"/>
      <c r="I42" s="1400"/>
      <c r="J42" s="1400"/>
      <c r="K42" s="1400"/>
      <c r="L42" s="1394"/>
      <c r="M42" s="1392"/>
      <c r="N42" s="1392"/>
      <c r="O42" s="1392"/>
      <c r="P42" s="1264"/>
      <c r="Q42" s="1265"/>
      <c r="R42" s="1280">
        <v>1</v>
      </c>
      <c r="S42" s="1307" t="s">
        <v>193</v>
      </c>
      <c r="T42" s="1281" t="s">
        <v>104</v>
      </c>
      <c r="U42" s="1263" t="str">
        <f>OFFSET(U42,0,-1)</f>
        <v>2</v>
      </c>
      <c r="V42" s="1365">
        <f>OFFSET(V42,0,-1)+1</f>
        <v>3</v>
      </c>
      <c r="W42" s="1365"/>
      <c r="X42" s="1371">
        <f>OFFSET(X42,0,-1)+1</f>
        <v>1</v>
      </c>
      <c r="Y42" s="1371">
        <f>OFFSET(Y42,0,-1)+1</f>
        <v>2</v>
      </c>
      <c r="Z42" s="1365">
        <f>OFFSET(Z42,0,-1)+1</f>
        <v>3</v>
      </c>
      <c r="AA42" s="2123">
        <f>OFFSET(AA42,0,-1)+1</f>
        <v>4</v>
      </c>
      <c r="AB42" s="2123"/>
      <c r="AC42" s="1365">
        <f>OFFSET(AC42,0,-2)+1</f>
        <v>5</v>
      </c>
      <c r="AD42" s="1365">
        <f>OFFSET(AD42,0,-1)+1</f>
        <v>6</v>
      </c>
      <c r="AE42" s="1365"/>
      <c r="AF42" s="1371">
        <f>OFFSET(AF42,0,-1)+1</f>
        <v>1</v>
      </c>
      <c r="AG42" s="1371">
        <f>OFFSET(AG42,0,-1)+1</f>
        <v>2</v>
      </c>
      <c r="AH42" s="1365">
        <f>OFFSET(AH42,0,-1)+1</f>
        <v>3</v>
      </c>
      <c r="AI42" s="2123">
        <f>OFFSET(AI42,0,-1)+1</f>
        <v>4</v>
      </c>
      <c r="AJ42" s="2123"/>
      <c r="AK42" s="1365">
        <f>OFFSET(AK42,0,-2)+1</f>
        <v>5</v>
      </c>
      <c r="AL42" s="1263">
        <f>OFFSET(AL42,0,-1)</f>
        <v>5</v>
      </c>
      <c r="AM42" s="1365">
        <f>OFFSET(AM42,0,-1)+1</f>
        <v>6</v>
      </c>
      <c r="AN42" s="517"/>
      <c r="AO42" s="517"/>
      <c r="AP42" s="517"/>
      <c r="AQ42" s="517"/>
      <c r="AR42" s="517"/>
    </row>
    <row customHeight="1" ht="21">
      <c r="A43" s="1393" t="s">
        <v>419</v>
      </c>
      <c r="B43" s="1393"/>
      <c r="C43" s="1393"/>
      <c r="D43" s="1393"/>
      <c r="E43" s="2107">
        <v>1</v>
      </c>
      <c r="F43" s="1393"/>
      <c r="G43" s="1393"/>
      <c r="H43" s="1393"/>
      <c r="I43" s="1393"/>
      <c r="J43" s="1393"/>
      <c r="K43" s="1393"/>
      <c r="L43" s="1394"/>
      <c r="M43" s="1395"/>
      <c r="N43" s="1395"/>
      <c r="O43" s="1395"/>
      <c r="P43" s="357"/>
      <c r="Q43" s="356"/>
      <c r="R43" s="351"/>
      <c r="S43" s="1366">
        <f>INDEX(PT_DIFFERENTIATION_NUM_NTAR,MATCH(A43,PT_DIFFERENTIATION_NTAR_ID,0))</f>
        <v>0</v>
      </c>
      <c r="T43" s="286" t="s">
        <v>204</v>
      </c>
      <c r="U43" s="288"/>
      <c r="V43" s="2101"/>
      <c r="W43" s="2102"/>
      <c r="X43" s="2102"/>
      <c r="Y43" s="2102"/>
      <c r="Z43" s="2102"/>
      <c r="AA43" s="2102"/>
      <c r="AB43" s="2102"/>
      <c r="AC43" s="2103"/>
      <c r="AD43" s="2101" t="str">
        <f>INDEX(PT_DIFFERENTIATION_NTAR,MATCH(A43,PT_DIFFERENTIATION_NTAR_ID,0))</f>
        <v/>
      </c>
      <c r="AE43" s="2102"/>
      <c r="AF43" s="2102"/>
      <c r="AG43" s="2102"/>
      <c r="AH43" s="2102"/>
      <c r="AI43" s="2102"/>
      <c r="AJ43" s="2102"/>
      <c r="AK43" s="2102"/>
      <c r="AL43" s="2103"/>
      <c r="AM43" s="12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6"/>
      <c r="AP43" s="506" t="str">
        <f>IF(T43="","",T43)</f>
        <v>Наименование тарифа</v>
      </c>
      <c r="AQ43" s="506"/>
      <c r="AR43" s="506"/>
    </row>
    <row customHeight="1" ht="21">
      <c r="A44" s="1393" t="s">
        <v>419</v>
      </c>
      <c r="B44" s="1393" t="s">
        <v>420</v>
      </c>
      <c r="C44" s="1393"/>
      <c r="D44" s="1393"/>
      <c r="E44" s="2108"/>
      <c r="F44" s="2107">
        <v>1</v>
      </c>
      <c r="G44" s="1393"/>
      <c r="H44" s="1393"/>
      <c r="I44" s="1393"/>
      <c r="J44" s="1393"/>
      <c r="K44" s="1393"/>
      <c r="L44" s="1394"/>
      <c r="M44" s="1395"/>
      <c r="N44" s="1395"/>
      <c r="O44" s="1395"/>
      <c r="P44" s="1362"/>
      <c r="Q44" s="348"/>
      <c r="R44" s="349"/>
      <c r="S44" s="1366" t="str">
        <f>INDEX(PT_DIFFERENTIATION_NUM_TER,MATCH(B44,PT_DIFFERENTIATION_TER_ID,0))</f>
        <v>.</v>
      </c>
      <c r="T44" s="298" t="s">
        <v>612</v>
      </c>
      <c r="U44" s="288"/>
      <c r="V44" s="2101"/>
      <c r="W44" s="2102"/>
      <c r="X44" s="2102"/>
      <c r="Y44" s="2102"/>
      <c r="Z44" s="2102"/>
      <c r="AA44" s="2102"/>
      <c r="AB44" s="2102"/>
      <c r="AC44" s="2103"/>
      <c r="AD44" s="2101" t="str">
        <f>INDEX(PT_DIFFERENTIATION_TER,MATCH(B44,PT_DIFFERENTIATION_TER_ID,0))</f>
        <v/>
      </c>
      <c r="AE44" s="2102"/>
      <c r="AF44" s="2102"/>
      <c r="AG44" s="2102"/>
      <c r="AH44" s="2102"/>
      <c r="AI44" s="2102"/>
      <c r="AJ44" s="2102"/>
      <c r="AK44" s="2102"/>
      <c r="AL44" s="2103"/>
      <c r="AM44" s="1286" t="s">
        <v>613</v>
      </c>
      <c r="AO44" s="506"/>
      <c r="AP44" s="506" t="str">
        <f>IF(T44="","",T44)</f>
        <v>Территория действия тарифа</v>
      </c>
      <c r="AQ44" s="506"/>
      <c r="AR44" s="506"/>
    </row>
    <row customHeight="1" ht="23.25">
      <c r="A45" s="1393" t="s">
        <v>419</v>
      </c>
      <c r="B45" s="1393" t="s">
        <v>420</v>
      </c>
      <c r="C45" s="1393" t="s">
        <v>421</v>
      </c>
      <c r="D45" s="1393"/>
      <c r="E45" s="2108"/>
      <c r="F45" s="2108"/>
      <c r="G45" s="2107">
        <v>1</v>
      </c>
      <c r="H45" s="1393"/>
      <c r="I45" s="1393"/>
      <c r="J45" s="1393"/>
      <c r="K45" s="1393"/>
      <c r="L45" s="1394"/>
      <c r="M45" s="1395"/>
      <c r="N45" s="1395"/>
      <c r="O45" s="1395"/>
      <c r="P45" s="350"/>
      <c r="Q45" s="348"/>
      <c r="R45" s="349"/>
      <c r="S45" s="1366" t="str">
        <f>INDEX(PT_DIFFERENTIATION_NUM_CS,MATCH(C45,PT_DIFFERENTIATION_CS_ID,0))</f>
        <v>..</v>
      </c>
      <c r="T45" s="299" t="s">
        <v>614</v>
      </c>
      <c r="U45" s="288"/>
      <c r="V45" s="2101"/>
      <c r="W45" s="2102"/>
      <c r="X45" s="2102"/>
      <c r="Y45" s="2102"/>
      <c r="Z45" s="2102"/>
      <c r="AA45" s="2102"/>
      <c r="AB45" s="2102"/>
      <c r="AC45" s="2103"/>
      <c r="AD45" s="2101" t="str">
        <f>INDEX(PT_DIFFERENTIATION_CS,MATCH(C45,PT_DIFFERENTIATION_CS_ID,0))</f>
        <v/>
      </c>
      <c r="AE45" s="2102"/>
      <c r="AF45" s="2102"/>
      <c r="AG45" s="2102"/>
      <c r="AH45" s="2102"/>
      <c r="AI45" s="2102"/>
      <c r="AJ45" s="2102"/>
      <c r="AK45" s="2102"/>
      <c r="AL45" s="2103"/>
      <c r="AM45" s="1286" t="s">
        <v>615</v>
      </c>
      <c r="AO45" s="506"/>
      <c r="AP45" s="506" t="str">
        <f>IF(T45="","",T45)</f>
        <v>Наименование системы теплоснабжения </v>
      </c>
      <c r="AQ45" s="506"/>
      <c r="AR45" s="506"/>
    </row>
    <row customHeight="1" ht="21">
      <c r="A46" s="1393" t="s">
        <v>419</v>
      </c>
      <c r="B46" s="1393" t="s">
        <v>420</v>
      </c>
      <c r="C46" s="1393" t="s">
        <v>421</v>
      </c>
      <c r="D46" s="1393" t="s">
        <v>422</v>
      </c>
      <c r="E46" s="2108"/>
      <c r="F46" s="2108"/>
      <c r="G46" s="2108"/>
      <c r="H46" s="2107">
        <v>1</v>
      </c>
      <c r="I46" s="1393"/>
      <c r="J46" s="1393"/>
      <c r="K46" s="1393"/>
      <c r="L46" s="1394"/>
      <c r="M46" s="1395"/>
      <c r="N46" s="1395"/>
      <c r="O46" s="1395"/>
      <c r="P46" s="350"/>
      <c r="Q46" s="348"/>
      <c r="R46" s="349"/>
      <c r="S46" s="1366" t="str">
        <f>INDEX(PT_DIFFERENTIATION_NUM_IST_TE,MATCH(D46,PT_DIFFERENTIATION_IST_TE_ID,0))</f>
        <v>...</v>
      </c>
      <c r="T46" s="300" t="s">
        <v>616</v>
      </c>
      <c r="U46" s="288"/>
      <c r="V46" s="2101"/>
      <c r="W46" s="2102"/>
      <c r="X46" s="2102"/>
      <c r="Y46" s="2102"/>
      <c r="Z46" s="2102"/>
      <c r="AA46" s="2102"/>
      <c r="AB46" s="2102"/>
      <c r="AC46" s="2103"/>
      <c r="AD46" s="2101" t="str">
        <f>INDEX(PT_DIFFERENTIATION_IST_TE,MATCH(D46,PT_DIFFERENTIATION_IST_TE_ID,0))</f>
        <v/>
      </c>
      <c r="AE46" s="2102"/>
      <c r="AF46" s="2102"/>
      <c r="AG46" s="2102"/>
      <c r="AH46" s="2102"/>
      <c r="AI46" s="2102"/>
      <c r="AJ46" s="2102"/>
      <c r="AK46" s="2102"/>
      <c r="AL46" s="2103"/>
      <c r="AM46" s="1286" t="s">
        <v>617</v>
      </c>
      <c r="AO46" s="506"/>
      <c r="AP46" s="506" t="str">
        <f>IF(T46="","",T46)</f>
        <v>Источник тепловой энергии  </v>
      </c>
      <c r="AQ46" s="506"/>
      <c r="AR46" s="506"/>
    </row>
    <row customHeight="1" ht="47.25">
      <c r="A47" s="1393" t="s">
        <v>419</v>
      </c>
      <c r="B47" s="1393" t="s">
        <v>420</v>
      </c>
      <c r="C47" s="1393" t="s">
        <v>421</v>
      </c>
      <c r="D47" s="1393" t="s">
        <v>422</v>
      </c>
      <c r="E47" s="2108"/>
      <c r="F47" s="2108"/>
      <c r="G47" s="2108"/>
      <c r="H47" s="2108"/>
      <c r="I47" s="2109" t="str">
        <f>S46&amp;".1"</f>
        <v>....1</v>
      </c>
      <c r="J47" s="1393"/>
      <c r="K47" s="1393"/>
      <c r="L47" s="1394" t="s">
        <v>618</v>
      </c>
      <c r="P47" s="2111">
        <v>1</v>
      </c>
      <c r="Q47" s="1361"/>
      <c r="R47" s="352"/>
      <c r="S47" s="1366" t="str">
        <f>$I47</f>
        <v>....1</v>
      </c>
      <c r="T47" s="273" t="s">
        <v>619</v>
      </c>
      <c r="U47" s="288"/>
      <c r="V47" s="2095"/>
      <c r="W47" s="2096"/>
      <c r="X47" s="2096"/>
      <c r="Y47" s="2096"/>
      <c r="Z47" s="2096"/>
      <c r="AA47" s="2096"/>
      <c r="AB47" s="2096"/>
      <c r="AC47" s="2097"/>
      <c r="AD47" s="2095"/>
      <c r="AE47" s="2096"/>
      <c r="AF47" s="2096"/>
      <c r="AG47" s="2096"/>
      <c r="AH47" s="2096"/>
      <c r="AI47" s="2096"/>
      <c r="AJ47" s="2096"/>
      <c r="AK47" s="2096"/>
      <c r="AL47" s="2097"/>
      <c r="AM47" s="1286" t="s">
        <v>620</v>
      </c>
      <c r="AO47" s="506"/>
      <c r="AP47" s="506" t="str">
        <f>IF(T47="","",T47)</f>
        <v>Схема подключения теплопотребляющей установки к коллектору источника тепловой энергии</v>
      </c>
      <c r="AQ47" s="506"/>
      <c r="AR47" s="506"/>
    </row>
    <row customHeight="1" ht="21">
      <c r="A48" s="1393" t="s">
        <v>419</v>
      </c>
      <c r="B48" s="1393" t="s">
        <v>420</v>
      </c>
      <c r="C48" s="1393" t="s">
        <v>421</v>
      </c>
      <c r="D48" s="1393" t="s">
        <v>422</v>
      </c>
      <c r="E48" s="2108"/>
      <c r="F48" s="2108"/>
      <c r="G48" s="2108"/>
      <c r="H48" s="2108"/>
      <c r="I48" s="2110"/>
      <c r="J48" s="2109" t="str">
        <f>I47&amp;".1"</f>
        <v>....1.1</v>
      </c>
      <c r="K48" s="1393"/>
      <c r="L48" s="1394" t="s">
        <v>621</v>
      </c>
      <c r="P48" s="2111"/>
      <c r="Q48" s="2111">
        <v>1</v>
      </c>
      <c r="R48" s="353"/>
      <c r="S48" s="1366" t="str">
        <f>$J48</f>
        <v>....1.1</v>
      </c>
      <c r="T48" s="274" t="s">
        <v>622</v>
      </c>
      <c r="U48" s="288"/>
      <c r="V48" s="2095"/>
      <c r="W48" s="2096"/>
      <c r="X48" s="2096"/>
      <c r="Y48" s="2096"/>
      <c r="Z48" s="2096"/>
      <c r="AA48" s="2096"/>
      <c r="AB48" s="2096"/>
      <c r="AC48" s="2097"/>
      <c r="AD48" s="2095"/>
      <c r="AE48" s="2096"/>
      <c r="AF48" s="2096"/>
      <c r="AG48" s="2096"/>
      <c r="AH48" s="2096"/>
      <c r="AI48" s="2096"/>
      <c r="AJ48" s="2096"/>
      <c r="AK48" s="2096"/>
      <c r="AL48" s="2097"/>
      <c r="AM48" s="1286" t="s">
        <v>623</v>
      </c>
      <c r="AO48" s="506"/>
      <c r="AP48" s="506" t="str">
        <f>IF(T48="","",T48)</f>
        <v>Группа потребителей</v>
      </c>
      <c r="AQ48" s="506"/>
      <c r="AR48" s="506"/>
    </row>
    <row customHeight="1" ht="21">
      <c r="A49" s="1393" t="s">
        <v>419</v>
      </c>
      <c r="B49" s="1393" t="s">
        <v>420</v>
      </c>
      <c r="C49" s="1393" t="s">
        <v>421</v>
      </c>
      <c r="D49" s="1393" t="s">
        <v>422</v>
      </c>
      <c r="E49" s="2108"/>
      <c r="F49" s="2108"/>
      <c r="G49" s="2108"/>
      <c r="H49" s="2108"/>
      <c r="I49" s="2110"/>
      <c r="J49" s="2110"/>
      <c r="K49" s="2109" t="str">
        <f>J48&amp;".1"</f>
        <v>....1.1.1</v>
      </c>
      <c r="L49" s="1394" t="s">
        <v>624</v>
      </c>
      <c r="P49" s="2111"/>
      <c r="Q49" s="2111"/>
      <c r="R49" s="353">
        <v>1</v>
      </c>
      <c r="S49" s="1366" t="str">
        <f>$K49</f>
        <v>....1.1.1</v>
      </c>
      <c r="T49" s="1377"/>
      <c r="U49" s="288"/>
      <c r="V49" s="320"/>
      <c r="W49" s="757"/>
      <c r="X49" s="320"/>
      <c r="Y49" s="390"/>
      <c r="Z49" s="2112"/>
      <c r="AA49" s="1981" t="s">
        <v>63</v>
      </c>
      <c r="AB49" s="2112"/>
      <c r="AC49" s="1981" t="s">
        <v>63</v>
      </c>
      <c r="AD49" s="320"/>
      <c r="AE49" s="757"/>
      <c r="AF49" s="320"/>
      <c r="AG49" s="390"/>
      <c r="AH49" s="2112"/>
      <c r="AI49" s="1981" t="s">
        <v>63</v>
      </c>
      <c r="AJ49" s="2114"/>
      <c r="AK49" s="1981" t="s">
        <v>63</v>
      </c>
      <c r="AL49" s="1378"/>
      <c r="AM49" s="2137" t="s">
        <v>625</v>
      </c>
      <c r="AN49" s="517">
        <f>STRCHECKDATE(V50:AL50)</f>
      </c>
      <c r="AO49" s="506"/>
      <c r="AP49" s="506" t="str">
        <f>IF(T49="","",T49)</f>
        <v/>
      </c>
      <c r="AQ49" s="506"/>
      <c r="AR49" s="506"/>
    </row>
    <row customHeight="1" ht="0.75">
      <c r="A50" s="1393" t="s">
        <v>419</v>
      </c>
      <c r="B50" s="1393" t="s">
        <v>420</v>
      </c>
      <c r="C50" s="1393" t="s">
        <v>421</v>
      </c>
      <c r="D50" s="1393" t="s">
        <v>422</v>
      </c>
      <c r="E50" s="2108"/>
      <c r="F50" s="2108"/>
      <c r="G50" s="2108"/>
      <c r="H50" s="2108"/>
      <c r="I50" s="2110"/>
      <c r="J50" s="2110"/>
      <c r="K50" s="2109"/>
      <c r="L50" s="1394"/>
      <c r="P50" s="2111"/>
      <c r="Q50" s="2111"/>
      <c r="R50" s="353"/>
      <c r="S50" s="1372"/>
      <c r="T50" s="288"/>
      <c r="U50" s="288"/>
      <c r="V50" s="320"/>
      <c r="W50" s="320"/>
      <c r="X50" s="320"/>
      <c r="Y50" s="324" t="str">
        <f>Z49&amp;"-"&amp;AB49</f>
        <v>-</v>
      </c>
      <c r="Z50" s="2113"/>
      <c r="AA50" s="1981"/>
      <c r="AB50" s="2113"/>
      <c r="AC50" s="1981"/>
      <c r="AD50" s="320"/>
      <c r="AE50" s="320"/>
      <c r="AF50" s="320"/>
      <c r="AG50" s="324" t="str">
        <f>AH49&amp;"-"&amp;AJ49</f>
        <v>-</v>
      </c>
      <c r="AH50" s="2113"/>
      <c r="AI50" s="1981"/>
      <c r="AJ50" s="2115"/>
      <c r="AK50" s="1981"/>
      <c r="AL50" s="1379"/>
      <c r="AM50" s="2138"/>
      <c r="AO50" s="506"/>
      <c r="AP50" s="506" t="str">
        <f>IF(T50="","",T50)</f>
        <v/>
      </c>
      <c r="AQ50" s="506"/>
      <c r="AR50" s="506"/>
    </row>
    <row customHeight="1" ht="11.25">
      <c r="A51" s="1393" t="s">
        <v>419</v>
      </c>
      <c r="B51" s="1393" t="s">
        <v>420</v>
      </c>
      <c r="C51" s="1393" t="s">
        <v>421</v>
      </c>
      <c r="D51" s="1393" t="s">
        <v>422</v>
      </c>
      <c r="E51" s="2108"/>
      <c r="F51" s="2108"/>
      <c r="G51" s="2108"/>
      <c r="H51" s="2108"/>
      <c r="I51" s="2110"/>
      <c r="J51" s="2109"/>
      <c r="K51" s="1393"/>
      <c r="L51" s="1394"/>
      <c r="P51" s="2111"/>
      <c r="Q51" s="2111"/>
      <c r="R51" s="352"/>
      <c r="S51" s="1308"/>
      <c r="T51" s="276" t="s">
        <v>626</v>
      </c>
      <c r="U51" s="367"/>
      <c r="V51" s="367"/>
      <c r="W51" s="367"/>
      <c r="X51" s="367"/>
      <c r="Y51" s="367"/>
      <c r="Z51" s="367"/>
      <c r="AA51" s="367"/>
      <c r="AB51" s="367"/>
      <c r="AC51" s="367"/>
      <c r="AD51" s="367"/>
      <c r="AE51" s="367"/>
      <c r="AF51" s="367"/>
      <c r="AG51" s="367"/>
      <c r="AH51" s="367"/>
      <c r="AI51" s="367"/>
      <c r="AJ51" s="367"/>
      <c r="AK51" s="367"/>
      <c r="AL51" s="319"/>
      <c r="AM51" s="2139"/>
      <c r="AO51" s="506"/>
      <c r="AP51" s="506" t="str">
        <f>IF(T51="","",T51)</f>
        <v>Добавить вид теплоносителя (параметры теплоносителя)</v>
      </c>
      <c r="AQ51" s="506"/>
      <c r="AR51" s="506"/>
    </row>
    <row customHeight="1" ht="11.25">
      <c r="A52" s="1393" t="s">
        <v>419</v>
      </c>
      <c r="B52" s="1393" t="s">
        <v>420</v>
      </c>
      <c r="C52" s="1393" t="s">
        <v>421</v>
      </c>
      <c r="D52" s="1393" t="s">
        <v>422</v>
      </c>
      <c r="E52" s="2108"/>
      <c r="F52" s="2108"/>
      <c r="G52" s="2108"/>
      <c r="H52" s="2108"/>
      <c r="I52" s="2109"/>
      <c r="J52" s="1393"/>
      <c r="K52" s="1393"/>
      <c r="L52" s="1394"/>
      <c r="P52" s="2111"/>
      <c r="Q52" s="1361"/>
      <c r="R52" s="352"/>
      <c r="S52" s="1308"/>
      <c r="T52" s="275" t="s">
        <v>627</v>
      </c>
      <c r="U52" s="367"/>
      <c r="V52" s="367"/>
      <c r="W52" s="367"/>
      <c r="X52" s="367"/>
      <c r="Y52" s="367"/>
      <c r="Z52" s="367"/>
      <c r="AA52" s="367"/>
      <c r="AB52" s="367"/>
      <c r="AC52" s="366"/>
      <c r="AD52" s="367"/>
      <c r="AE52" s="367"/>
      <c r="AF52" s="367"/>
      <c r="AG52" s="367"/>
      <c r="AH52" s="367"/>
      <c r="AI52" s="367"/>
      <c r="AJ52" s="367"/>
      <c r="AK52" s="366"/>
      <c r="AL52" s="367"/>
      <c r="AM52" s="291"/>
      <c r="AO52" s="506"/>
      <c r="AP52" s="506" t="str">
        <f>IF(T52="","",T52)</f>
        <v>Добавить группу потребителей</v>
      </c>
      <c r="AQ52" s="506"/>
      <c r="AR52" s="506"/>
    </row>
    <row customHeight="1" ht="14.25">
      <c r="A53" s="1393" t="s">
        <v>419</v>
      </c>
      <c r="B53" s="1393" t="s">
        <v>420</v>
      </c>
      <c r="C53" s="1393" t="s">
        <v>421</v>
      </c>
      <c r="D53" s="1393" t="s">
        <v>422</v>
      </c>
      <c r="E53" s="2108"/>
      <c r="F53" s="2108"/>
      <c r="G53" s="2108"/>
      <c r="H53" s="2107"/>
      <c r="I53" s="1393"/>
      <c r="J53" s="1393"/>
      <c r="K53" s="1393"/>
      <c r="L53" s="1394"/>
      <c r="M53" s="1395"/>
      <c r="N53" s="1395"/>
      <c r="O53" s="543"/>
      <c r="P53" s="356"/>
      <c r="Q53" s="376"/>
      <c r="R53" s="351"/>
      <c r="S53" s="1308"/>
      <c r="T53" s="364" t="s">
        <v>628</v>
      </c>
      <c r="U53" s="367"/>
      <c r="V53" s="367"/>
      <c r="W53" s="367"/>
      <c r="X53" s="367"/>
      <c r="Y53" s="367"/>
      <c r="Z53" s="367"/>
      <c r="AA53" s="367"/>
      <c r="AB53" s="367"/>
      <c r="AC53" s="366"/>
      <c r="AD53" s="367"/>
      <c r="AE53" s="367"/>
      <c r="AF53" s="367"/>
      <c r="AG53" s="367"/>
      <c r="AH53" s="367"/>
      <c r="AI53" s="367"/>
      <c r="AJ53" s="367"/>
      <c r="AK53" s="366"/>
      <c r="AL53" s="367"/>
      <c r="AM53" s="291"/>
      <c r="AO53" s="506"/>
      <c r="AP53" s="506" t="str">
        <f>IF(T53="","",T53)</f>
        <v>Добавить схему подключения</v>
      </c>
      <c r="AQ53" s="506"/>
      <c r="AR53" s="506"/>
    </row>
    <row s="3314" customFormat="1" customHeight="1" ht="0.75">
      <c r="A54" s="1373" t="s">
        <v>419</v>
      </c>
      <c r="B54" s="1373" t="s">
        <v>420</v>
      </c>
      <c r="C54" s="1373" t="s">
        <v>421</v>
      </c>
      <c r="D54" s="1344"/>
      <c r="E54" s="2108"/>
      <c r="F54" s="2108"/>
      <c r="G54" s="2107"/>
      <c r="H54" s="1344"/>
      <c r="I54" s="1344"/>
      <c r="J54" s="1344"/>
      <c r="K54" s="1344"/>
      <c r="L54" s="1369"/>
      <c r="M54" s="1345"/>
      <c r="N54" s="1345"/>
      <c r="P54" s="1346"/>
      <c r="Q54" s="1347"/>
      <c r="R54" s="1346"/>
      <c r="S54" s="1352"/>
      <c r="T54" s="1355" t="s">
        <v>254</v>
      </c>
      <c r="U54" s="1354"/>
      <c r="V54" s="1354"/>
      <c r="W54" s="1354"/>
      <c r="X54" s="1354"/>
      <c r="Y54" s="1354"/>
      <c r="Z54" s="1354"/>
      <c r="AA54" s="1354"/>
      <c r="AB54" s="1354"/>
      <c r="AC54" s="1354"/>
      <c r="AD54" s="1354"/>
      <c r="AE54" s="1354"/>
      <c r="AF54" s="1354"/>
      <c r="AG54" s="1354"/>
      <c r="AH54" s="1354"/>
      <c r="AI54" s="1354"/>
      <c r="AJ54" s="1354"/>
      <c r="AK54" s="1354"/>
      <c r="AL54" s="1354"/>
      <c r="AM54" s="1354"/>
      <c r="AO54" s="795"/>
      <c r="AP54" s="795" t="str">
        <f>IF(T54="","",T54)</f>
        <v>Добавить источник для дифференциации</v>
      </c>
      <c r="AQ54" s="795"/>
      <c r="AR54" s="795"/>
    </row>
    <row s="3314" customFormat="1" customHeight="1" ht="0.75">
      <c r="A55" s="1373" t="s">
        <v>419</v>
      </c>
      <c r="B55" s="1373" t="s">
        <v>420</v>
      </c>
      <c r="C55" s="1344"/>
      <c r="D55" s="1344"/>
      <c r="E55" s="2108"/>
      <c r="F55" s="2107"/>
      <c r="G55" s="1344"/>
      <c r="H55" s="1344"/>
      <c r="I55" s="1344"/>
      <c r="J55" s="1344"/>
      <c r="K55" s="1344"/>
      <c r="L55" s="1369"/>
      <c r="M55" s="1351"/>
      <c r="N55" s="1351"/>
      <c r="P55" s="1346"/>
      <c r="Q55" s="1347"/>
      <c r="R55" s="1346"/>
      <c r="S55" s="1352"/>
      <c r="T55" s="1355" t="s">
        <v>255</v>
      </c>
      <c r="U55" s="1354"/>
      <c r="V55" s="1354"/>
      <c r="W55" s="1354"/>
      <c r="X55" s="1354"/>
      <c r="Y55" s="1354"/>
      <c r="Z55" s="1354"/>
      <c r="AA55" s="1354"/>
      <c r="AB55" s="1354"/>
      <c r="AC55" s="1354"/>
      <c r="AD55" s="1354"/>
      <c r="AE55" s="1354"/>
      <c r="AF55" s="1354"/>
      <c r="AG55" s="1354"/>
      <c r="AH55" s="1354"/>
      <c r="AI55" s="1354"/>
      <c r="AJ55" s="1354"/>
      <c r="AK55" s="1354"/>
      <c r="AL55" s="1354"/>
      <c r="AM55" s="1354"/>
      <c r="AO55" s="795"/>
      <c r="AP55" s="795" t="str">
        <f>IF(T55="","",T55)</f>
        <v>Добавить централизованную систему для дифференциации</v>
      </c>
      <c r="AQ55" s="795"/>
      <c r="AR55" s="795"/>
    </row>
    <row s="2612" customFormat="1" customHeight="1" ht="0.75">
      <c r="A56" s="1373" t="s">
        <v>419</v>
      </c>
      <c r="B56" s="1373"/>
      <c r="C56" s="1373"/>
      <c r="D56" s="1373"/>
      <c r="E56" s="2107"/>
      <c r="F56" s="1373"/>
      <c r="G56" s="1373"/>
      <c r="H56" s="1373"/>
      <c r="I56" s="1373"/>
      <c r="J56" s="1373"/>
      <c r="K56" s="1373"/>
      <c r="L56" s="1376"/>
      <c r="M56" s="1351"/>
      <c r="N56" s="1351"/>
      <c r="O56" s="524"/>
      <c r="P56" s="385"/>
      <c r="Q56" s="1374"/>
      <c r="R56" s="385"/>
      <c r="S56" s="1352"/>
      <c r="T56" s="1355" t="s">
        <v>329</v>
      </c>
      <c r="U56" s="1354"/>
      <c r="V56" s="1354"/>
      <c r="W56" s="1354"/>
      <c r="X56" s="1354"/>
      <c r="Y56" s="1354"/>
      <c r="Z56" s="1354"/>
      <c r="AA56" s="1354"/>
      <c r="AB56" s="1354"/>
      <c r="AC56" s="1354"/>
      <c r="AD56" s="1354"/>
      <c r="AE56" s="1354"/>
      <c r="AF56" s="1354"/>
      <c r="AG56" s="1354"/>
      <c r="AH56" s="1354"/>
      <c r="AI56" s="1354"/>
      <c r="AJ56" s="1354"/>
      <c r="AK56" s="1354"/>
      <c r="AL56" s="1354"/>
      <c r="AM56" s="1354"/>
      <c r="AO56" s="506"/>
      <c r="AP56" s="506" t="str">
        <f>IF(T56="","",T56)</f>
        <v>Добавить территорию для дифференциации</v>
      </c>
      <c r="AQ56" s="506"/>
      <c r="AR56" s="506"/>
    </row>
    <row s="3314" customFormat="1" customHeight="1" ht="0.75">
      <c r="A57" s="1344"/>
      <c r="B57" s="1344"/>
      <c r="C57" s="1344"/>
      <c r="D57" s="1344"/>
      <c r="E57" s="1373"/>
      <c r="F57" s="1344"/>
      <c r="G57" s="1344"/>
      <c r="H57" s="1344"/>
      <c r="I57" s="1344"/>
      <c r="J57" s="1344"/>
      <c r="K57" s="1344"/>
      <c r="L57" s="1369"/>
      <c r="M57" s="1351"/>
      <c r="N57" s="1351"/>
      <c r="P57" s="1346"/>
      <c r="Q57" s="1347"/>
      <c r="R57" s="1346"/>
      <c r="S57" s="1352"/>
      <c r="T57" s="1355" t="s">
        <v>398</v>
      </c>
      <c r="U57" s="1354"/>
      <c r="V57" s="1354"/>
      <c r="W57" s="1354"/>
      <c r="X57" s="1354"/>
      <c r="Y57" s="1354"/>
      <c r="Z57" s="1354"/>
      <c r="AA57" s="1354"/>
      <c r="AB57" s="1354"/>
      <c r="AC57" s="1354"/>
      <c r="AD57" s="1354"/>
      <c r="AE57" s="1354"/>
      <c r="AF57" s="1354"/>
      <c r="AG57" s="1354"/>
      <c r="AH57" s="1354"/>
      <c r="AI57" s="1354"/>
      <c r="AJ57" s="1354"/>
      <c r="AK57" s="1354"/>
      <c r="AL57" s="1354"/>
      <c r="AM57" s="1354"/>
      <c r="AO57" s="795"/>
      <c r="AP57" s="795" t="str">
        <f>IF(T57="","",T57)</f>
        <v>Добавить наименование тарифа</v>
      </c>
      <c r="AQ57" s="795"/>
      <c r="AR57" s="795"/>
    </row>
    <row customHeight="1" ht="11.25">
      <c r="M58" s="1168"/>
      <c r="N58" s="1168"/>
      <c r="O58" s="543"/>
      <c r="P58" s="1163"/>
      <c r="Q58" s="1163"/>
      <c r="R58" s="1163"/>
      <c r="S58" s="1163"/>
      <c r="AN58" s="1163"/>
      <c r="AO58" s="1163"/>
      <c r="AP58" s="1163"/>
      <c r="AQ58" s="1163"/>
      <c r="AR58" s="1163"/>
    </row>
    <row customHeight="1" ht="27">
      <c r="O59" s="543"/>
      <c r="S59" s="1273"/>
      <c r="T59" s="2106"/>
      <c r="U59" s="2106"/>
      <c r="V59" s="2106"/>
      <c r="W59" s="2106"/>
      <c r="X59" s="2106"/>
      <c r="Y59" s="2106"/>
      <c r="Z59" s="2106"/>
      <c r="AA59" s="2106"/>
      <c r="AB59" s="2106"/>
      <c r="AC59" s="2106"/>
      <c r="AD59" s="2106"/>
      <c r="AE59" s="2106"/>
      <c r="AF59" s="2106"/>
      <c r="AG59" s="2106"/>
      <c r="AH59" s="2106"/>
      <c r="AI59" s="2106"/>
      <c r="AJ59" s="2106"/>
      <c r="AK59" s="2106"/>
      <c r="AL59" s="2106"/>
      <c r="AM59" s="2106"/>
    </row>
    <row customHeight="1" ht="75">
      <c r="O60" s="543"/>
      <c r="T60" s="2106"/>
      <c r="U60" s="2106"/>
      <c r="V60" s="2106"/>
      <c r="W60" s="2106"/>
      <c r="X60" s="2106"/>
      <c r="Y60" s="2106"/>
      <c r="Z60" s="2106"/>
      <c r="AA60" s="2106"/>
      <c r="AB60" s="2106"/>
      <c r="AC60" s="2106"/>
      <c r="AD60" s="2106"/>
      <c r="AE60" s="2106"/>
      <c r="AF60" s="2106"/>
      <c r="AG60" s="2106"/>
      <c r="AH60" s="2106"/>
      <c r="AI60" s="2106"/>
      <c r="AJ60" s="2106"/>
      <c r="AK60" s="2106"/>
      <c r="AL60" s="2106"/>
      <c r="AM60" s="2106"/>
    </row>
    <row customHeight="1" ht="14.25">
      <c r="O61" s="543"/>
    </row>
    <row customHeight="1" ht="18">
      <c r="O62" s="543"/>
      <c r="S62" s="1273"/>
      <c r="T62" s="2106"/>
      <c r="U62" s="2106"/>
      <c r="V62" s="2106"/>
      <c r="W62" s="2106"/>
      <c r="X62" s="2106"/>
      <c r="Y62" s="2106"/>
      <c r="Z62" s="2106"/>
      <c r="AA62" s="2106"/>
      <c r="AB62" s="2106"/>
      <c r="AC62" s="2106"/>
      <c r="AD62" s="2106"/>
      <c r="AE62" s="2106"/>
      <c r="AF62" s="2106"/>
      <c r="AG62" s="2106"/>
      <c r="AH62" s="2106"/>
      <c r="AI62" s="2106"/>
      <c r="AJ62" s="2106"/>
      <c r="AK62" s="2106"/>
      <c r="AL62" s="2106"/>
      <c r="AM62" s="2106"/>
    </row>
    <row customHeight="1" ht="18">
      <c r="O63" s="543"/>
      <c r="T63" s="2106"/>
      <c r="U63" s="2106"/>
      <c r="V63" s="2106"/>
      <c r="W63" s="2106"/>
      <c r="X63" s="2106"/>
      <c r="Y63" s="2106"/>
      <c r="Z63" s="2106"/>
      <c r="AA63" s="2106"/>
      <c r="AB63" s="2106"/>
      <c r="AC63" s="2106"/>
      <c r="AD63" s="2106"/>
      <c r="AE63" s="2106"/>
      <c r="AF63" s="2106"/>
      <c r="AG63" s="2106"/>
      <c r="AH63" s="2106"/>
      <c r="AI63" s="2106"/>
      <c r="AJ63" s="2106"/>
      <c r="AK63" s="2106"/>
      <c r="AL63" s="2106"/>
      <c r="AM63" s="2106"/>
    </row>
    <row customHeight="1" ht="38.25">
      <c r="O64" s="543"/>
      <c r="S64" s="1273"/>
      <c r="T64" s="2106"/>
      <c r="U64" s="2106"/>
      <c r="V64" s="2106"/>
      <c r="W64" s="2106"/>
      <c r="X64" s="2106"/>
      <c r="Y64" s="2106"/>
      <c r="Z64" s="2106"/>
      <c r="AA64" s="2106"/>
      <c r="AB64" s="2106"/>
      <c r="AC64" s="2106"/>
      <c r="AD64" s="2106"/>
      <c r="AE64" s="2106"/>
      <c r="AF64" s="2106"/>
      <c r="AG64" s="2106"/>
      <c r="AH64" s="2106"/>
      <c r="AI64" s="2106"/>
      <c r="AJ64" s="2106"/>
      <c r="AK64" s="2106"/>
      <c r="AL64" s="2106"/>
      <c r="AM64" s="2106"/>
    </row>
  </sheetData>
  <sheetProtection formatColumns="0" formatRows="0" autoFilter="0" sort="0" insertRows="0" insertColumns="1" deleteRows="0" deleteColumns="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9DFF26-982D-AE8E-F1BB-4989E26335DC}" mc:Ignorable="x14ac xr xr2 xr3">
  <sheetPr>
    <tabColor theme="6" tint="0.4"/>
  </sheetPr>
  <dimension ref="A1:CV631"/>
  <sheetViews>
    <sheetView topLeftCell="Q25" showGridLines="0" zoomScale="85" workbookViewId="0" tabSelected="1">
      <selection activeCell="AG213" sqref="AG213"/>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2.00390625" hidden="1" customWidth="1"/>
    <col min="10" max="10" style="2683" width="9.8515625" hidden="1" customWidth="1"/>
    <col min="11" max="11" style="2683" width="11.421875" hidden="1" customWidth="1"/>
    <col min="12" max="12" style="3333" width="19.140625" hidden="1" customWidth="1"/>
    <col min="13" max="14" style="3334" width="12.28125" hidden="1" customWidth="1"/>
    <col min="15" max="15" style="3334" width="23.421875" hidden="1" customWidth="1"/>
    <col min="16" max="16" style="3355" width="3.7109375" hidden="1" customWidth="1"/>
    <col min="17" max="18" style="3411" width="3.7109375" customWidth="1"/>
    <col min="19" max="19" style="3412" width="8.57421875" customWidth="1"/>
    <col min="20" max="20" style="2984" width="31.11328125" customWidth="1"/>
    <col min="21" max="21" style="2984" width="0" customWidth="1"/>
    <col min="22" max="29" style="2984" width="8.57421875" hidden="1" customWidth="1"/>
    <col min="30" max="30" style="2984" width="8.57421875" customWidth="1"/>
    <col min="31" max="31" style="2984" width="0" customWidth="1"/>
    <col min="32" max="32" style="2984" width="13.43359375" customWidth="1"/>
    <col min="33" max="33" style="2984" width="24.7109375" customWidth="1"/>
    <col min="34" max="34" style="2984" width="11.7109375" customWidth="1"/>
    <col min="35" max="35" style="2984" width="3.7109375" customWidth="1"/>
    <col min="36" max="36" style="2984" width="11.7109375" customWidth="1"/>
    <col min="37" max="37" style="2984" width="8.57421875" customWidth="1"/>
    <col min="93" max="93" width="10.57421875" hidden="1"/>
    <col min="94" max="94" style="2984" width="4.7109375" customWidth="1"/>
    <col min="95" max="95" style="2984" width="115.7109375" customWidth="1"/>
    <col min="96" max="97" style="2612" width="10.57421875"/>
    <col min="98" max="98" style="2612" width="11.140625" customWidth="1"/>
    <col min="99" max="100" style="2612" width="10.57421875"/>
  </cols>
  <sheetData>
    <row customHeight="1" ht="14.25" hidden="1">
      <c r="Y1" s="323"/>
      <c r="Z1" s="323"/>
      <c r="AG1" s="323"/>
      <c r="AH1" s="323"/>
      <c r="AL1" s="3431"/>
      <c r="AM1" s="3431"/>
      <c r="AN1" s="3431"/>
      <c r="AO1" s="3431"/>
      <c r="AP1" s="3431"/>
      <c r="AQ1" s="3431"/>
      <c r="AR1" s="3431"/>
      <c r="AS1" s="3431"/>
      <c r="AT1" s="3431"/>
      <c r="AU1" s="3431"/>
      <c r="AV1" s="3431"/>
      <c r="AW1" s="3431"/>
      <c r="AX1" s="3431"/>
      <c r="AY1" s="3431"/>
      <c r="AZ1" s="3431"/>
      <c r="BA1" s="3431"/>
      <c r="BB1" s="3431"/>
      <c r="BC1" s="3431"/>
      <c r="BD1" s="3431"/>
      <c r="BE1" s="3431"/>
      <c r="BF1" s="3431"/>
      <c r="BG1" s="3431"/>
      <c r="BH1" s="3431"/>
      <c r="BI1" s="3431"/>
      <c r="BJ1" s="3431"/>
      <c r="BK1" s="3431"/>
      <c r="BL1" s="3431"/>
      <c r="BM1" s="3431"/>
      <c r="BN1" s="3431"/>
      <c r="BO1" s="3431"/>
      <c r="BP1" s="3431"/>
      <c r="BQ1" s="3431"/>
      <c r="BR1" s="3431"/>
      <c r="BS1" s="3431"/>
      <c r="BT1" s="3431"/>
      <c r="BU1" s="3431"/>
      <c r="BV1" s="3431"/>
      <c r="BW1" s="3431"/>
      <c r="BX1" s="3431"/>
      <c r="BY1" s="3431"/>
      <c r="BZ1" s="3431"/>
      <c r="CA1" s="3431"/>
      <c r="CB1" s="3431"/>
      <c r="CC1" s="3431"/>
      <c r="CD1" s="3431"/>
      <c r="CE1" s="3431"/>
      <c r="CF1" s="3431"/>
      <c r="CG1" s="3431"/>
      <c r="CH1" s="3431"/>
      <c r="CI1" s="3431"/>
      <c r="CJ1" s="3431"/>
      <c r="CK1" s="3431"/>
      <c r="CL1" s="3431"/>
      <c r="CM1" s="3431"/>
      <c r="CN1" s="3431"/>
      <c r="CO1" s="3431"/>
    </row>
    <row customHeight="1" ht="21" hidden="1">
      <c r="A2" s="1393"/>
      <c r="B2" s="1393"/>
      <c r="C2" s="1393"/>
      <c r="D2" s="1393"/>
      <c r="E2" s="2107">
        <v>1</v>
      </c>
      <c r="F2" s="1393"/>
      <c r="G2" s="1393"/>
      <c r="H2" s="1393"/>
      <c r="I2" s="1393"/>
      <c r="J2" s="1393"/>
      <c r="K2" s="1393"/>
      <c r="L2" s="1394"/>
      <c r="M2" s="1395"/>
      <c r="N2" s="1395"/>
      <c r="O2" s="1395"/>
      <c r="P2" s="357"/>
      <c r="Q2" s="356"/>
      <c r="R2" s="351"/>
      <c r="S2" s="1366">
        <f>INDEX(PT_DIFFERENTIATION_NUM_NTAR,MATCH(A2,PT_DIFFERENTIATION_NTAR_ID,0))</f>
      </c>
      <c r="T2" s="286" t="s">
        <v>204</v>
      </c>
      <c r="U2" s="288"/>
      <c r="V2" s="2101"/>
      <c r="W2" s="2102"/>
      <c r="X2" s="2102"/>
      <c r="Y2" s="2102"/>
      <c r="Z2" s="2102"/>
      <c r="AA2" s="2102"/>
      <c r="AB2" s="2102"/>
      <c r="AC2" s="2103"/>
      <c r="AD2" s="2101">
        <f>INDEX(PT_DIFFERENTIATION_NTAR,MATCH(A2,PT_DIFFERENTIATION_NTAR_ID,0))</f>
      </c>
      <c r="AE2" s="2102"/>
      <c r="AF2" s="2102"/>
      <c r="AG2" s="2102"/>
      <c r="AH2" s="2102"/>
      <c r="AI2" s="2102"/>
      <c r="AJ2" s="2102"/>
      <c r="AK2" s="2102"/>
      <c r="AL2" s="3432"/>
      <c r="AM2" s="3433"/>
      <c r="AN2" s="3433"/>
      <c r="AO2" s="3433"/>
      <c r="AP2" s="3433"/>
      <c r="AQ2" s="3433"/>
      <c r="AR2" s="3433"/>
      <c r="AS2" s="3434"/>
      <c r="AT2" s="3432"/>
      <c r="AU2" s="3433"/>
      <c r="AV2" s="3433"/>
      <c r="AW2" s="3433"/>
      <c r="AX2" s="3433"/>
      <c r="AY2" s="3433"/>
      <c r="AZ2" s="3433"/>
      <c r="BA2" s="3434"/>
      <c r="BB2" s="3432"/>
      <c r="BC2" s="3433"/>
      <c r="BD2" s="3433"/>
      <c r="BE2" s="3433"/>
      <c r="BF2" s="3433"/>
      <c r="BG2" s="3433"/>
      <c r="BH2" s="3433"/>
      <c r="BI2" s="3434"/>
      <c r="BJ2" s="3432"/>
      <c r="BK2" s="3433"/>
      <c r="BL2" s="3433"/>
      <c r="BM2" s="3433"/>
      <c r="BN2" s="3433"/>
      <c r="BO2" s="3433"/>
      <c r="BP2" s="3433"/>
      <c r="BQ2" s="3434"/>
      <c r="BR2" s="3432"/>
      <c r="BS2" s="3433"/>
      <c r="BT2" s="3433"/>
      <c r="BU2" s="3433"/>
      <c r="BV2" s="3433"/>
      <c r="BW2" s="3433"/>
      <c r="BX2" s="3433"/>
      <c r="BY2" s="3434"/>
      <c r="BZ2" s="3432"/>
      <c r="CA2" s="3433"/>
      <c r="CB2" s="3433"/>
      <c r="CC2" s="3433"/>
      <c r="CD2" s="3433"/>
      <c r="CE2" s="3433"/>
      <c r="CF2" s="3433"/>
      <c r="CG2" s="3434"/>
      <c r="CH2" s="3432"/>
      <c r="CI2" s="3433"/>
      <c r="CJ2" s="3433"/>
      <c r="CK2" s="3433"/>
      <c r="CL2" s="3433"/>
      <c r="CM2" s="3433"/>
      <c r="CN2" s="3433"/>
      <c r="CO2" s="3434"/>
      <c r="CP2" s="2103"/>
      <c r="CQ2" s="1286" t="s">
        <v>611</v>
      </c>
      <c r="CS2" s="506"/>
      <c r="CT2" s="506" t="str">
        <f>IF(T2="","",T2)</f>
        <v>Наименование тарифа</v>
      </c>
      <c r="CU2" s="506"/>
      <c r="CV2" s="506"/>
    </row>
    <row customHeight="1" ht="21" hidden="1">
      <c r="A3" s="1393"/>
      <c r="B3" s="1393"/>
      <c r="C3" s="1393"/>
      <c r="D3" s="1393"/>
      <c r="E3" s="2108"/>
      <c r="F3" s="2107">
        <v>1</v>
      </c>
      <c r="G3" s="1393"/>
      <c r="H3" s="1393"/>
      <c r="I3" s="1393"/>
      <c r="J3" s="1393"/>
      <c r="K3" s="1393"/>
      <c r="L3" s="1394"/>
      <c r="M3" s="1395"/>
      <c r="N3" s="1395"/>
      <c r="O3" s="1395"/>
      <c r="P3" s="1362"/>
      <c r="Q3" s="348"/>
      <c r="R3" s="349"/>
      <c r="S3" s="1366">
        <f>INDEX(PT_DIFFERENTIATION_NUM_TER,MATCH(B3,PT_DIFFERENTIATION_TER_ID,0))</f>
      </c>
      <c r="T3" s="298" t="s">
        <v>612</v>
      </c>
      <c r="U3" s="288"/>
      <c r="V3" s="2101"/>
      <c r="W3" s="2102"/>
      <c r="X3" s="2102"/>
      <c r="Y3" s="2102"/>
      <c r="Z3" s="2102"/>
      <c r="AA3" s="2102"/>
      <c r="AB3" s="2102"/>
      <c r="AC3" s="2103"/>
      <c r="AD3" s="2101">
        <f>INDEX(PT_DIFFERENTIATION_TER,MATCH(B3,PT_DIFFERENTIATION_TER_ID,0))</f>
      </c>
      <c r="AE3" s="2102"/>
      <c r="AF3" s="2102"/>
      <c r="AG3" s="2102"/>
      <c r="AH3" s="2102"/>
      <c r="AI3" s="2102"/>
      <c r="AJ3" s="2102"/>
      <c r="AK3" s="2102"/>
      <c r="AL3" s="3432"/>
      <c r="AM3" s="3433"/>
      <c r="AN3" s="3433"/>
      <c r="AO3" s="3433"/>
      <c r="AP3" s="3433"/>
      <c r="AQ3" s="3433"/>
      <c r="AR3" s="3433"/>
      <c r="AS3" s="3434"/>
      <c r="AT3" s="3432"/>
      <c r="AU3" s="3433"/>
      <c r="AV3" s="3433"/>
      <c r="AW3" s="3433"/>
      <c r="AX3" s="3433"/>
      <c r="AY3" s="3433"/>
      <c r="AZ3" s="3433"/>
      <c r="BA3" s="3434"/>
      <c r="BB3" s="3432"/>
      <c r="BC3" s="3433"/>
      <c r="BD3" s="3433"/>
      <c r="BE3" s="3433"/>
      <c r="BF3" s="3433"/>
      <c r="BG3" s="3433"/>
      <c r="BH3" s="3433"/>
      <c r="BI3" s="3434"/>
      <c r="BJ3" s="3432"/>
      <c r="BK3" s="3433"/>
      <c r="BL3" s="3433"/>
      <c r="BM3" s="3433"/>
      <c r="BN3" s="3433"/>
      <c r="BO3" s="3433"/>
      <c r="BP3" s="3433"/>
      <c r="BQ3" s="3434"/>
      <c r="BR3" s="3432"/>
      <c r="BS3" s="3433"/>
      <c r="BT3" s="3433"/>
      <c r="BU3" s="3433"/>
      <c r="BV3" s="3433"/>
      <c r="BW3" s="3433"/>
      <c r="BX3" s="3433"/>
      <c r="BY3" s="3434"/>
      <c r="BZ3" s="3432"/>
      <c r="CA3" s="3433"/>
      <c r="CB3" s="3433"/>
      <c r="CC3" s="3433"/>
      <c r="CD3" s="3433"/>
      <c r="CE3" s="3433"/>
      <c r="CF3" s="3433"/>
      <c r="CG3" s="3434"/>
      <c r="CH3" s="3432"/>
      <c r="CI3" s="3433"/>
      <c r="CJ3" s="3433"/>
      <c r="CK3" s="3433"/>
      <c r="CL3" s="3433"/>
      <c r="CM3" s="3433"/>
      <c r="CN3" s="3433"/>
      <c r="CO3" s="3434"/>
      <c r="CP3" s="2103"/>
      <c r="CQ3" s="1286" t="s">
        <v>613</v>
      </c>
      <c r="CS3" s="506"/>
      <c r="CT3" s="506" t="str">
        <f>IF(T3="","",T3)</f>
        <v>Территория действия тарифа</v>
      </c>
      <c r="CU3" s="506"/>
      <c r="CV3" s="506"/>
    </row>
    <row customHeight="1" ht="23.25" hidden="1">
      <c r="A4" s="1393"/>
      <c r="B4" s="1393"/>
      <c r="C4" s="1393"/>
      <c r="D4" s="1393"/>
      <c r="E4" s="2108"/>
      <c r="F4" s="2108"/>
      <c r="G4" s="2107">
        <v>1</v>
      </c>
      <c r="H4" s="1393"/>
      <c r="I4" s="1393"/>
      <c r="J4" s="1393"/>
      <c r="K4" s="1393"/>
      <c r="L4" s="1394"/>
      <c r="M4" s="1395"/>
      <c r="N4" s="1395"/>
      <c r="O4" s="1395"/>
      <c r="P4" s="350"/>
      <c r="Q4" s="348"/>
      <c r="R4" s="349"/>
      <c r="S4" s="1366">
        <f>INDEX(PT_DIFFERENTIATION_NUM_CS,MATCH(C4,PT_DIFFERENTIATION_CS_ID,0))</f>
      </c>
      <c r="T4" s="299" t="s">
        <v>614</v>
      </c>
      <c r="U4" s="288"/>
      <c r="V4" s="2101"/>
      <c r="W4" s="2102"/>
      <c r="X4" s="2102"/>
      <c r="Y4" s="2102"/>
      <c r="Z4" s="2102"/>
      <c r="AA4" s="2102"/>
      <c r="AB4" s="2102"/>
      <c r="AC4" s="2103"/>
      <c r="AD4" s="2101">
        <f>INDEX(PT_DIFFERENTIATION_CS,MATCH(C4,PT_DIFFERENTIATION_CS_ID,0))</f>
      </c>
      <c r="AE4" s="2102"/>
      <c r="AF4" s="2102"/>
      <c r="AG4" s="2102"/>
      <c r="AH4" s="2102"/>
      <c r="AI4" s="2102"/>
      <c r="AJ4" s="2102"/>
      <c r="AK4" s="2102"/>
      <c r="AL4" s="3432"/>
      <c r="AM4" s="3433"/>
      <c r="AN4" s="3433"/>
      <c r="AO4" s="3433"/>
      <c r="AP4" s="3433"/>
      <c r="AQ4" s="3433"/>
      <c r="AR4" s="3433"/>
      <c r="AS4" s="3434"/>
      <c r="AT4" s="3432"/>
      <c r="AU4" s="3433"/>
      <c r="AV4" s="3433"/>
      <c r="AW4" s="3433"/>
      <c r="AX4" s="3433"/>
      <c r="AY4" s="3433"/>
      <c r="AZ4" s="3433"/>
      <c r="BA4" s="3434"/>
      <c r="BB4" s="3432"/>
      <c r="BC4" s="3433"/>
      <c r="BD4" s="3433"/>
      <c r="BE4" s="3433"/>
      <c r="BF4" s="3433"/>
      <c r="BG4" s="3433"/>
      <c r="BH4" s="3433"/>
      <c r="BI4" s="3434"/>
      <c r="BJ4" s="3432"/>
      <c r="BK4" s="3433"/>
      <c r="BL4" s="3433"/>
      <c r="BM4" s="3433"/>
      <c r="BN4" s="3433"/>
      <c r="BO4" s="3433"/>
      <c r="BP4" s="3433"/>
      <c r="BQ4" s="3434"/>
      <c r="BR4" s="3432"/>
      <c r="BS4" s="3433"/>
      <c r="BT4" s="3433"/>
      <c r="BU4" s="3433"/>
      <c r="BV4" s="3433"/>
      <c r="BW4" s="3433"/>
      <c r="BX4" s="3433"/>
      <c r="BY4" s="3434"/>
      <c r="BZ4" s="3432"/>
      <c r="CA4" s="3433"/>
      <c r="CB4" s="3433"/>
      <c r="CC4" s="3433"/>
      <c r="CD4" s="3433"/>
      <c r="CE4" s="3433"/>
      <c r="CF4" s="3433"/>
      <c r="CG4" s="3434"/>
      <c r="CH4" s="3432"/>
      <c r="CI4" s="3433"/>
      <c r="CJ4" s="3433"/>
      <c r="CK4" s="3433"/>
      <c r="CL4" s="3433"/>
      <c r="CM4" s="3433"/>
      <c r="CN4" s="3433"/>
      <c r="CO4" s="3434"/>
      <c r="CP4" s="2103"/>
      <c r="CQ4" s="1286" t="s">
        <v>615</v>
      </c>
      <c r="CS4" s="506"/>
      <c r="CT4" s="506" t="str">
        <f>IF(T4="","",T4)</f>
        <v>Наименование системы теплоснабжения </v>
      </c>
      <c r="CU4" s="506"/>
      <c r="CV4" s="506"/>
    </row>
    <row customHeight="1" ht="21" hidden="1">
      <c r="A5" s="1393"/>
      <c r="B5" s="1393"/>
      <c r="C5" s="1393"/>
      <c r="D5" s="1393"/>
      <c r="E5" s="2108"/>
      <c r="F5" s="2108"/>
      <c r="G5" s="2108"/>
      <c r="H5" s="2107">
        <v>1</v>
      </c>
      <c r="I5" s="1393"/>
      <c r="J5" s="1393"/>
      <c r="K5" s="1393"/>
      <c r="L5" s="1394"/>
      <c r="M5" s="1395"/>
      <c r="N5" s="1395"/>
      <c r="O5" s="1395"/>
      <c r="P5" s="350"/>
      <c r="Q5" s="348"/>
      <c r="R5" s="349"/>
      <c r="S5" s="1366">
        <f>INDEX(PT_DIFFERENTIATION_NUM_IST_TE,MATCH(D5,PT_DIFFERENTIATION_IST_TE_ID,0))</f>
      </c>
      <c r="T5" s="300" t="s">
        <v>616</v>
      </c>
      <c r="U5" s="288"/>
      <c r="V5" s="2101"/>
      <c r="W5" s="2102"/>
      <c r="X5" s="2102"/>
      <c r="Y5" s="2102"/>
      <c r="Z5" s="2102"/>
      <c r="AA5" s="2102"/>
      <c r="AB5" s="2102"/>
      <c r="AC5" s="2103"/>
      <c r="AD5" s="2101">
        <f>INDEX(PT_DIFFERENTIATION_IST_TE,MATCH(D5,PT_DIFFERENTIATION_IST_TE_ID,0))</f>
      </c>
      <c r="AE5" s="2102"/>
      <c r="AF5" s="2102"/>
      <c r="AG5" s="2102"/>
      <c r="AH5" s="2102"/>
      <c r="AI5" s="2102"/>
      <c r="AJ5" s="2102"/>
      <c r="AK5" s="2102"/>
      <c r="AL5" s="3432"/>
      <c r="AM5" s="3433"/>
      <c r="AN5" s="3433"/>
      <c r="AO5" s="3433"/>
      <c r="AP5" s="3433"/>
      <c r="AQ5" s="3433"/>
      <c r="AR5" s="3433"/>
      <c r="AS5" s="3434"/>
      <c r="AT5" s="3432"/>
      <c r="AU5" s="3433"/>
      <c r="AV5" s="3433"/>
      <c r="AW5" s="3433"/>
      <c r="AX5" s="3433"/>
      <c r="AY5" s="3433"/>
      <c r="AZ5" s="3433"/>
      <c r="BA5" s="3434"/>
      <c r="BB5" s="3432"/>
      <c r="BC5" s="3433"/>
      <c r="BD5" s="3433"/>
      <c r="BE5" s="3433"/>
      <c r="BF5" s="3433"/>
      <c r="BG5" s="3433"/>
      <c r="BH5" s="3433"/>
      <c r="BI5" s="3434"/>
      <c r="BJ5" s="3432"/>
      <c r="BK5" s="3433"/>
      <c r="BL5" s="3433"/>
      <c r="BM5" s="3433"/>
      <c r="BN5" s="3433"/>
      <c r="BO5" s="3433"/>
      <c r="BP5" s="3433"/>
      <c r="BQ5" s="3434"/>
      <c r="BR5" s="3432"/>
      <c r="BS5" s="3433"/>
      <c r="BT5" s="3433"/>
      <c r="BU5" s="3433"/>
      <c r="BV5" s="3433"/>
      <c r="BW5" s="3433"/>
      <c r="BX5" s="3433"/>
      <c r="BY5" s="3434"/>
      <c r="BZ5" s="3432"/>
      <c r="CA5" s="3433"/>
      <c r="CB5" s="3433"/>
      <c r="CC5" s="3433"/>
      <c r="CD5" s="3433"/>
      <c r="CE5" s="3433"/>
      <c r="CF5" s="3433"/>
      <c r="CG5" s="3434"/>
      <c r="CH5" s="3432"/>
      <c r="CI5" s="3433"/>
      <c r="CJ5" s="3433"/>
      <c r="CK5" s="3433"/>
      <c r="CL5" s="3433"/>
      <c r="CM5" s="3433"/>
      <c r="CN5" s="3433"/>
      <c r="CO5" s="3434"/>
      <c r="CP5" s="2103"/>
      <c r="CQ5" s="1286" t="s">
        <v>617</v>
      </c>
      <c r="CS5" s="506"/>
      <c r="CT5" s="506" t="str">
        <f>IF(T5="","",T5)</f>
        <v>Источник тепловой энергии  </v>
      </c>
      <c r="CU5" s="506"/>
      <c r="CV5" s="506"/>
    </row>
    <row customHeight="1" ht="14.25" hidden="1">
      <c r="A6" s="1393"/>
      <c r="B6" s="1393"/>
      <c r="C6" s="1393"/>
      <c r="D6" s="1393"/>
      <c r="E6" s="2108"/>
      <c r="F6" s="2108"/>
      <c r="G6" s="2108"/>
      <c r="H6" s="2108"/>
      <c r="I6" s="2109">
        <f>S5&amp;".1"</f>
      </c>
      <c r="J6" s="1393"/>
      <c r="K6" s="1393"/>
      <c r="L6" s="1394" t="s">
        <v>618</v>
      </c>
      <c r="M6" s="543"/>
      <c r="P6" s="2111">
        <v>1</v>
      </c>
      <c r="Q6" s="1361"/>
      <c r="R6" s="352"/>
      <c r="S6" s="1049"/>
      <c r="T6" s="1413"/>
      <c r="U6" s="1414"/>
      <c r="V6" s="2147"/>
      <c r="W6" s="2148"/>
      <c r="X6" s="2148"/>
      <c r="Y6" s="2148"/>
      <c r="Z6" s="2148"/>
      <c r="AA6" s="2148"/>
      <c r="AB6" s="2148"/>
      <c r="AC6" s="2149"/>
      <c r="AD6" s="2147"/>
      <c r="AE6" s="2148"/>
      <c r="AF6" s="2148"/>
      <c r="AG6" s="2148"/>
      <c r="AH6" s="2148"/>
      <c r="AI6" s="2148"/>
      <c r="AJ6" s="2148"/>
      <c r="AK6" s="2148"/>
      <c r="AL6" s="3441"/>
      <c r="AM6" s="3442"/>
      <c r="AN6" s="3442"/>
      <c r="AO6" s="3442"/>
      <c r="AP6" s="3442"/>
      <c r="AQ6" s="3442"/>
      <c r="AR6" s="3442"/>
      <c r="AS6" s="3443"/>
      <c r="AT6" s="3441"/>
      <c r="AU6" s="3442"/>
      <c r="AV6" s="3442"/>
      <c r="AW6" s="3442"/>
      <c r="AX6" s="3442"/>
      <c r="AY6" s="3442"/>
      <c r="AZ6" s="3442"/>
      <c r="BA6" s="3443"/>
      <c r="BB6" s="3441"/>
      <c r="BC6" s="3442"/>
      <c r="BD6" s="3442"/>
      <c r="BE6" s="3442"/>
      <c r="BF6" s="3442"/>
      <c r="BG6" s="3442"/>
      <c r="BH6" s="3442"/>
      <c r="BI6" s="3443"/>
      <c r="BJ6" s="3441"/>
      <c r="BK6" s="3442"/>
      <c r="BL6" s="3442"/>
      <c r="BM6" s="3442"/>
      <c r="BN6" s="3442"/>
      <c r="BO6" s="3442"/>
      <c r="BP6" s="3442"/>
      <c r="BQ6" s="3443"/>
      <c r="BR6" s="3441"/>
      <c r="BS6" s="3442"/>
      <c r="BT6" s="3442"/>
      <c r="BU6" s="3442"/>
      <c r="BV6" s="3442"/>
      <c r="BW6" s="3442"/>
      <c r="BX6" s="3442"/>
      <c r="BY6" s="3443"/>
      <c r="BZ6" s="3441"/>
      <c r="CA6" s="3442"/>
      <c r="CB6" s="3442"/>
      <c r="CC6" s="3442"/>
      <c r="CD6" s="3442"/>
      <c r="CE6" s="3442"/>
      <c r="CF6" s="3442"/>
      <c r="CG6" s="3443"/>
      <c r="CH6" s="3441"/>
      <c r="CI6" s="3442"/>
      <c r="CJ6" s="3442"/>
      <c r="CK6" s="3442"/>
      <c r="CL6" s="3442"/>
      <c r="CM6" s="3442"/>
      <c r="CN6" s="3442"/>
      <c r="CO6" s="3443"/>
      <c r="CP6" s="2149"/>
      <c r="CQ6" s="1415"/>
      <c r="CS6" s="506"/>
      <c r="CT6" s="506" t="str">
        <f>IF(T6="","",T6)</f>
        <v/>
      </c>
      <c r="CU6" s="506"/>
      <c r="CV6" s="506"/>
    </row>
    <row customHeight="1" ht="21" hidden="1">
      <c r="A7" s="1393"/>
      <c r="B7" s="1393"/>
      <c r="C7" s="1393"/>
      <c r="D7" s="1393"/>
      <c r="E7" s="2108"/>
      <c r="F7" s="2108"/>
      <c r="G7" s="2108"/>
      <c r="H7" s="2108"/>
      <c r="I7" s="2110"/>
      <c r="J7" s="2109">
        <f>I6&amp;".1"</f>
      </c>
      <c r="K7" s="1393"/>
      <c r="L7" s="1394" t="s">
        <v>621</v>
      </c>
      <c r="M7" s="543"/>
      <c r="N7" s="1396"/>
      <c r="P7" s="2111"/>
      <c r="Q7" s="2111">
        <v>1</v>
      </c>
      <c r="R7" s="353"/>
      <c r="S7" s="1366">
        <f>$J7</f>
      </c>
      <c r="T7" s="274" t="s">
        <v>622</v>
      </c>
      <c r="U7" s="288"/>
      <c r="V7" s="2095"/>
      <c r="W7" s="2096"/>
      <c r="X7" s="2096"/>
      <c r="Y7" s="2096"/>
      <c r="Z7" s="2096"/>
      <c r="AA7" s="2096"/>
      <c r="AB7" s="2096"/>
      <c r="AC7" s="2097"/>
      <c r="AD7" s="2095"/>
      <c r="AE7" s="2096"/>
      <c r="AF7" s="2096"/>
      <c r="AG7" s="2096"/>
      <c r="AH7" s="2096"/>
      <c r="AI7" s="2096"/>
      <c r="AJ7" s="2096"/>
      <c r="AK7" s="2096"/>
      <c r="AL7" s="3445"/>
      <c r="AM7" s="3446"/>
      <c r="AN7" s="3446"/>
      <c r="AO7" s="3446"/>
      <c r="AP7" s="3446"/>
      <c r="AQ7" s="3446"/>
      <c r="AR7" s="3446"/>
      <c r="AS7" s="3447"/>
      <c r="AT7" s="3445"/>
      <c r="AU7" s="3446"/>
      <c r="AV7" s="3446"/>
      <c r="AW7" s="3446"/>
      <c r="AX7" s="3446"/>
      <c r="AY7" s="3446"/>
      <c r="AZ7" s="3446"/>
      <c r="BA7" s="3447"/>
      <c r="BB7" s="3445"/>
      <c r="BC7" s="3446"/>
      <c r="BD7" s="3446"/>
      <c r="BE7" s="3446"/>
      <c r="BF7" s="3446"/>
      <c r="BG7" s="3446"/>
      <c r="BH7" s="3446"/>
      <c r="BI7" s="3447"/>
      <c r="BJ7" s="3445"/>
      <c r="BK7" s="3446"/>
      <c r="BL7" s="3446"/>
      <c r="BM7" s="3446"/>
      <c r="BN7" s="3446"/>
      <c r="BO7" s="3446"/>
      <c r="BP7" s="3446"/>
      <c r="BQ7" s="3447"/>
      <c r="BR7" s="3445"/>
      <c r="BS7" s="3446"/>
      <c r="BT7" s="3446"/>
      <c r="BU7" s="3446"/>
      <c r="BV7" s="3446"/>
      <c r="BW7" s="3446"/>
      <c r="BX7" s="3446"/>
      <c r="BY7" s="3447"/>
      <c r="BZ7" s="3445"/>
      <c r="CA7" s="3446"/>
      <c r="CB7" s="3446"/>
      <c r="CC7" s="3446"/>
      <c r="CD7" s="3446"/>
      <c r="CE7" s="3446"/>
      <c r="CF7" s="3446"/>
      <c r="CG7" s="3447"/>
      <c r="CH7" s="3445"/>
      <c r="CI7" s="3446"/>
      <c r="CJ7" s="3446"/>
      <c r="CK7" s="3446"/>
      <c r="CL7" s="3446"/>
      <c r="CM7" s="3446"/>
      <c r="CN7" s="3446"/>
      <c r="CO7" s="3447"/>
      <c r="CP7" s="2097"/>
      <c r="CQ7" s="1286" t="s">
        <v>623</v>
      </c>
      <c r="CS7" s="506"/>
      <c r="CT7" s="506" t="str">
        <f>IF(T7="","",T7)</f>
        <v>Группа потребителей</v>
      </c>
      <c r="CU7" s="506"/>
      <c r="CV7" s="506"/>
    </row>
    <row customHeight="1" ht="21" hidden="1">
      <c r="A8" s="1393"/>
      <c r="B8" s="1393"/>
      <c r="C8" s="1393"/>
      <c r="D8" s="1393"/>
      <c r="E8" s="2108"/>
      <c r="F8" s="2108"/>
      <c r="G8" s="2108"/>
      <c r="H8" s="2108"/>
      <c r="I8" s="2110"/>
      <c r="J8" s="2110"/>
      <c r="K8" s="2109">
        <f>J7&amp;".1"</f>
      </c>
      <c r="L8" s="1394" t="s">
        <v>624</v>
      </c>
      <c r="M8" s="543"/>
      <c r="N8" s="1396"/>
      <c r="O8" s="1396"/>
      <c r="P8" s="2111"/>
      <c r="Q8" s="2111"/>
      <c r="R8" s="353">
        <v>1</v>
      </c>
      <c r="S8" s="1366">
        <f>$K8</f>
      </c>
      <c r="T8" s="1377"/>
      <c r="U8" s="288"/>
      <c r="V8" s="757"/>
      <c r="W8" s="320"/>
      <c r="X8" s="757"/>
      <c r="Y8" s="1285"/>
      <c r="Z8" s="2112"/>
      <c r="AA8" s="1981" t="s">
        <v>63</v>
      </c>
      <c r="AB8" s="2112"/>
      <c r="AC8" s="1981" t="s">
        <v>63</v>
      </c>
      <c r="AD8" s="757"/>
      <c r="AE8" s="320"/>
      <c r="AF8" s="757"/>
      <c r="AG8" s="1285"/>
      <c r="AH8" s="2112"/>
      <c r="AI8" s="1981" t="s">
        <v>63</v>
      </c>
      <c r="AJ8" s="2112"/>
      <c r="AK8" s="1981" t="s">
        <v>63</v>
      </c>
      <c r="AL8" s="3448"/>
      <c r="AM8" s="3449"/>
      <c r="AN8" s="3448"/>
      <c r="AO8" s="3450"/>
      <c r="AP8" s="3451"/>
      <c r="AQ8" s="2872" t="s">
        <v>63</v>
      </c>
      <c r="AR8" s="3451"/>
      <c r="AS8" s="2872" t="s">
        <v>63</v>
      </c>
      <c r="AT8" s="3448"/>
      <c r="AU8" s="3449"/>
      <c r="AV8" s="3448"/>
      <c r="AW8" s="3450"/>
      <c r="AX8" s="3451"/>
      <c r="AY8" s="2872" t="s">
        <v>63</v>
      </c>
      <c r="AZ8" s="3451"/>
      <c r="BA8" s="2872" t="s">
        <v>63</v>
      </c>
      <c r="BB8" s="3448"/>
      <c r="BC8" s="3449"/>
      <c r="BD8" s="3448"/>
      <c r="BE8" s="3450"/>
      <c r="BF8" s="3451"/>
      <c r="BG8" s="2872" t="s">
        <v>63</v>
      </c>
      <c r="BH8" s="3451"/>
      <c r="BI8" s="2872" t="s">
        <v>63</v>
      </c>
      <c r="BJ8" s="3448"/>
      <c r="BK8" s="3449"/>
      <c r="BL8" s="3448"/>
      <c r="BM8" s="3450"/>
      <c r="BN8" s="3451"/>
      <c r="BO8" s="2872" t="s">
        <v>63</v>
      </c>
      <c r="BP8" s="3451"/>
      <c r="BQ8" s="2872" t="s">
        <v>63</v>
      </c>
      <c r="BR8" s="3448"/>
      <c r="BS8" s="3449"/>
      <c r="BT8" s="3448"/>
      <c r="BU8" s="3450"/>
      <c r="BV8" s="3451"/>
      <c r="BW8" s="2872" t="s">
        <v>63</v>
      </c>
      <c r="BX8" s="3451"/>
      <c r="BY8" s="2872" t="s">
        <v>63</v>
      </c>
      <c r="BZ8" s="3448"/>
      <c r="CA8" s="3449"/>
      <c r="CB8" s="3448"/>
      <c r="CC8" s="3450"/>
      <c r="CD8" s="3451"/>
      <c r="CE8" s="2872" t="s">
        <v>63</v>
      </c>
      <c r="CF8" s="3451"/>
      <c r="CG8" s="2872" t="s">
        <v>63</v>
      </c>
      <c r="CH8" s="3448"/>
      <c r="CI8" s="3449"/>
      <c r="CJ8" s="3448"/>
      <c r="CK8" s="3450"/>
      <c r="CL8" s="3451"/>
      <c r="CM8" s="2872" t="s">
        <v>63</v>
      </c>
      <c r="CN8" s="3451"/>
      <c r="CO8" s="2872" t="s">
        <v>63</v>
      </c>
      <c r="CP8" s="320"/>
      <c r="CQ8" s="2137" t="s">
        <v>625</v>
      </c>
      <c r="CR8" s="517">
        <f>STRCHECKDATE(V9:CP9)</f>
      </c>
      <c r="CS8" s="506"/>
      <c r="CT8" s="506" t="str">
        <f>IF(T8="","",T8)</f>
        <v/>
      </c>
      <c r="CU8" s="506"/>
      <c r="CV8" s="506"/>
    </row>
    <row customHeight="1" ht="0.75" hidden="1">
      <c r="A9" s="1393"/>
      <c r="B9" s="1393"/>
      <c r="C9" s="1393"/>
      <c r="D9" s="1393"/>
      <c r="E9" s="2108"/>
      <c r="F9" s="2108"/>
      <c r="G9" s="2108"/>
      <c r="H9" s="2108"/>
      <c r="I9" s="2110"/>
      <c r="J9" s="2110"/>
      <c r="K9" s="2109"/>
      <c r="L9" s="1394"/>
      <c r="M9" s="543"/>
      <c r="N9" s="1396"/>
      <c r="O9" s="1396"/>
      <c r="P9" s="2111"/>
      <c r="Q9" s="2111"/>
      <c r="R9" s="353"/>
      <c r="S9" s="1372"/>
      <c r="T9" s="288"/>
      <c r="U9" s="288"/>
      <c r="V9" s="320"/>
      <c r="W9" s="320"/>
      <c r="X9" s="320"/>
      <c r="Y9" s="324" t="str">
        <f>Z8&amp;"-"&amp;AB8</f>
        <v>-</v>
      </c>
      <c r="Z9" s="2113"/>
      <c r="AA9" s="1981"/>
      <c r="AB9" s="2113"/>
      <c r="AC9" s="1981"/>
      <c r="AD9" s="320"/>
      <c r="AE9" s="320"/>
      <c r="AF9" s="320"/>
      <c r="AG9" s="324" t="str">
        <f>AH8&amp;"-"&amp;AJ8</f>
        <v>-</v>
      </c>
      <c r="AH9" s="2113"/>
      <c r="AI9" s="1981"/>
      <c r="AJ9" s="2113"/>
      <c r="AK9" s="1981"/>
      <c r="AL9" s="3449"/>
      <c r="AM9" s="3449"/>
      <c r="AN9" s="3449"/>
      <c r="AO9" s="3452" t="str">
        <f>AP8&amp;"-"&amp;AR8</f>
        <v>-</v>
      </c>
      <c r="AP9" s="3453"/>
      <c r="AQ9" s="2872"/>
      <c r="AR9" s="3453"/>
      <c r="AS9" s="2872"/>
      <c r="AT9" s="3449"/>
      <c r="AU9" s="3449"/>
      <c r="AV9" s="3449"/>
      <c r="AW9" s="3452" t="str">
        <f>AX8&amp;"-"&amp;AZ8</f>
        <v>-</v>
      </c>
      <c r="AX9" s="3453"/>
      <c r="AY9" s="2872"/>
      <c r="AZ9" s="3453"/>
      <c r="BA9" s="2872"/>
      <c r="BB9" s="3449"/>
      <c r="BC9" s="3449"/>
      <c r="BD9" s="3449"/>
      <c r="BE9" s="3452" t="str">
        <f>BF8&amp;"-"&amp;BH8</f>
        <v>-</v>
      </c>
      <c r="BF9" s="3453"/>
      <c r="BG9" s="2872"/>
      <c r="BH9" s="3453"/>
      <c r="BI9" s="2872"/>
      <c r="BJ9" s="3449"/>
      <c r="BK9" s="3449"/>
      <c r="BL9" s="3449"/>
      <c r="BM9" s="3452" t="str">
        <f>BN8&amp;"-"&amp;BP8</f>
        <v>-</v>
      </c>
      <c r="BN9" s="3453"/>
      <c r="BO9" s="2872"/>
      <c r="BP9" s="3453"/>
      <c r="BQ9" s="2872"/>
      <c r="BR9" s="3449"/>
      <c r="BS9" s="3449"/>
      <c r="BT9" s="3449"/>
      <c r="BU9" s="3452" t="str">
        <f>BV8&amp;"-"&amp;BX8</f>
        <v>-</v>
      </c>
      <c r="BV9" s="3453"/>
      <c r="BW9" s="2872"/>
      <c r="BX9" s="3453"/>
      <c r="BY9" s="2872"/>
      <c r="BZ9" s="3449"/>
      <c r="CA9" s="3449"/>
      <c r="CB9" s="3449"/>
      <c r="CC9" s="3452" t="str">
        <f>CD8&amp;"-"&amp;CF8</f>
        <v>-</v>
      </c>
      <c r="CD9" s="3453"/>
      <c r="CE9" s="2872"/>
      <c r="CF9" s="3453"/>
      <c r="CG9" s="2872"/>
      <c r="CH9" s="3449"/>
      <c r="CI9" s="3449"/>
      <c r="CJ9" s="3449"/>
      <c r="CK9" s="3452" t="str">
        <f>CL8&amp;"-"&amp;CN8</f>
        <v>-</v>
      </c>
      <c r="CL9" s="3453"/>
      <c r="CM9" s="2872"/>
      <c r="CN9" s="3453"/>
      <c r="CO9" s="2872"/>
      <c r="CP9" s="320"/>
      <c r="CQ9" s="2138"/>
      <c r="CS9" s="506"/>
      <c r="CT9" s="506" t="str">
        <f>IF(T9="","",T9)</f>
        <v/>
      </c>
      <c r="CU9" s="506"/>
      <c r="CV9" s="506"/>
    </row>
    <row customHeight="1" ht="15" hidden="1">
      <c r="A10" s="1393"/>
      <c r="B10" s="1393"/>
      <c r="C10" s="1393"/>
      <c r="D10" s="1393"/>
      <c r="E10" s="2108"/>
      <c r="F10" s="2108"/>
      <c r="G10" s="2108"/>
      <c r="H10" s="2108"/>
      <c r="I10" s="2110"/>
      <c r="J10" s="2109"/>
      <c r="K10" s="1393"/>
      <c r="L10" s="1394"/>
      <c r="M10" s="543"/>
      <c r="N10" s="1396"/>
      <c r="P10" s="2111"/>
      <c r="Q10" s="2111"/>
      <c r="R10" s="352"/>
      <c r="S10" s="1308"/>
      <c r="T10" s="275" t="s">
        <v>626</v>
      </c>
      <c r="U10" s="367"/>
      <c r="V10" s="367"/>
      <c r="W10" s="367"/>
      <c r="X10" s="367"/>
      <c r="Y10" s="367"/>
      <c r="Z10" s="367"/>
      <c r="AA10" s="367"/>
      <c r="AB10" s="367"/>
      <c r="AC10" s="367"/>
      <c r="AD10" s="367"/>
      <c r="AE10" s="367"/>
      <c r="AF10" s="367"/>
      <c r="AG10" s="367"/>
      <c r="AH10" s="367"/>
      <c r="AI10" s="367"/>
      <c r="AJ10" s="367"/>
      <c r="AK10" s="367"/>
      <c r="AL10" s="3454"/>
      <c r="AM10" s="3455"/>
      <c r="AN10" s="3456"/>
      <c r="AO10" s="3457"/>
      <c r="AP10" s="3458"/>
      <c r="AQ10" s="3459"/>
      <c r="AR10" s="3460"/>
      <c r="AS10" s="3461"/>
      <c r="AT10" s="3462"/>
      <c r="AU10" s="3463"/>
      <c r="AV10" s="3464"/>
      <c r="AW10" s="3465"/>
      <c r="AX10" s="3466"/>
      <c r="AY10" s="3467"/>
      <c r="AZ10" s="3468"/>
      <c r="BA10" s="3469"/>
      <c r="BB10" s="3470"/>
      <c r="BC10" s="3471"/>
      <c r="BD10" s="3472"/>
      <c r="BE10" s="3473"/>
      <c r="BF10" s="3474"/>
      <c r="BG10" s="3475"/>
      <c r="BH10" s="3476"/>
      <c r="BI10" s="3477"/>
      <c r="BJ10" s="3478"/>
      <c r="BK10" s="3479"/>
      <c r="BL10" s="3480"/>
      <c r="BM10" s="3481"/>
      <c r="BN10" s="3482"/>
      <c r="BO10" s="3483"/>
      <c r="BP10" s="3484"/>
      <c r="BQ10" s="3485"/>
      <c r="BR10" s="3486"/>
      <c r="BS10" s="3487"/>
      <c r="BT10" s="3488"/>
      <c r="BU10" s="3489"/>
      <c r="BV10" s="3490"/>
      <c r="BW10" s="3491"/>
      <c r="BX10" s="3492"/>
      <c r="BY10" s="3493"/>
      <c r="BZ10" s="3494"/>
      <c r="CA10" s="3495"/>
      <c r="CB10" s="3496"/>
      <c r="CC10" s="3497"/>
      <c r="CD10" s="3498"/>
      <c r="CE10" s="3499"/>
      <c r="CF10" s="3500"/>
      <c r="CG10" s="3501"/>
      <c r="CH10" s="3502"/>
      <c r="CI10" s="3503"/>
      <c r="CJ10" s="3504"/>
      <c r="CK10" s="3505"/>
      <c r="CL10" s="3506"/>
      <c r="CM10" s="3507"/>
      <c r="CN10" s="3508"/>
      <c r="CO10" s="3509"/>
      <c r="CP10" s="319"/>
      <c r="CQ10" s="2139"/>
      <c r="CS10" s="506"/>
      <c r="CT10" s="506" t="str">
        <f>IF(T10="","",T10)</f>
        <v>Добавить вид теплоносителя (параметры теплоносителя)</v>
      </c>
      <c r="CU10" s="506"/>
      <c r="CV10" s="506"/>
    </row>
    <row customHeight="1" ht="15" hidden="1">
      <c r="A11" s="1393"/>
      <c r="B11" s="1393"/>
      <c r="C11" s="1393"/>
      <c r="D11" s="1393"/>
      <c r="E11" s="2108"/>
      <c r="F11" s="2108"/>
      <c r="G11" s="2108"/>
      <c r="H11" s="2108"/>
      <c r="I11" s="2109"/>
      <c r="J11" s="1393"/>
      <c r="K11" s="1393"/>
      <c r="L11" s="1394"/>
      <c r="M11" s="543"/>
      <c r="P11" s="2111"/>
      <c r="Q11" s="1361"/>
      <c r="R11" s="352"/>
      <c r="S11" s="1308"/>
      <c r="T11" s="364" t="s">
        <v>627</v>
      </c>
      <c r="U11" s="367"/>
      <c r="V11" s="367"/>
      <c r="W11" s="367"/>
      <c r="X11" s="367"/>
      <c r="Y11" s="367"/>
      <c r="Z11" s="367"/>
      <c r="AA11" s="367"/>
      <c r="AB11" s="367"/>
      <c r="AC11" s="366"/>
      <c r="AD11" s="367"/>
      <c r="AE11" s="367"/>
      <c r="AF11" s="367"/>
      <c r="AG11" s="367"/>
      <c r="AH11" s="367"/>
      <c r="AI11" s="367"/>
      <c r="AJ11" s="367"/>
      <c r="AK11" s="366"/>
      <c r="AL11" s="3510"/>
      <c r="AM11" s="3511"/>
      <c r="AN11" s="3512"/>
      <c r="AO11" s="3513"/>
      <c r="AP11" s="3514"/>
      <c r="AQ11" s="3515"/>
      <c r="AR11" s="3516"/>
      <c r="AS11" s="3517"/>
      <c r="AT11" s="3518"/>
      <c r="AU11" s="3519"/>
      <c r="AV11" s="3520"/>
      <c r="AW11" s="3521"/>
      <c r="AX11" s="3522"/>
      <c r="AY11" s="3523"/>
      <c r="AZ11" s="3524"/>
      <c r="BA11" s="3525"/>
      <c r="BB11" s="3526"/>
      <c r="BC11" s="3527"/>
      <c r="BD11" s="3528"/>
      <c r="BE11" s="3529"/>
      <c r="BF11" s="3530"/>
      <c r="BG11" s="3531"/>
      <c r="BH11" s="3532"/>
      <c r="BI11" s="3533"/>
      <c r="BJ11" s="3534"/>
      <c r="BK11" s="3535"/>
      <c r="BL11" s="3536"/>
      <c r="BM11" s="3537"/>
      <c r="BN11" s="3538"/>
      <c r="BO11" s="3539"/>
      <c r="BP11" s="3540"/>
      <c r="BQ11" s="3541"/>
      <c r="BR11" s="3542"/>
      <c r="BS11" s="3543"/>
      <c r="BT11" s="3544"/>
      <c r="BU11" s="3545"/>
      <c r="BV11" s="3546"/>
      <c r="BW11" s="3547"/>
      <c r="BX11" s="3548"/>
      <c r="BY11" s="3549"/>
      <c r="BZ11" s="3550"/>
      <c r="CA11" s="3551"/>
      <c r="CB11" s="3552"/>
      <c r="CC11" s="3553"/>
      <c r="CD11" s="3554"/>
      <c r="CE11" s="3555"/>
      <c r="CF11" s="3556"/>
      <c r="CG11" s="3557"/>
      <c r="CH11" s="3558"/>
      <c r="CI11" s="3559"/>
      <c r="CJ11" s="3560"/>
      <c r="CK11" s="3561"/>
      <c r="CL11" s="3562"/>
      <c r="CM11" s="3563"/>
      <c r="CN11" s="3564"/>
      <c r="CO11" s="3565"/>
      <c r="CP11" s="367"/>
      <c r="CQ11" s="291"/>
      <c r="CS11" s="506"/>
      <c r="CT11" s="506" t="str">
        <f>IF(T11="","",T11)</f>
        <v>Добавить группу потребителей</v>
      </c>
      <c r="CU11" s="506"/>
      <c r="CV11" s="506"/>
    </row>
    <row customHeight="1" ht="14.25" hidden="1">
      <c r="A12" s="1393"/>
      <c r="B12" s="1393"/>
      <c r="C12" s="1393"/>
      <c r="D12" s="1393"/>
      <c r="E12" s="2108"/>
      <c r="F12" s="2108"/>
      <c r="G12" s="2108"/>
      <c r="H12" s="2107"/>
      <c r="I12" s="1393"/>
      <c r="J12" s="1393"/>
      <c r="K12" s="1393"/>
      <c r="L12" s="1394"/>
      <c r="M12" s="1395"/>
      <c r="N12" s="1395"/>
      <c r="O12" s="543"/>
      <c r="P12" s="356"/>
      <c r="Q12" s="376"/>
      <c r="R12" s="351"/>
      <c r="S12" s="1416"/>
      <c r="T12" s="1417"/>
      <c r="U12" s="1418"/>
      <c r="V12" s="1418"/>
      <c r="W12" s="1418"/>
      <c r="X12" s="1418"/>
      <c r="Y12" s="1418"/>
      <c r="Z12" s="1418"/>
      <c r="AA12" s="1418"/>
      <c r="AB12" s="1418"/>
      <c r="AC12" s="1418"/>
      <c r="AD12" s="1418"/>
      <c r="AE12" s="1418"/>
      <c r="AF12" s="1418"/>
      <c r="AG12" s="1418"/>
      <c r="AH12" s="1418"/>
      <c r="AI12" s="1418"/>
      <c r="AJ12" s="1418"/>
      <c r="AK12" s="1418"/>
      <c r="AL12" s="3569"/>
      <c r="AM12" s="3569"/>
      <c r="AN12" s="3569"/>
      <c r="AO12" s="3569"/>
      <c r="AP12" s="3569"/>
      <c r="AQ12" s="3569"/>
      <c r="AR12" s="3569"/>
      <c r="AS12" s="3569"/>
      <c r="AT12" s="3569"/>
      <c r="AU12" s="3569"/>
      <c r="AV12" s="3569"/>
      <c r="AW12" s="3569"/>
      <c r="AX12" s="3569"/>
      <c r="AY12" s="3569"/>
      <c r="AZ12" s="3569"/>
      <c r="BA12" s="3569"/>
      <c r="BB12" s="3569"/>
      <c r="BC12" s="3569"/>
      <c r="BD12" s="3569"/>
      <c r="BE12" s="3569"/>
      <c r="BF12" s="3569"/>
      <c r="BG12" s="3569"/>
      <c r="BH12" s="3569"/>
      <c r="BI12" s="3569"/>
      <c r="BJ12" s="3569"/>
      <c r="BK12" s="3569"/>
      <c r="BL12" s="3569"/>
      <c r="BM12" s="3569"/>
      <c r="BN12" s="3569"/>
      <c r="BO12" s="3569"/>
      <c r="BP12" s="3569"/>
      <c r="BQ12" s="3569"/>
      <c r="BR12" s="3569"/>
      <c r="BS12" s="3569"/>
      <c r="BT12" s="3569"/>
      <c r="BU12" s="3569"/>
      <c r="BV12" s="3569"/>
      <c r="BW12" s="3569"/>
      <c r="BX12" s="3569"/>
      <c r="BY12" s="3569"/>
      <c r="BZ12" s="3569"/>
      <c r="CA12" s="3569"/>
      <c r="CB12" s="3569"/>
      <c r="CC12" s="3569"/>
      <c r="CD12" s="3569"/>
      <c r="CE12" s="3569"/>
      <c r="CF12" s="3569"/>
      <c r="CG12" s="3569"/>
      <c r="CH12" s="3569"/>
      <c r="CI12" s="3569"/>
      <c r="CJ12" s="3569"/>
      <c r="CK12" s="3569"/>
      <c r="CL12" s="3569"/>
      <c r="CM12" s="3569"/>
      <c r="CN12" s="3569"/>
      <c r="CO12" s="3569"/>
      <c r="CP12" s="1418"/>
      <c r="CQ12" s="1419"/>
      <c r="CS12" s="506"/>
      <c r="CT12" s="506" t="str">
        <f>IF(T12="","",T12)</f>
        <v/>
      </c>
      <c r="CU12" s="506"/>
      <c r="CV12" s="506"/>
    </row>
    <row s="3314" customFormat="1" customHeight="1" ht="0.75" hidden="1">
      <c r="A13" s="1344"/>
      <c r="B13" s="1344"/>
      <c r="C13" s="1344"/>
      <c r="D13" s="1344"/>
      <c r="E13" s="2108"/>
      <c r="F13" s="2108"/>
      <c r="G13" s="2107"/>
      <c r="H13" s="1344"/>
      <c r="I13" s="1344"/>
      <c r="J13" s="1344"/>
      <c r="K13" s="1344"/>
      <c r="L13" s="1369"/>
      <c r="M13" s="1345"/>
      <c r="N13" s="1345"/>
      <c r="P13" s="1346"/>
      <c r="Q13" s="1347"/>
      <c r="R13" s="1346"/>
      <c r="S13" s="1348"/>
      <c r="T13" s="1349" t="s">
        <v>254</v>
      </c>
      <c r="U13" s="1350"/>
      <c r="V13" s="1350"/>
      <c r="W13" s="1350"/>
      <c r="X13" s="1350"/>
      <c r="Y13" s="1350"/>
      <c r="Z13" s="1350"/>
      <c r="AA13" s="1350"/>
      <c r="AB13" s="1350"/>
      <c r="AC13" s="1350"/>
      <c r="AD13" s="1350"/>
      <c r="AE13" s="1350"/>
      <c r="AF13" s="1350"/>
      <c r="AG13" s="1350"/>
      <c r="AH13" s="1350"/>
      <c r="AI13" s="1350"/>
      <c r="AJ13" s="1350"/>
      <c r="AK13" s="1350"/>
      <c r="AL13" s="3571"/>
      <c r="AM13" s="3571"/>
      <c r="AN13" s="3571"/>
      <c r="AO13" s="3571"/>
      <c r="AP13" s="3571"/>
      <c r="AQ13" s="3571"/>
      <c r="AR13" s="3571"/>
      <c r="AS13" s="3571"/>
      <c r="AT13" s="3571"/>
      <c r="AU13" s="3571"/>
      <c r="AV13" s="3571"/>
      <c r="AW13" s="3571"/>
      <c r="AX13" s="3571"/>
      <c r="AY13" s="3571"/>
      <c r="AZ13" s="3571"/>
      <c r="BA13" s="3571"/>
      <c r="BB13" s="3571"/>
      <c r="BC13" s="3571"/>
      <c r="BD13" s="3571"/>
      <c r="BE13" s="3571"/>
      <c r="BF13" s="3571"/>
      <c r="BG13" s="3571"/>
      <c r="BH13" s="3571"/>
      <c r="BI13" s="3571"/>
      <c r="BJ13" s="3571"/>
      <c r="BK13" s="3571"/>
      <c r="BL13" s="3571"/>
      <c r="BM13" s="3571"/>
      <c r="BN13" s="3571"/>
      <c r="BO13" s="3571"/>
      <c r="BP13" s="3571"/>
      <c r="BQ13" s="3571"/>
      <c r="BR13" s="3571"/>
      <c r="BS13" s="3571"/>
      <c r="BT13" s="3571"/>
      <c r="BU13" s="3571"/>
      <c r="BV13" s="3571"/>
      <c r="BW13" s="3571"/>
      <c r="BX13" s="3571"/>
      <c r="BY13" s="3571"/>
      <c r="BZ13" s="3571"/>
      <c r="CA13" s="3571"/>
      <c r="CB13" s="3571"/>
      <c r="CC13" s="3571"/>
      <c r="CD13" s="3571"/>
      <c r="CE13" s="3571"/>
      <c r="CF13" s="3571"/>
      <c r="CG13" s="3571"/>
      <c r="CH13" s="3571"/>
      <c r="CI13" s="3571"/>
      <c r="CJ13" s="3571"/>
      <c r="CK13" s="3571"/>
      <c r="CL13" s="3571"/>
      <c r="CM13" s="3571"/>
      <c r="CN13" s="3571"/>
      <c r="CO13" s="3571"/>
      <c r="CP13" s="1350"/>
      <c r="CQ13" s="1350"/>
      <c r="CS13" s="795"/>
      <c r="CT13" s="795" t="str">
        <f>IF(T13="","",T13)</f>
        <v>Добавить источник для дифференциации</v>
      </c>
      <c r="CU13" s="795"/>
      <c r="CV13" s="795"/>
    </row>
    <row s="3314" customFormat="1" customHeight="1" ht="0.75" hidden="1">
      <c r="A14" s="1344"/>
      <c r="B14" s="1344"/>
      <c r="C14" s="1344"/>
      <c r="D14" s="1344"/>
      <c r="E14" s="2108"/>
      <c r="F14" s="2107"/>
      <c r="G14" s="1344"/>
      <c r="H14" s="1344"/>
      <c r="I14" s="1344"/>
      <c r="J14" s="1344"/>
      <c r="K14" s="1344"/>
      <c r="L14" s="1369"/>
      <c r="M14" s="1351"/>
      <c r="N14" s="1351"/>
      <c r="P14" s="1346"/>
      <c r="Q14" s="1347"/>
      <c r="R14" s="1346"/>
      <c r="S14" s="1352"/>
      <c r="T14" s="1353" t="s">
        <v>255</v>
      </c>
      <c r="U14" s="1354"/>
      <c r="V14" s="1354"/>
      <c r="W14" s="1354"/>
      <c r="X14" s="1354"/>
      <c r="Y14" s="1354"/>
      <c r="Z14" s="1354"/>
      <c r="AA14" s="1354"/>
      <c r="AB14" s="1354"/>
      <c r="AC14" s="1354"/>
      <c r="AD14" s="1354"/>
      <c r="AE14" s="1354"/>
      <c r="AF14" s="1354"/>
      <c r="AG14" s="1354"/>
      <c r="AH14" s="1354"/>
      <c r="AI14" s="1354"/>
      <c r="AJ14" s="1354"/>
      <c r="AK14" s="1354"/>
      <c r="AL14" s="3572"/>
      <c r="AM14" s="3572"/>
      <c r="AN14" s="3572"/>
      <c r="AO14" s="3572"/>
      <c r="AP14" s="3572"/>
      <c r="AQ14" s="3572"/>
      <c r="AR14" s="3572"/>
      <c r="AS14" s="3572"/>
      <c r="AT14" s="3572"/>
      <c r="AU14" s="3572"/>
      <c r="AV14" s="3572"/>
      <c r="AW14" s="3572"/>
      <c r="AX14" s="3572"/>
      <c r="AY14" s="3572"/>
      <c r="AZ14" s="3572"/>
      <c r="BA14" s="3572"/>
      <c r="BB14" s="3572"/>
      <c r="BC14" s="3572"/>
      <c r="BD14" s="3572"/>
      <c r="BE14" s="3572"/>
      <c r="BF14" s="3572"/>
      <c r="BG14" s="3572"/>
      <c r="BH14" s="3572"/>
      <c r="BI14" s="3572"/>
      <c r="BJ14" s="3572"/>
      <c r="BK14" s="3572"/>
      <c r="BL14" s="3572"/>
      <c r="BM14" s="3572"/>
      <c r="BN14" s="3572"/>
      <c r="BO14" s="3572"/>
      <c r="BP14" s="3572"/>
      <c r="BQ14" s="3572"/>
      <c r="BR14" s="3572"/>
      <c r="BS14" s="3572"/>
      <c r="BT14" s="3572"/>
      <c r="BU14" s="3572"/>
      <c r="BV14" s="3572"/>
      <c r="BW14" s="3572"/>
      <c r="BX14" s="3572"/>
      <c r="BY14" s="3572"/>
      <c r="BZ14" s="3572"/>
      <c r="CA14" s="3572"/>
      <c r="CB14" s="3572"/>
      <c r="CC14" s="3572"/>
      <c r="CD14" s="3572"/>
      <c r="CE14" s="3572"/>
      <c r="CF14" s="3572"/>
      <c r="CG14" s="3572"/>
      <c r="CH14" s="3572"/>
      <c r="CI14" s="3572"/>
      <c r="CJ14" s="3572"/>
      <c r="CK14" s="3572"/>
      <c r="CL14" s="3572"/>
      <c r="CM14" s="3572"/>
      <c r="CN14" s="3572"/>
      <c r="CO14" s="3572"/>
      <c r="CP14" s="1354"/>
      <c r="CQ14" s="1354"/>
      <c r="CS14" s="795"/>
      <c r="CT14" s="795" t="str">
        <f>IF(T14="","",T14)</f>
        <v>Добавить централизованную систему для дифференциации</v>
      </c>
      <c r="CU14" s="795"/>
      <c r="CV14" s="795"/>
    </row>
    <row s="3314" customFormat="1" customHeight="1" ht="0.75" hidden="1">
      <c r="A15" s="1344"/>
      <c r="B15" s="1344"/>
      <c r="C15" s="1344"/>
      <c r="D15" s="1344"/>
      <c r="E15" s="2107"/>
      <c r="F15" s="1344"/>
      <c r="G15" s="1344"/>
      <c r="H15" s="1344"/>
      <c r="I15" s="1344"/>
      <c r="J15" s="1344"/>
      <c r="K15" s="1344"/>
      <c r="L15" s="1369"/>
      <c r="M15" s="1351"/>
      <c r="N15" s="1351"/>
      <c r="P15" s="1346"/>
      <c r="Q15" s="1347"/>
      <c r="R15" s="1346"/>
      <c r="S15" s="1352"/>
      <c r="T15" s="1355" t="s">
        <v>329</v>
      </c>
      <c r="U15" s="1354"/>
      <c r="V15" s="1354"/>
      <c r="W15" s="1354"/>
      <c r="X15" s="1354"/>
      <c r="Y15" s="1354"/>
      <c r="Z15" s="1354"/>
      <c r="AA15" s="1354"/>
      <c r="AB15" s="1354"/>
      <c r="AC15" s="1354"/>
      <c r="AD15" s="1354"/>
      <c r="AE15" s="1354"/>
      <c r="AF15" s="1354"/>
      <c r="AG15" s="1354"/>
      <c r="AH15" s="1354"/>
      <c r="AI15" s="1354"/>
      <c r="AJ15" s="1354"/>
      <c r="AK15" s="1354"/>
      <c r="AL15" s="3572"/>
      <c r="AM15" s="3572"/>
      <c r="AN15" s="3572"/>
      <c r="AO15" s="3572"/>
      <c r="AP15" s="3572"/>
      <c r="AQ15" s="3572"/>
      <c r="AR15" s="3572"/>
      <c r="AS15" s="3572"/>
      <c r="AT15" s="3572"/>
      <c r="AU15" s="3572"/>
      <c r="AV15" s="3572"/>
      <c r="AW15" s="3572"/>
      <c r="AX15" s="3572"/>
      <c r="AY15" s="3572"/>
      <c r="AZ15" s="3572"/>
      <c r="BA15" s="3572"/>
      <c r="BB15" s="3572"/>
      <c r="BC15" s="3572"/>
      <c r="BD15" s="3572"/>
      <c r="BE15" s="3572"/>
      <c r="BF15" s="3572"/>
      <c r="BG15" s="3572"/>
      <c r="BH15" s="3572"/>
      <c r="BI15" s="3572"/>
      <c r="BJ15" s="3572"/>
      <c r="BK15" s="3572"/>
      <c r="BL15" s="3572"/>
      <c r="BM15" s="3572"/>
      <c r="BN15" s="3572"/>
      <c r="BO15" s="3572"/>
      <c r="BP15" s="3572"/>
      <c r="BQ15" s="3572"/>
      <c r="BR15" s="3572"/>
      <c r="BS15" s="3572"/>
      <c r="BT15" s="3572"/>
      <c r="BU15" s="3572"/>
      <c r="BV15" s="3572"/>
      <c r="BW15" s="3572"/>
      <c r="BX15" s="3572"/>
      <c r="BY15" s="3572"/>
      <c r="BZ15" s="3572"/>
      <c r="CA15" s="3572"/>
      <c r="CB15" s="3572"/>
      <c r="CC15" s="3572"/>
      <c r="CD15" s="3572"/>
      <c r="CE15" s="3572"/>
      <c r="CF15" s="3572"/>
      <c r="CG15" s="3572"/>
      <c r="CH15" s="3572"/>
      <c r="CI15" s="3572"/>
      <c r="CJ15" s="3572"/>
      <c r="CK15" s="3572"/>
      <c r="CL15" s="3572"/>
      <c r="CM15" s="3572"/>
      <c r="CN15" s="3572"/>
      <c r="CO15" s="3572"/>
      <c r="CP15" s="1354"/>
      <c r="CQ15" s="1354"/>
      <c r="CS15" s="795"/>
      <c r="CT15" s="795" t="str">
        <f>IF(T15="","",T15)</f>
        <v>Добавить территорию для дифференциации</v>
      </c>
      <c r="CU15" s="795"/>
      <c r="CV15" s="795"/>
    </row>
    <row customHeight="1" ht="14.25" hidden="1">
      <c r="AC16" s="323"/>
      <c r="AK16" s="323"/>
      <c r="AL16" s="3431"/>
      <c r="AM16" s="3431"/>
      <c r="AN16" s="3431"/>
      <c r="AO16" s="3431"/>
      <c r="AP16" s="3431"/>
      <c r="AQ16" s="3431"/>
      <c r="AR16" s="3431"/>
      <c r="AS16" s="3431"/>
      <c r="AT16" s="3431"/>
      <c r="AU16" s="3431"/>
      <c r="AV16" s="3431"/>
      <c r="AW16" s="3431"/>
      <c r="AX16" s="3431"/>
      <c r="AY16" s="3431"/>
      <c r="AZ16" s="3431"/>
      <c r="BA16" s="3431"/>
      <c r="BB16" s="3431"/>
      <c r="BC16" s="3431"/>
      <c r="BD16" s="3431"/>
      <c r="BE16" s="3431"/>
      <c r="BF16" s="3431"/>
      <c r="BG16" s="3431"/>
      <c r="BH16" s="3431"/>
      <c r="BI16" s="3431"/>
      <c r="BJ16" s="3431"/>
      <c r="BK16" s="3431"/>
      <c r="BL16" s="3431"/>
      <c r="BM16" s="3431"/>
      <c r="BN16" s="3431"/>
      <c r="BO16" s="3431"/>
      <c r="BP16" s="3431"/>
      <c r="BQ16" s="3431"/>
      <c r="BR16" s="3431"/>
      <c r="BS16" s="3431"/>
      <c r="BT16" s="3431"/>
      <c r="BU16" s="3431"/>
      <c r="BV16" s="3431"/>
      <c r="BW16" s="3431"/>
      <c r="BX16" s="3431"/>
      <c r="BY16" s="3431"/>
      <c r="BZ16" s="3431"/>
      <c r="CA16" s="3431"/>
      <c r="CB16" s="3431"/>
      <c r="CC16" s="3431"/>
      <c r="CD16" s="3431"/>
      <c r="CE16" s="3431"/>
      <c r="CF16" s="3431"/>
      <c r="CG16" s="3431"/>
      <c r="CH16" s="3431"/>
      <c r="CI16" s="3431"/>
      <c r="CJ16" s="3431"/>
      <c r="CK16" s="3431"/>
      <c r="CL16" s="3431"/>
      <c r="CM16" s="3431"/>
      <c r="CN16" s="3431"/>
      <c r="CO16" s="3431"/>
    </row>
    <row customHeight="1" ht="14.25" hidden="1">
      <c r="AD17" s="1390"/>
      <c r="AE17" s="1390"/>
      <c r="AF17" s="1390"/>
      <c r="AG17" s="1391"/>
      <c r="AH17" s="2105"/>
      <c r="AI17" s="2104" t="s">
        <v>63</v>
      </c>
      <c r="AJ17" s="2105"/>
      <c r="AK17" s="2104" t="s">
        <v>63</v>
      </c>
      <c r="AL17" s="3431"/>
      <c r="AM17" s="3431"/>
      <c r="AN17" s="3431"/>
      <c r="AO17" s="3431"/>
      <c r="AP17" s="3431"/>
      <c r="AQ17" s="3431"/>
      <c r="AR17" s="3431"/>
      <c r="AS17" s="3431"/>
      <c r="AT17" s="3431"/>
      <c r="AU17" s="3431"/>
      <c r="AV17" s="3431"/>
      <c r="AW17" s="3431"/>
      <c r="AX17" s="3431"/>
      <c r="AY17" s="3431"/>
      <c r="AZ17" s="3431"/>
      <c r="BA17" s="3431"/>
      <c r="BB17" s="3431"/>
      <c r="BC17" s="3431"/>
      <c r="BD17" s="3431"/>
      <c r="BE17" s="3431"/>
      <c r="BF17" s="3431"/>
      <c r="BG17" s="3431"/>
      <c r="BH17" s="3431"/>
      <c r="BI17" s="3431"/>
      <c r="BJ17" s="3431"/>
      <c r="BK17" s="3431"/>
      <c r="BL17" s="3431"/>
      <c r="BM17" s="3431"/>
      <c r="BN17" s="3431"/>
      <c r="BO17" s="3431"/>
      <c r="BP17" s="3431"/>
      <c r="BQ17" s="3431"/>
      <c r="BR17" s="3431"/>
      <c r="BS17" s="3431"/>
      <c r="BT17" s="3431"/>
      <c r="BU17" s="3431"/>
      <c r="BV17" s="3431"/>
      <c r="BW17" s="3431"/>
      <c r="BX17" s="3431"/>
      <c r="BY17" s="3431"/>
      <c r="BZ17" s="3431"/>
      <c r="CA17" s="3431"/>
      <c r="CB17" s="3431"/>
      <c r="CC17" s="3431"/>
      <c r="CD17" s="3431"/>
      <c r="CE17" s="3431"/>
      <c r="CF17" s="3431"/>
      <c r="CG17" s="3431"/>
      <c r="CH17" s="3431"/>
      <c r="CI17" s="3431"/>
      <c r="CJ17" s="3431"/>
      <c r="CK17" s="3431"/>
      <c r="CL17" s="3431"/>
      <c r="CM17" s="3431"/>
      <c r="CN17" s="3431"/>
      <c r="CO17" s="3431"/>
    </row>
    <row customHeight="1" ht="14.25" hidden="1">
      <c r="AD18" s="1390"/>
      <c r="AE18" s="1390"/>
      <c r="AF18" s="1390"/>
      <c r="AG18" s="324" t="str">
        <f>AH17&amp;"-"&amp;AJ17</f>
        <v>-</v>
      </c>
      <c r="AH18" s="2104"/>
      <c r="AI18" s="2104"/>
      <c r="AJ18" s="2104"/>
      <c r="AK18" s="2104"/>
      <c r="AL18" s="3431"/>
      <c r="AM18" s="3431"/>
      <c r="AN18" s="3431"/>
      <c r="AO18" s="3431"/>
      <c r="AP18" s="3431"/>
      <c r="AQ18" s="3431"/>
      <c r="AR18" s="3431"/>
      <c r="AS18" s="3431"/>
      <c r="AT18" s="3431"/>
      <c r="AU18" s="3431"/>
      <c r="AV18" s="3431"/>
      <c r="AW18" s="3431"/>
      <c r="AX18" s="3431"/>
      <c r="AY18" s="3431"/>
      <c r="AZ18" s="3431"/>
      <c r="BA18" s="3431"/>
      <c r="BB18" s="3431"/>
      <c r="BC18" s="3431"/>
      <c r="BD18" s="3431"/>
      <c r="BE18" s="3431"/>
      <c r="BF18" s="3431"/>
      <c r="BG18" s="3431"/>
      <c r="BH18" s="3431"/>
      <c r="BI18" s="3431"/>
      <c r="BJ18" s="3431"/>
      <c r="BK18" s="3431"/>
      <c r="BL18" s="3431"/>
      <c r="BM18" s="3431"/>
      <c r="BN18" s="3431"/>
      <c r="BO18" s="3431"/>
      <c r="BP18" s="3431"/>
      <c r="BQ18" s="3431"/>
      <c r="BR18" s="3431"/>
      <c r="BS18" s="3431"/>
      <c r="BT18" s="3431"/>
      <c r="BU18" s="3431"/>
      <c r="BV18" s="3431"/>
      <c r="BW18" s="3431"/>
      <c r="BX18" s="3431"/>
      <c r="BY18" s="3431"/>
      <c r="BZ18" s="3431"/>
      <c r="CA18" s="3431"/>
      <c r="CB18" s="3431"/>
      <c r="CC18" s="3431"/>
      <c r="CD18" s="3431"/>
      <c r="CE18" s="3431"/>
      <c r="CF18" s="3431"/>
      <c r="CG18" s="3431"/>
      <c r="CH18" s="3431"/>
      <c r="CI18" s="3431"/>
      <c r="CJ18" s="3431"/>
      <c r="CK18" s="3431"/>
      <c r="CL18" s="3431"/>
      <c r="CM18" s="3431"/>
      <c r="CN18" s="3431"/>
      <c r="CO18" s="3431"/>
    </row>
    <row customHeight="1" ht="14.25" hidden="1">
      <c r="AK19" s="323"/>
      <c r="AL19" s="3431"/>
      <c r="AM19" s="3431"/>
      <c r="AN19" s="3431"/>
      <c r="AO19" s="3431"/>
      <c r="AP19" s="3431"/>
      <c r="AQ19" s="3431"/>
      <c r="AR19" s="3431"/>
      <c r="AS19" s="3431"/>
      <c r="AT19" s="3431"/>
      <c r="AU19" s="3431"/>
      <c r="AV19" s="3431"/>
      <c r="AW19" s="3431"/>
      <c r="AX19" s="3431"/>
      <c r="AY19" s="3431"/>
      <c r="AZ19" s="3431"/>
      <c r="BA19" s="3431"/>
      <c r="BB19" s="3431"/>
      <c r="BC19" s="3431"/>
      <c r="BD19" s="3431"/>
      <c r="BE19" s="3431"/>
      <c r="BF19" s="3431"/>
      <c r="BG19" s="3431"/>
      <c r="BH19" s="3431"/>
      <c r="BI19" s="3431"/>
      <c r="BJ19" s="3431"/>
      <c r="BK19" s="3431"/>
      <c r="BL19" s="3431"/>
      <c r="BM19" s="3431"/>
      <c r="BN19" s="3431"/>
      <c r="BO19" s="3431"/>
      <c r="BP19" s="3431"/>
      <c r="BQ19" s="3431"/>
      <c r="BR19" s="3431"/>
      <c r="BS19" s="3431"/>
      <c r="BT19" s="3431"/>
      <c r="BU19" s="3431"/>
      <c r="BV19" s="3431"/>
      <c r="BW19" s="3431"/>
      <c r="BX19" s="3431"/>
      <c r="BY19" s="3431"/>
      <c r="BZ19" s="3431"/>
      <c r="CA19" s="3431"/>
      <c r="CB19" s="3431"/>
      <c r="CC19" s="3431"/>
      <c r="CD19" s="3431"/>
      <c r="CE19" s="3431"/>
      <c r="CF19" s="3431"/>
      <c r="CG19" s="3431"/>
      <c r="CH19" s="3431"/>
      <c r="CI19" s="3431"/>
      <c r="CJ19" s="3431"/>
      <c r="CK19" s="3431"/>
      <c r="CL19" s="3431"/>
      <c r="CM19" s="3431"/>
      <c r="CN19" s="3431"/>
      <c r="CO19" s="3431"/>
    </row>
    <row s="2683" customFormat="1" customHeight="1" ht="22.5" hidden="1">
      <c r="L20" s="1359"/>
      <c r="M20" s="1392"/>
      <c r="N20" s="1392"/>
      <c r="O20" s="1397" t="s">
        <v>629</v>
      </c>
      <c r="P20" s="1392"/>
      <c r="Q20" s="1401"/>
      <c r="R20" s="1401"/>
      <c r="S20" s="735"/>
      <c r="Z20" s="1397"/>
      <c r="AB20" s="1397"/>
      <c r="AC20" s="1396"/>
      <c r="AH20" s="1397"/>
      <c r="AJ20" s="1397"/>
      <c r="AK20" s="1396"/>
      <c r="AL20" s="3573"/>
      <c r="AM20" s="3573"/>
      <c r="AN20" s="3573"/>
      <c r="AO20" s="3573"/>
      <c r="AP20" s="3574"/>
      <c r="AQ20" s="3573"/>
      <c r="AR20" s="3574"/>
      <c r="AS20" s="3573"/>
      <c r="AT20" s="3573"/>
      <c r="AU20" s="3573"/>
      <c r="AV20" s="3573"/>
      <c r="AW20" s="3573"/>
      <c r="AX20" s="3574"/>
      <c r="AY20" s="3573"/>
      <c r="AZ20" s="3574"/>
      <c r="BA20" s="3573"/>
      <c r="BB20" s="3573"/>
      <c r="BC20" s="3573"/>
      <c r="BD20" s="3573"/>
      <c r="BE20" s="3573"/>
      <c r="BF20" s="3574"/>
      <c r="BG20" s="3573"/>
      <c r="BH20" s="3574"/>
      <c r="BI20" s="3573"/>
      <c r="BJ20" s="3573"/>
      <c r="BK20" s="3573"/>
      <c r="BL20" s="3573"/>
      <c r="BM20" s="3573"/>
      <c r="BN20" s="3574"/>
      <c r="BO20" s="3573"/>
      <c r="BP20" s="3574"/>
      <c r="BQ20" s="3573"/>
      <c r="BR20" s="3573"/>
      <c r="BS20" s="3573"/>
      <c r="BT20" s="3573"/>
      <c r="BU20" s="3573"/>
      <c r="BV20" s="3574"/>
      <c r="BW20" s="3573"/>
      <c r="BX20" s="3574"/>
      <c r="BY20" s="3573"/>
      <c r="BZ20" s="3573"/>
      <c r="CA20" s="3573"/>
      <c r="CB20" s="3573"/>
      <c r="CC20" s="3573"/>
      <c r="CD20" s="3574"/>
      <c r="CE20" s="3573"/>
      <c r="CF20" s="3574"/>
      <c r="CG20" s="3573"/>
      <c r="CH20" s="3573"/>
      <c r="CI20" s="3573"/>
      <c r="CJ20" s="3573"/>
      <c r="CK20" s="3573"/>
      <c r="CL20" s="3574"/>
      <c r="CM20" s="3573"/>
      <c r="CN20" s="3574"/>
      <c r="CO20" s="3573"/>
      <c r="CR20" s="517"/>
      <c r="CS20" s="517"/>
      <c r="CT20" s="517"/>
      <c r="CU20" s="517"/>
      <c r="CV20" s="517"/>
    </row>
    <row s="2683" customFormat="1" customHeight="1" ht="14.25" hidden="1">
      <c r="L21" s="1359"/>
      <c r="M21" s="1392"/>
      <c r="N21" s="1392"/>
      <c r="O21" s="1392"/>
      <c r="P21" s="1392"/>
      <c r="Q21" s="1401"/>
      <c r="R21" s="1401"/>
      <c r="S21" s="735"/>
      <c r="AC21" s="1396"/>
      <c r="AK21" s="1396"/>
      <c r="AL21" s="3573"/>
      <c r="AM21" s="3573"/>
      <c r="AN21" s="3573"/>
      <c r="AO21" s="3573"/>
      <c r="AP21" s="3573"/>
      <c r="AQ21" s="3573"/>
      <c r="AR21" s="3573"/>
      <c r="AS21" s="3573"/>
      <c r="AT21" s="3573"/>
      <c r="AU21" s="3573"/>
      <c r="AV21" s="3573"/>
      <c r="AW21" s="3573"/>
      <c r="AX21" s="3573"/>
      <c r="AY21" s="3573"/>
      <c r="AZ21" s="3573"/>
      <c r="BA21" s="3573"/>
      <c r="BB21" s="3573"/>
      <c r="BC21" s="3573"/>
      <c r="BD21" s="3573"/>
      <c r="BE21" s="3573"/>
      <c r="BF21" s="3573"/>
      <c r="BG21" s="3573"/>
      <c r="BH21" s="3573"/>
      <c r="BI21" s="3573"/>
      <c r="BJ21" s="3573"/>
      <c r="BK21" s="3573"/>
      <c r="BL21" s="3573"/>
      <c r="BM21" s="3573"/>
      <c r="BN21" s="3573"/>
      <c r="BO21" s="3573"/>
      <c r="BP21" s="3573"/>
      <c r="BQ21" s="3573"/>
      <c r="BR21" s="3573"/>
      <c r="BS21" s="3573"/>
      <c r="BT21" s="3573"/>
      <c r="BU21" s="3573"/>
      <c r="BV21" s="3573"/>
      <c r="BW21" s="3573"/>
      <c r="BX21" s="3573"/>
      <c r="BY21" s="3573"/>
      <c r="BZ21" s="3573"/>
      <c r="CA21" s="3573"/>
      <c r="CB21" s="3573"/>
      <c r="CC21" s="3573"/>
      <c r="CD21" s="3573"/>
      <c r="CE21" s="3573"/>
      <c r="CF21" s="3573"/>
      <c r="CG21" s="3573"/>
      <c r="CH21" s="3573"/>
      <c r="CI21" s="3573"/>
      <c r="CJ21" s="3573"/>
      <c r="CK21" s="3573"/>
      <c r="CL21" s="3573"/>
      <c r="CM21" s="3573"/>
      <c r="CN21" s="3573"/>
      <c r="CO21" s="3573"/>
      <c r="CR21" s="517"/>
      <c r="CS21" s="517"/>
      <c r="CT21" s="517"/>
      <c r="CU21" s="517"/>
      <c r="CV21" s="517"/>
    </row>
    <row s="2683" customFormat="1" customHeight="1" ht="14.25" hidden="1">
      <c r="L22" s="1359"/>
      <c r="M22" s="1392"/>
      <c r="N22" s="1392"/>
      <c r="O22" s="1394" t="s">
        <v>630</v>
      </c>
      <c r="P22" s="1392"/>
      <c r="Q22" s="1401"/>
      <c r="R22" s="1401"/>
      <c r="S22" s="735"/>
      <c r="T22" s="1168" t="s">
        <v>631</v>
      </c>
      <c r="AA22" s="172" t="s">
        <v>632</v>
      </c>
      <c r="AC22" s="172" t="s">
        <v>633</v>
      </c>
      <c r="AD22" s="1168" t="s">
        <v>631</v>
      </c>
      <c r="AI22" s="172" t="s">
        <v>634</v>
      </c>
      <c r="AK22" s="172" t="s">
        <v>633</v>
      </c>
      <c r="AL22" s="3573"/>
      <c r="AM22" s="3573"/>
      <c r="AN22" s="3573"/>
      <c r="AO22" s="3573"/>
      <c r="AP22" s="3573"/>
      <c r="AQ22" s="3575" t="s">
        <v>632</v>
      </c>
      <c r="AR22" s="3573"/>
      <c r="AS22" s="3575" t="s">
        <v>633</v>
      </c>
      <c r="AT22" s="3573"/>
      <c r="AU22" s="3573"/>
      <c r="AV22" s="3573"/>
      <c r="AW22" s="3573"/>
      <c r="AX22" s="3573"/>
      <c r="AY22" s="3575" t="s">
        <v>632</v>
      </c>
      <c r="AZ22" s="3573"/>
      <c r="BA22" s="3575" t="s">
        <v>633</v>
      </c>
      <c r="BB22" s="3573"/>
      <c r="BC22" s="3573"/>
      <c r="BD22" s="3573"/>
      <c r="BE22" s="3573"/>
      <c r="BF22" s="3573"/>
      <c r="BG22" s="3575" t="s">
        <v>632</v>
      </c>
      <c r="BH22" s="3573"/>
      <c r="BI22" s="3575" t="s">
        <v>633</v>
      </c>
      <c r="BJ22" s="3573"/>
      <c r="BK22" s="3573"/>
      <c r="BL22" s="3573"/>
      <c r="BM22" s="3573"/>
      <c r="BN22" s="3573"/>
      <c r="BO22" s="3575" t="s">
        <v>632</v>
      </c>
      <c r="BP22" s="3573"/>
      <c r="BQ22" s="3575" t="s">
        <v>633</v>
      </c>
      <c r="BR22" s="3573"/>
      <c r="BS22" s="3573"/>
      <c r="BT22" s="3573"/>
      <c r="BU22" s="3573"/>
      <c r="BV22" s="3573"/>
      <c r="BW22" s="3575" t="s">
        <v>632</v>
      </c>
      <c r="BX22" s="3573"/>
      <c r="BY22" s="3575" t="s">
        <v>633</v>
      </c>
      <c r="BZ22" s="3573"/>
      <c r="CA22" s="3573"/>
      <c r="CB22" s="3573"/>
      <c r="CC22" s="3573"/>
      <c r="CD22" s="3573"/>
      <c r="CE22" s="3575" t="s">
        <v>632</v>
      </c>
      <c r="CF22" s="3573"/>
      <c r="CG22" s="3575" t="s">
        <v>633</v>
      </c>
      <c r="CH22" s="3573"/>
      <c r="CI22" s="3573"/>
      <c r="CJ22" s="3573"/>
      <c r="CK22" s="3573"/>
      <c r="CL22" s="3573"/>
      <c r="CM22" s="3575" t="s">
        <v>632</v>
      </c>
      <c r="CN22" s="3573"/>
      <c r="CO22" s="3575" t="s">
        <v>633</v>
      </c>
      <c r="CR22" s="517"/>
      <c r="CS22" s="517"/>
      <c r="CT22" s="517"/>
      <c r="CU22" s="517"/>
      <c r="CV22" s="517"/>
    </row>
    <row customHeight="1" ht="14.25" hidden="1">
      <c r="O23" s="1394"/>
      <c r="AL23" s="3431"/>
      <c r="AM23" s="3431"/>
      <c r="AN23" s="3431"/>
      <c r="AO23" s="3431"/>
      <c r="AP23" s="3431"/>
      <c r="AQ23" s="3431"/>
      <c r="AR23" s="3431"/>
      <c r="AS23" s="3431"/>
      <c r="AT23" s="3431"/>
      <c r="AU23" s="3431"/>
      <c r="AV23" s="3431"/>
      <c r="AW23" s="3431"/>
      <c r="AX23" s="3431"/>
      <c r="AY23" s="3431"/>
      <c r="AZ23" s="3431"/>
      <c r="BA23" s="3431"/>
      <c r="BB23" s="3431"/>
      <c r="BC23" s="3431"/>
      <c r="BD23" s="3431"/>
      <c r="BE23" s="3431"/>
      <c r="BF23" s="3431"/>
      <c r="BG23" s="3431"/>
      <c r="BH23" s="3431"/>
      <c r="BI23" s="3431"/>
      <c r="BJ23" s="3431"/>
      <c r="BK23" s="3431"/>
      <c r="BL23" s="3431"/>
      <c r="BM23" s="3431"/>
      <c r="BN23" s="3431"/>
      <c r="BO23" s="3431"/>
      <c r="BP23" s="3431"/>
      <c r="BQ23" s="3431"/>
      <c r="BR23" s="3431"/>
      <c r="BS23" s="3431"/>
      <c r="BT23" s="3431"/>
      <c r="BU23" s="3431"/>
      <c r="BV23" s="3431"/>
      <c r="BW23" s="3431"/>
      <c r="BX23" s="3431"/>
      <c r="BY23" s="3431"/>
      <c r="BZ23" s="3431"/>
      <c r="CA23" s="3431"/>
      <c r="CB23" s="3431"/>
      <c r="CC23" s="3431"/>
      <c r="CD23" s="3431"/>
      <c r="CE23" s="3431"/>
      <c r="CF23" s="3431"/>
      <c r="CG23" s="3431"/>
      <c r="CH23" s="3431"/>
      <c r="CI23" s="3431"/>
      <c r="CJ23" s="3431"/>
      <c r="CK23" s="3431"/>
      <c r="CL23" s="3431"/>
      <c r="CM23" s="3431"/>
      <c r="CN23" s="3431"/>
      <c r="CO23" s="3431"/>
    </row>
    <row customHeight="1" ht="14.25" hidden="1">
      <c r="O24" s="1394"/>
      <c r="AL24" s="3431"/>
      <c r="AM24" s="3431"/>
      <c r="AN24" s="3431"/>
      <c r="AO24" s="3431"/>
      <c r="AP24" s="3431"/>
      <c r="AQ24" s="3431"/>
      <c r="AR24" s="3431"/>
      <c r="AS24" s="3431"/>
      <c r="AT24" s="3431"/>
      <c r="AU24" s="3431"/>
      <c r="AV24" s="3431"/>
      <c r="AW24" s="3431"/>
      <c r="AX24" s="3431"/>
      <c r="AY24" s="3431"/>
      <c r="AZ24" s="3431"/>
      <c r="BA24" s="3431"/>
      <c r="BB24" s="3431"/>
      <c r="BC24" s="3431"/>
      <c r="BD24" s="3431"/>
      <c r="BE24" s="3431"/>
      <c r="BF24" s="3431"/>
      <c r="BG24" s="3431"/>
      <c r="BH24" s="3431"/>
      <c r="BI24" s="3431"/>
      <c r="BJ24" s="3431"/>
      <c r="BK24" s="3431"/>
      <c r="BL24" s="3431"/>
      <c r="BM24" s="3431"/>
      <c r="BN24" s="3431"/>
      <c r="BO24" s="3431"/>
      <c r="BP24" s="3431"/>
      <c r="BQ24" s="3431"/>
      <c r="BR24" s="3431"/>
      <c r="BS24" s="3431"/>
      <c r="BT24" s="3431"/>
      <c r="BU24" s="3431"/>
      <c r="BV24" s="3431"/>
      <c r="BW24" s="3431"/>
      <c r="BX24" s="3431"/>
      <c r="BY24" s="3431"/>
      <c r="BZ24" s="3431"/>
      <c r="CA24" s="3431"/>
      <c r="CB24" s="3431"/>
      <c r="CC24" s="3431"/>
      <c r="CD24" s="3431"/>
      <c r="CE24" s="3431"/>
      <c r="CF24" s="3431"/>
      <c r="CG24" s="3431"/>
      <c r="CH24" s="3431"/>
      <c r="CI24" s="3431"/>
      <c r="CJ24" s="3431"/>
      <c r="CK24" s="3431"/>
      <c r="CL24" s="3431"/>
      <c r="CM24" s="3431"/>
      <c r="CN24" s="3431"/>
      <c r="CO24" s="3431"/>
    </row>
    <row customHeight="1" ht="14.25">
      <c r="Q25" s="377"/>
      <c r="R25" s="377"/>
      <c r="S25" s="1305"/>
      <c r="T25" s="361"/>
      <c r="U25" s="361"/>
      <c r="V25" s="515"/>
      <c r="W25" s="515"/>
      <c r="X25" s="515"/>
      <c r="Y25" s="515"/>
      <c r="Z25" s="515"/>
      <c r="AA25" s="515"/>
      <c r="AB25" s="515"/>
      <c r="AC25" s="515"/>
      <c r="AD25" s="515"/>
      <c r="AE25" s="515"/>
      <c r="AF25" s="515"/>
      <c r="AG25" s="515"/>
      <c r="AH25" s="515"/>
      <c r="AI25" s="515"/>
      <c r="AJ25" s="515"/>
      <c r="AK25" s="515"/>
      <c r="AL25" s="3431"/>
      <c r="AM25" s="3431"/>
      <c r="AN25" s="3431"/>
      <c r="AO25" s="3431"/>
      <c r="AP25" s="3431"/>
      <c r="AQ25" s="3431"/>
      <c r="AR25" s="3431"/>
      <c r="AS25" s="3431"/>
      <c r="AT25" s="3431"/>
      <c r="AU25" s="3431"/>
      <c r="AV25" s="3431"/>
      <c r="AW25" s="3431"/>
      <c r="AX25" s="3431"/>
      <c r="AY25" s="3431"/>
      <c r="AZ25" s="3431"/>
      <c r="BA25" s="3431"/>
      <c r="BB25" s="3431"/>
      <c r="BC25" s="3431"/>
      <c r="BD25" s="3431"/>
      <c r="BE25" s="3431"/>
      <c r="BF25" s="3431"/>
      <c r="BG25" s="3431"/>
      <c r="BH25" s="3431"/>
      <c r="BI25" s="3431"/>
      <c r="BJ25" s="3431"/>
      <c r="BK25" s="3431"/>
      <c r="BL25" s="3431"/>
      <c r="BM25" s="3431"/>
      <c r="BN25" s="3431"/>
      <c r="BO25" s="3431"/>
      <c r="BP25" s="3431"/>
      <c r="BQ25" s="3431"/>
      <c r="BR25" s="3431"/>
      <c r="BS25" s="3431"/>
      <c r="BT25" s="3431"/>
      <c r="BU25" s="3431"/>
      <c r="BV25" s="3431"/>
      <c r="BW25" s="3431"/>
      <c r="BX25" s="3431"/>
      <c r="BY25" s="3431"/>
      <c r="BZ25" s="3431"/>
      <c r="CA25" s="3431"/>
      <c r="CB25" s="3431"/>
      <c r="CC25" s="3431"/>
      <c r="CD25" s="3431"/>
      <c r="CE25" s="3431"/>
      <c r="CF25" s="3431"/>
      <c r="CG25" s="3431"/>
      <c r="CH25" s="3431"/>
      <c r="CI25" s="3431"/>
      <c r="CJ25" s="3431"/>
      <c r="CK25" s="3431"/>
      <c r="CL25" s="3431"/>
      <c r="CM25" s="3431"/>
      <c r="CN25" s="3431"/>
      <c r="CO25" s="3431"/>
    </row>
    <row customHeight="1" ht="51">
      <c r="Q26" s="377"/>
      <c r="R26" s="377"/>
      <c r="S26" s="214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0"/>
      <c r="U26" s="2140"/>
      <c r="V26" s="2140"/>
      <c r="W26" s="2140"/>
      <c r="X26" s="2140"/>
      <c r="Y26" s="2140"/>
      <c r="Z26" s="2140"/>
      <c r="AA26" s="2140"/>
      <c r="AB26" s="2140"/>
      <c r="AC26" s="2140"/>
      <c r="AD26" s="2140"/>
      <c r="AE26" s="2140"/>
      <c r="AF26" s="2140"/>
      <c r="AG26" s="2140"/>
      <c r="AH26" s="2140"/>
      <c r="AI26" s="2140"/>
      <c r="AJ26" s="2140"/>
      <c r="AK26" s="1261"/>
      <c r="AL26" s="3576"/>
      <c r="AM26" s="3576"/>
      <c r="AN26" s="3576"/>
      <c r="AO26" s="3576"/>
      <c r="AP26" s="3576"/>
      <c r="AQ26" s="3576"/>
      <c r="AR26" s="3576"/>
      <c r="AS26" s="3576"/>
      <c r="AT26" s="3576"/>
      <c r="AU26" s="3576"/>
      <c r="AV26" s="3576"/>
      <c r="AW26" s="3576"/>
      <c r="AX26" s="3576"/>
      <c r="AY26" s="3576"/>
      <c r="AZ26" s="3576"/>
      <c r="BA26" s="3576"/>
      <c r="BB26" s="3576"/>
      <c r="BC26" s="3576"/>
      <c r="BD26" s="3576"/>
      <c r="BE26" s="3576"/>
      <c r="BF26" s="3576"/>
      <c r="BG26" s="3576"/>
      <c r="BH26" s="3576"/>
      <c r="BI26" s="3576"/>
      <c r="BJ26" s="3576"/>
      <c r="BK26" s="3576"/>
      <c r="BL26" s="3576"/>
      <c r="BM26" s="3576"/>
      <c r="BN26" s="3576"/>
      <c r="BO26" s="3576"/>
      <c r="BP26" s="3576"/>
      <c r="BQ26" s="3576"/>
      <c r="BR26" s="3576"/>
      <c r="BS26" s="3576"/>
      <c r="BT26" s="3576"/>
      <c r="BU26" s="3576"/>
      <c r="BV26" s="3576"/>
      <c r="BW26" s="3576"/>
      <c r="BX26" s="3576"/>
      <c r="BY26" s="3576"/>
      <c r="BZ26" s="3576"/>
      <c r="CA26" s="3576"/>
      <c r="CB26" s="3576"/>
      <c r="CC26" s="3576"/>
      <c r="CD26" s="3576"/>
      <c r="CE26" s="3576"/>
      <c r="CF26" s="3576"/>
      <c r="CG26" s="3576"/>
      <c r="CH26" s="3576"/>
      <c r="CI26" s="3576"/>
      <c r="CJ26" s="3576"/>
      <c r="CK26" s="3576"/>
      <c r="CL26" s="3576"/>
      <c r="CM26" s="3576"/>
      <c r="CN26" s="3576"/>
      <c r="CO26" s="3576"/>
    </row>
    <row customHeight="1" ht="14.25">
      <c r="Q27" s="377"/>
      <c r="R27" s="377"/>
      <c r="S27" s="2141" t="str">
        <f>IF(org=0,"Не определено",org)</f>
        <v>АО "Мурманэнергосбыт"</v>
      </c>
      <c r="T27" s="2141"/>
      <c r="U27" s="2141"/>
      <c r="V27" s="2141"/>
      <c r="W27" s="2141"/>
      <c r="X27" s="2141"/>
      <c r="Y27" s="2141"/>
      <c r="Z27" s="2141"/>
      <c r="AA27" s="2141"/>
      <c r="AB27" s="2141"/>
      <c r="AC27" s="2141"/>
      <c r="AD27" s="2141"/>
      <c r="AE27" s="2141"/>
      <c r="AF27" s="2141"/>
      <c r="AG27" s="2141"/>
      <c r="AH27" s="2141"/>
      <c r="AI27" s="2141"/>
      <c r="AJ27" s="2141"/>
      <c r="AK27" s="1261"/>
      <c r="AL27" s="3577"/>
      <c r="AM27" s="3577"/>
      <c r="AN27" s="3577"/>
      <c r="AO27" s="3577"/>
      <c r="AP27" s="3577"/>
      <c r="AQ27" s="3577"/>
      <c r="AR27" s="3577"/>
      <c r="AS27" s="3577"/>
      <c r="AT27" s="3577"/>
      <c r="AU27" s="3577"/>
      <c r="AV27" s="3577"/>
      <c r="AW27" s="3577"/>
      <c r="AX27" s="3577"/>
      <c r="AY27" s="3577"/>
      <c r="AZ27" s="3577"/>
      <c r="BA27" s="3577"/>
      <c r="BB27" s="3577"/>
      <c r="BC27" s="3577"/>
      <c r="BD27" s="3577"/>
      <c r="BE27" s="3577"/>
      <c r="BF27" s="3577"/>
      <c r="BG27" s="3577"/>
      <c r="BH27" s="3577"/>
      <c r="BI27" s="3577"/>
      <c r="BJ27" s="3577"/>
      <c r="BK27" s="3577"/>
      <c r="BL27" s="3577"/>
      <c r="BM27" s="3577"/>
      <c r="BN27" s="3577"/>
      <c r="BO27" s="3577"/>
      <c r="BP27" s="3577"/>
      <c r="BQ27" s="3577"/>
      <c r="BR27" s="3577"/>
      <c r="BS27" s="3577"/>
      <c r="BT27" s="3577"/>
      <c r="BU27" s="3577"/>
      <c r="BV27" s="3577"/>
      <c r="BW27" s="3577"/>
      <c r="BX27" s="3577"/>
      <c r="BY27" s="3577"/>
      <c r="BZ27" s="3577"/>
      <c r="CA27" s="3577"/>
      <c r="CB27" s="3577"/>
      <c r="CC27" s="3577"/>
      <c r="CD27" s="3577"/>
      <c r="CE27" s="3577"/>
      <c r="CF27" s="3577"/>
      <c r="CG27" s="3577"/>
      <c r="CH27" s="3577"/>
      <c r="CI27" s="3577"/>
      <c r="CJ27" s="3577"/>
      <c r="CK27" s="3577"/>
      <c r="CL27" s="3577"/>
      <c r="CM27" s="3577"/>
      <c r="CN27" s="3577"/>
      <c r="CO27" s="3577"/>
    </row>
    <row customHeight="1" ht="14.25">
      <c r="Q28" s="377"/>
      <c r="R28" s="377"/>
      <c r="S28" s="1305"/>
      <c r="T28" s="361"/>
      <c r="U28" s="361"/>
      <c r="V28" s="316"/>
      <c r="W28" s="316"/>
      <c r="X28" s="316"/>
      <c r="Y28" s="316"/>
      <c r="Z28" s="316"/>
      <c r="AA28" s="316"/>
      <c r="AB28" s="316"/>
      <c r="AC28" s="316"/>
      <c r="AD28" s="316"/>
      <c r="AE28" s="316"/>
      <c r="AF28" s="316"/>
      <c r="AG28" s="316"/>
      <c r="AH28" s="316"/>
      <c r="AI28" s="316"/>
      <c r="AJ28" s="316"/>
      <c r="AK28" s="316"/>
      <c r="AL28" s="3578"/>
      <c r="AM28" s="3578"/>
      <c r="AN28" s="3578"/>
      <c r="AO28" s="3578"/>
      <c r="AP28" s="3578"/>
      <c r="AQ28" s="3578"/>
      <c r="AR28" s="3578"/>
      <c r="AS28" s="3578"/>
      <c r="AT28" s="3578"/>
      <c r="AU28" s="3578"/>
      <c r="AV28" s="3578"/>
      <c r="AW28" s="3578"/>
      <c r="AX28" s="3578"/>
      <c r="AY28" s="3578"/>
      <c r="AZ28" s="3578"/>
      <c r="BA28" s="3578"/>
      <c r="BB28" s="3578"/>
      <c r="BC28" s="3578"/>
      <c r="BD28" s="3578"/>
      <c r="BE28" s="3578"/>
      <c r="BF28" s="3578"/>
      <c r="BG28" s="3578"/>
      <c r="BH28" s="3578"/>
      <c r="BI28" s="3578"/>
      <c r="BJ28" s="3578"/>
      <c r="BK28" s="3578"/>
      <c r="BL28" s="3578"/>
      <c r="BM28" s="3578"/>
      <c r="BN28" s="3578"/>
      <c r="BO28" s="3578"/>
      <c r="BP28" s="3578"/>
      <c r="BQ28" s="3578"/>
      <c r="BR28" s="3578"/>
      <c r="BS28" s="3578"/>
      <c r="BT28" s="3578"/>
      <c r="BU28" s="3578"/>
      <c r="BV28" s="3578"/>
      <c r="BW28" s="3578"/>
      <c r="BX28" s="3578"/>
      <c r="BY28" s="3578"/>
      <c r="BZ28" s="3578"/>
      <c r="CA28" s="3578"/>
      <c r="CB28" s="3578"/>
      <c r="CC28" s="3578"/>
      <c r="CD28" s="3578"/>
      <c r="CE28" s="3578"/>
      <c r="CF28" s="3578"/>
      <c r="CG28" s="3578"/>
      <c r="CH28" s="3578"/>
      <c r="CI28" s="3578"/>
      <c r="CJ28" s="3578"/>
      <c r="CK28" s="3578"/>
      <c r="CL28" s="3578"/>
      <c r="CM28" s="3578"/>
      <c r="CN28" s="3578"/>
      <c r="CO28" s="3578"/>
      <c r="CP28" s="515"/>
    </row>
    <row s="3345" customFormat="1" customHeight="1" ht="25.5">
      <c r="A29" s="1398"/>
      <c r="B29" s="1398"/>
      <c r="C29" s="1398"/>
      <c r="D29" s="1398"/>
      <c r="E29" s="1398"/>
      <c r="F29" s="1398"/>
      <c r="G29" s="1398"/>
      <c r="H29" s="1398"/>
      <c r="I29" s="1398"/>
      <c r="J29" s="1398"/>
      <c r="K29" s="1398"/>
      <c r="L29" s="1399"/>
      <c r="M29" s="1398"/>
      <c r="N29" s="1398"/>
      <c r="O29" s="1398"/>
      <c r="S29" s="2098" t="s">
        <v>38</v>
      </c>
      <c r="T29" s="2098"/>
      <c r="U29" s="1402"/>
      <c r="V29" s="2100" t="str">
        <f>IF(TITLE_NAME_OR_PR_CHANGE="",IF(TITLE_NAME_OR_PR="","",TITLE_NAME_OR_PR),TITLE_NAME_OR_PR_CHANGE)</f>
        <v>Комитет по тарифному регулированию Мурманской области</v>
      </c>
      <c r="W29" s="2100"/>
      <c r="X29" s="2100"/>
      <c r="Y29" s="2100"/>
      <c r="Z29" s="2100"/>
      <c r="AA29" s="2100"/>
      <c r="AB29" s="2100"/>
      <c r="AC29" s="322"/>
      <c r="AD29" s="2100" t="str">
        <f>IF(TITLE_NAME_OR_PR_CHANGE="",IF(TITLE_NAME_OR_PR="","",TITLE_NAME_OR_PR),TITLE_NAME_OR_PR_CHANGE)</f>
        <v>Комитет по тарифному регулированию Мурманской области</v>
      </c>
      <c r="AE29" s="2100"/>
      <c r="AF29" s="2100"/>
      <c r="AG29" s="2100"/>
      <c r="AH29" s="2100"/>
      <c r="AI29" s="2100"/>
      <c r="AJ29" s="2100"/>
      <c r="AK29" s="322"/>
      <c r="AL29" s="3579" t="str">
        <f>IF(TITLE_NAME_OR_PR_CHANGE="",IF(TITLE_NAME_OR_PR="","",TITLE_NAME_OR_PR),TITLE_NAME_OR_PR_CHANGE)</f>
        <v>Комитет по тарифному регулированию Мурманской области</v>
      </c>
      <c r="AM29" s="3579"/>
      <c r="AN29" s="3579"/>
      <c r="AO29" s="3579"/>
      <c r="AP29" s="3579"/>
      <c r="AQ29" s="3579"/>
      <c r="AR29" s="3579"/>
      <c r="AS29" s="3431"/>
      <c r="AT29" s="3579" t="str">
        <f>IF(TITLE_NAME_OR_PR_CHANGE="",IF(TITLE_NAME_OR_PR="","",TITLE_NAME_OR_PR),TITLE_NAME_OR_PR_CHANGE)</f>
        <v>Комитет по тарифному регулированию Мурманской области</v>
      </c>
      <c r="AU29" s="3579"/>
      <c r="AV29" s="3579"/>
      <c r="AW29" s="3579"/>
      <c r="AX29" s="3579"/>
      <c r="AY29" s="3579"/>
      <c r="AZ29" s="3579"/>
      <c r="BA29" s="3431"/>
      <c r="BB29" s="3579" t="str">
        <f>IF(TITLE_NAME_OR_PR_CHANGE="",IF(TITLE_NAME_OR_PR="","",TITLE_NAME_OR_PR),TITLE_NAME_OR_PR_CHANGE)</f>
        <v>Комитет по тарифному регулированию Мурманской области</v>
      </c>
      <c r="BC29" s="3579"/>
      <c r="BD29" s="3579"/>
      <c r="BE29" s="3579"/>
      <c r="BF29" s="3579"/>
      <c r="BG29" s="3579"/>
      <c r="BH29" s="3579"/>
      <c r="BI29" s="3431"/>
      <c r="BJ29" s="3579" t="str">
        <f>IF(TITLE_NAME_OR_PR_CHANGE="",IF(TITLE_NAME_OR_PR="","",TITLE_NAME_OR_PR),TITLE_NAME_OR_PR_CHANGE)</f>
        <v>Комитет по тарифному регулированию Мурманской области</v>
      </c>
      <c r="BK29" s="3579"/>
      <c r="BL29" s="3579"/>
      <c r="BM29" s="3579"/>
      <c r="BN29" s="3579"/>
      <c r="BO29" s="3579"/>
      <c r="BP29" s="3579"/>
      <c r="BQ29" s="3431"/>
      <c r="BR29" s="3579" t="str">
        <f>IF(TITLE_NAME_OR_PR_CHANGE="",IF(TITLE_NAME_OR_PR="","",TITLE_NAME_OR_PR),TITLE_NAME_OR_PR_CHANGE)</f>
        <v>Комитет по тарифному регулированию Мурманской области</v>
      </c>
      <c r="BS29" s="3579"/>
      <c r="BT29" s="3579"/>
      <c r="BU29" s="3579"/>
      <c r="BV29" s="3579"/>
      <c r="BW29" s="3579"/>
      <c r="BX29" s="3579"/>
      <c r="BY29" s="3431"/>
      <c r="BZ29" s="3579" t="str">
        <f>IF(TITLE_NAME_OR_PR_CHANGE="",IF(TITLE_NAME_OR_PR="","",TITLE_NAME_OR_PR),TITLE_NAME_OR_PR_CHANGE)</f>
        <v>Комитет по тарифному регулированию Мурманской области</v>
      </c>
      <c r="CA29" s="3579"/>
      <c r="CB29" s="3579"/>
      <c r="CC29" s="3579"/>
      <c r="CD29" s="3579"/>
      <c r="CE29" s="3579"/>
      <c r="CF29" s="3579"/>
      <c r="CG29" s="3431"/>
      <c r="CH29" s="3579" t="str">
        <f>IF(TITLE_NAME_OR_PR_CHANGE="",IF(TITLE_NAME_OR_PR="","",TITLE_NAME_OR_PR),TITLE_NAME_OR_PR_CHANGE)</f>
        <v>Комитет по тарифному регулированию Мурманской области</v>
      </c>
      <c r="CI29" s="3579"/>
      <c r="CJ29" s="3579"/>
      <c r="CK29" s="3579"/>
      <c r="CL29" s="3579"/>
      <c r="CM29" s="3579"/>
      <c r="CN29" s="3579"/>
      <c r="CO29" s="3431"/>
      <c r="CP29" s="322"/>
      <c r="CQ29" s="268"/>
      <c r="CR29" s="368"/>
      <c r="CS29" s="368"/>
      <c r="CT29" s="368"/>
      <c r="CU29" s="368"/>
      <c r="CV29" s="368"/>
    </row>
    <row s="3345" customFormat="1" customHeight="1" ht="18.75">
      <c r="A30" s="1398"/>
      <c r="B30" s="1398"/>
      <c r="C30" s="1398"/>
      <c r="D30" s="1398"/>
      <c r="E30" s="1398"/>
      <c r="F30" s="1398"/>
      <c r="G30" s="1398"/>
      <c r="H30" s="1398"/>
      <c r="I30" s="1398"/>
      <c r="J30" s="1398"/>
      <c r="K30" s="1398"/>
      <c r="L30" s="1399"/>
      <c r="M30" s="1398"/>
      <c r="N30" s="1398"/>
      <c r="O30" s="1398"/>
      <c r="S30" s="2098" t="s">
        <v>635</v>
      </c>
      <c r="T30" s="2098"/>
      <c r="U30" s="1402"/>
      <c r="V30" s="2099" t="str">
        <f>IF(TITLE_DATE_PR_CHANGE="",IF(TITLE_DATE_PR="","",TITLE_DATE_PR),TITLE_DATE_PR_CHANGE)</f>
        <v>45205</v>
      </c>
      <c r="W30" s="2099"/>
      <c r="X30" s="2099"/>
      <c r="Y30" s="2099"/>
      <c r="Z30" s="2099"/>
      <c r="AA30" s="2099"/>
      <c r="AB30" s="2099"/>
      <c r="AC30" s="322"/>
      <c r="AD30" s="2099" t="str">
        <f>IF(TITLE_DATE_PR_CHANGE="",IF(TITLE_DATE_PR="","",TITLE_DATE_PR),TITLE_DATE_PR_CHANGE)</f>
        <v>45205</v>
      </c>
      <c r="AE30" s="2099"/>
      <c r="AF30" s="2099"/>
      <c r="AG30" s="2099"/>
      <c r="AH30" s="2099"/>
      <c r="AI30" s="2099"/>
      <c r="AJ30" s="2099"/>
      <c r="AK30" s="322"/>
      <c r="AL30" s="3580" t="str">
        <f>IF(TITLE_DATE_PR_CHANGE="",IF(TITLE_DATE_PR="","",TITLE_DATE_PR),TITLE_DATE_PR_CHANGE)</f>
        <v>45205</v>
      </c>
      <c r="AM30" s="3580"/>
      <c r="AN30" s="3580"/>
      <c r="AO30" s="3580"/>
      <c r="AP30" s="3580"/>
      <c r="AQ30" s="3580"/>
      <c r="AR30" s="3580"/>
      <c r="AS30" s="3431"/>
      <c r="AT30" s="3580" t="str">
        <f>IF(TITLE_DATE_PR_CHANGE="",IF(TITLE_DATE_PR="","",TITLE_DATE_PR),TITLE_DATE_PR_CHANGE)</f>
        <v>45205</v>
      </c>
      <c r="AU30" s="3580"/>
      <c r="AV30" s="3580"/>
      <c r="AW30" s="3580"/>
      <c r="AX30" s="3580"/>
      <c r="AY30" s="3580"/>
      <c r="AZ30" s="3580"/>
      <c r="BA30" s="3431"/>
      <c r="BB30" s="3580" t="str">
        <f>IF(TITLE_DATE_PR_CHANGE="",IF(TITLE_DATE_PR="","",TITLE_DATE_PR),TITLE_DATE_PR_CHANGE)</f>
        <v>45205</v>
      </c>
      <c r="BC30" s="3580"/>
      <c r="BD30" s="3580"/>
      <c r="BE30" s="3580"/>
      <c r="BF30" s="3580"/>
      <c r="BG30" s="3580"/>
      <c r="BH30" s="3580"/>
      <c r="BI30" s="3431"/>
      <c r="BJ30" s="3580" t="str">
        <f>IF(TITLE_DATE_PR_CHANGE="",IF(TITLE_DATE_PR="","",TITLE_DATE_PR),TITLE_DATE_PR_CHANGE)</f>
        <v>45205</v>
      </c>
      <c r="BK30" s="3580"/>
      <c r="BL30" s="3580"/>
      <c r="BM30" s="3580"/>
      <c r="BN30" s="3580"/>
      <c r="BO30" s="3580"/>
      <c r="BP30" s="3580"/>
      <c r="BQ30" s="3431"/>
      <c r="BR30" s="3580" t="str">
        <f>IF(TITLE_DATE_PR_CHANGE="",IF(TITLE_DATE_PR="","",TITLE_DATE_PR),TITLE_DATE_PR_CHANGE)</f>
        <v>45205</v>
      </c>
      <c r="BS30" s="3580"/>
      <c r="BT30" s="3580"/>
      <c r="BU30" s="3580"/>
      <c r="BV30" s="3580"/>
      <c r="BW30" s="3580"/>
      <c r="BX30" s="3580"/>
      <c r="BY30" s="3431"/>
      <c r="BZ30" s="3580" t="str">
        <f>IF(TITLE_DATE_PR_CHANGE="",IF(TITLE_DATE_PR="","",TITLE_DATE_PR),TITLE_DATE_PR_CHANGE)</f>
        <v>45205</v>
      </c>
      <c r="CA30" s="3580"/>
      <c r="CB30" s="3580"/>
      <c r="CC30" s="3580"/>
      <c r="CD30" s="3580"/>
      <c r="CE30" s="3580"/>
      <c r="CF30" s="3580"/>
      <c r="CG30" s="3431"/>
      <c r="CH30" s="3580" t="str">
        <f>IF(TITLE_DATE_PR_CHANGE="",IF(TITLE_DATE_PR="","",TITLE_DATE_PR),TITLE_DATE_PR_CHANGE)</f>
        <v>45205</v>
      </c>
      <c r="CI30" s="3580"/>
      <c r="CJ30" s="3580"/>
      <c r="CK30" s="3580"/>
      <c r="CL30" s="3580"/>
      <c r="CM30" s="3580"/>
      <c r="CN30" s="3580"/>
      <c r="CO30" s="3431"/>
      <c r="CP30" s="322"/>
      <c r="CQ30" s="268"/>
      <c r="CR30" s="368"/>
      <c r="CS30" s="368"/>
      <c r="CT30" s="368"/>
      <c r="CU30" s="368"/>
      <c r="CV30" s="368"/>
    </row>
    <row s="3345" customFormat="1" customHeight="1" ht="18.75">
      <c r="A31" s="1398"/>
      <c r="B31" s="1398"/>
      <c r="C31" s="1398"/>
      <c r="D31" s="1398"/>
      <c r="E31" s="1398"/>
      <c r="F31" s="1398"/>
      <c r="G31" s="1398"/>
      <c r="H31" s="1398"/>
      <c r="I31" s="1398"/>
      <c r="J31" s="1398"/>
      <c r="K31" s="1398"/>
      <c r="L31" s="1399"/>
      <c r="M31" s="1398"/>
      <c r="N31" s="1398"/>
      <c r="O31" s="1398"/>
      <c r="S31" s="2098" t="s">
        <v>636</v>
      </c>
      <c r="T31" s="2098"/>
      <c r="U31" s="1402"/>
      <c r="V31" s="2100" t="str">
        <f>IF(TITLE_NUMBER_PR_CHANGE="",IF(TITLE_NUMBER_PR="","",TITLE_NUMBER_PR),TITLE_NUMBER_PR_CHANGE)</f>
        <v>36/2</v>
      </c>
      <c r="W31" s="2100"/>
      <c r="X31" s="2100"/>
      <c r="Y31" s="2100"/>
      <c r="Z31" s="2100"/>
      <c r="AA31" s="2100"/>
      <c r="AB31" s="2100"/>
      <c r="AC31" s="322"/>
      <c r="AD31" s="2100" t="str">
        <f>IF(TITLE_NUMBER_PR_CHANGE="",IF(TITLE_NUMBER_PR="","",TITLE_NUMBER_PR),TITLE_NUMBER_PR_CHANGE)</f>
        <v>36/2</v>
      </c>
      <c r="AE31" s="2100"/>
      <c r="AF31" s="2100"/>
      <c r="AG31" s="2100"/>
      <c r="AH31" s="2100"/>
      <c r="AI31" s="2100"/>
      <c r="AJ31" s="2100"/>
      <c r="AK31" s="322"/>
      <c r="AL31" s="3579" t="str">
        <f>IF(TITLE_NUMBER_PR_CHANGE="",IF(TITLE_NUMBER_PR="","",TITLE_NUMBER_PR),TITLE_NUMBER_PR_CHANGE)</f>
        <v>36/2</v>
      </c>
      <c r="AM31" s="3579"/>
      <c r="AN31" s="3579"/>
      <c r="AO31" s="3579"/>
      <c r="AP31" s="3579"/>
      <c r="AQ31" s="3579"/>
      <c r="AR31" s="3579"/>
      <c r="AS31" s="3431"/>
      <c r="AT31" s="3579" t="str">
        <f>IF(TITLE_NUMBER_PR_CHANGE="",IF(TITLE_NUMBER_PR="","",TITLE_NUMBER_PR),TITLE_NUMBER_PR_CHANGE)</f>
        <v>36/2</v>
      </c>
      <c r="AU31" s="3579"/>
      <c r="AV31" s="3579"/>
      <c r="AW31" s="3579"/>
      <c r="AX31" s="3579"/>
      <c r="AY31" s="3579"/>
      <c r="AZ31" s="3579"/>
      <c r="BA31" s="3431"/>
      <c r="BB31" s="3579" t="str">
        <f>IF(TITLE_NUMBER_PR_CHANGE="",IF(TITLE_NUMBER_PR="","",TITLE_NUMBER_PR),TITLE_NUMBER_PR_CHANGE)</f>
        <v>36/2</v>
      </c>
      <c r="BC31" s="3579"/>
      <c r="BD31" s="3579"/>
      <c r="BE31" s="3579"/>
      <c r="BF31" s="3579"/>
      <c r="BG31" s="3579"/>
      <c r="BH31" s="3579"/>
      <c r="BI31" s="3431"/>
      <c r="BJ31" s="3579" t="str">
        <f>IF(TITLE_NUMBER_PR_CHANGE="",IF(TITLE_NUMBER_PR="","",TITLE_NUMBER_PR),TITLE_NUMBER_PR_CHANGE)</f>
        <v>36/2</v>
      </c>
      <c r="BK31" s="3579"/>
      <c r="BL31" s="3579"/>
      <c r="BM31" s="3579"/>
      <c r="BN31" s="3579"/>
      <c r="BO31" s="3579"/>
      <c r="BP31" s="3579"/>
      <c r="BQ31" s="3431"/>
      <c r="BR31" s="3579" t="str">
        <f>IF(TITLE_NUMBER_PR_CHANGE="",IF(TITLE_NUMBER_PR="","",TITLE_NUMBER_PR),TITLE_NUMBER_PR_CHANGE)</f>
        <v>36/2</v>
      </c>
      <c r="BS31" s="3579"/>
      <c r="BT31" s="3579"/>
      <c r="BU31" s="3579"/>
      <c r="BV31" s="3579"/>
      <c r="BW31" s="3579"/>
      <c r="BX31" s="3579"/>
      <c r="BY31" s="3431"/>
      <c r="BZ31" s="3579" t="str">
        <f>IF(TITLE_NUMBER_PR_CHANGE="",IF(TITLE_NUMBER_PR="","",TITLE_NUMBER_PR),TITLE_NUMBER_PR_CHANGE)</f>
        <v>36/2</v>
      </c>
      <c r="CA31" s="3579"/>
      <c r="CB31" s="3579"/>
      <c r="CC31" s="3579"/>
      <c r="CD31" s="3579"/>
      <c r="CE31" s="3579"/>
      <c r="CF31" s="3579"/>
      <c r="CG31" s="3431"/>
      <c r="CH31" s="3579" t="str">
        <f>IF(TITLE_NUMBER_PR_CHANGE="",IF(TITLE_NUMBER_PR="","",TITLE_NUMBER_PR),TITLE_NUMBER_PR_CHANGE)</f>
        <v>36/2</v>
      </c>
      <c r="CI31" s="3579"/>
      <c r="CJ31" s="3579"/>
      <c r="CK31" s="3579"/>
      <c r="CL31" s="3579"/>
      <c r="CM31" s="3579"/>
      <c r="CN31" s="3579"/>
      <c r="CO31" s="3431"/>
      <c r="CP31" s="322"/>
      <c r="CQ31" s="268"/>
      <c r="CR31" s="368"/>
      <c r="CS31" s="368"/>
      <c r="CT31" s="368"/>
      <c r="CU31" s="368"/>
      <c r="CV31" s="368"/>
    </row>
    <row s="3345" customFormat="1" customHeight="1" ht="18.75">
      <c r="A32" s="1398"/>
      <c r="B32" s="1398"/>
      <c r="C32" s="1398"/>
      <c r="D32" s="1398"/>
      <c r="E32" s="1398"/>
      <c r="F32" s="1398"/>
      <c r="G32" s="1398"/>
      <c r="H32" s="1398"/>
      <c r="I32" s="1398"/>
      <c r="J32" s="1398"/>
      <c r="K32" s="1398"/>
      <c r="L32" s="1399"/>
      <c r="M32" s="1398"/>
      <c r="N32" s="1398"/>
      <c r="O32" s="1398"/>
      <c r="S32" s="2098" t="s">
        <v>40</v>
      </c>
      <c r="T32" s="2098"/>
      <c r="U32" s="1402"/>
      <c r="V32" s="2100" t="str">
        <f>IF(TITLE_IST_PUB_CHANGE="",IF(TITLE_IST_PUB="","",TITLE_IST_PUB),TITLE_IST_PUB_CHANGE)</f>
        <v>https://npa.gov-murman.ru/bitrix/components/b1team/govmurman.element.file/download.php?ID=495002&amp;FID=732763</v>
      </c>
      <c r="W32" s="2100"/>
      <c r="X32" s="2100"/>
      <c r="Y32" s="2100"/>
      <c r="Z32" s="2100"/>
      <c r="AA32" s="2100"/>
      <c r="AB32" s="2100"/>
      <c r="AC32" s="322"/>
      <c r="AD32" s="2100" t="str">
        <f>IF(TITLE_IST_PUB_CHANGE="",IF(TITLE_IST_PUB="","",TITLE_IST_PUB),TITLE_IST_PUB_CHANGE)</f>
        <v>https://npa.gov-murman.ru/bitrix/components/b1team/govmurman.element.file/download.php?ID=495002&amp;FID=732763</v>
      </c>
      <c r="AE32" s="2100"/>
      <c r="AF32" s="2100"/>
      <c r="AG32" s="2100"/>
      <c r="AH32" s="2100"/>
      <c r="AI32" s="2100"/>
      <c r="AJ32" s="2100"/>
      <c r="AK32" s="322"/>
      <c r="AL32" s="3579" t="str">
        <f>IF(TITLE_IST_PUB_CHANGE="",IF(TITLE_IST_PUB="","",TITLE_IST_PUB),TITLE_IST_PUB_CHANGE)</f>
        <v>https://npa.gov-murman.ru/bitrix/components/b1team/govmurman.element.file/download.php?ID=495002&amp;FID=732763</v>
      </c>
      <c r="AM32" s="3579"/>
      <c r="AN32" s="3579"/>
      <c r="AO32" s="3579"/>
      <c r="AP32" s="3579"/>
      <c r="AQ32" s="3579"/>
      <c r="AR32" s="3579"/>
      <c r="AS32" s="3431"/>
      <c r="AT32" s="3579" t="str">
        <f>IF(TITLE_IST_PUB_CHANGE="",IF(TITLE_IST_PUB="","",TITLE_IST_PUB),TITLE_IST_PUB_CHANGE)</f>
        <v>https://npa.gov-murman.ru/bitrix/components/b1team/govmurman.element.file/download.php?ID=495002&amp;FID=732763</v>
      </c>
      <c r="AU32" s="3579"/>
      <c r="AV32" s="3579"/>
      <c r="AW32" s="3579"/>
      <c r="AX32" s="3579"/>
      <c r="AY32" s="3579"/>
      <c r="AZ32" s="3579"/>
      <c r="BA32" s="3431"/>
      <c r="BB32" s="3579" t="str">
        <f>IF(TITLE_IST_PUB_CHANGE="",IF(TITLE_IST_PUB="","",TITLE_IST_PUB),TITLE_IST_PUB_CHANGE)</f>
        <v>https://npa.gov-murman.ru/bitrix/components/b1team/govmurman.element.file/download.php?ID=495002&amp;FID=732763</v>
      </c>
      <c r="BC32" s="3579"/>
      <c r="BD32" s="3579"/>
      <c r="BE32" s="3579"/>
      <c r="BF32" s="3579"/>
      <c r="BG32" s="3579"/>
      <c r="BH32" s="3579"/>
      <c r="BI32" s="3431"/>
      <c r="BJ32" s="3579" t="str">
        <f>IF(TITLE_IST_PUB_CHANGE="",IF(TITLE_IST_PUB="","",TITLE_IST_PUB),TITLE_IST_PUB_CHANGE)</f>
        <v>https://npa.gov-murman.ru/bitrix/components/b1team/govmurman.element.file/download.php?ID=495002&amp;FID=732763</v>
      </c>
      <c r="BK32" s="3579"/>
      <c r="BL32" s="3579"/>
      <c r="BM32" s="3579"/>
      <c r="BN32" s="3579"/>
      <c r="BO32" s="3579"/>
      <c r="BP32" s="3579"/>
      <c r="BQ32" s="3431"/>
      <c r="BR32" s="3579" t="str">
        <f>IF(TITLE_IST_PUB_CHANGE="",IF(TITLE_IST_PUB="","",TITLE_IST_PUB),TITLE_IST_PUB_CHANGE)</f>
        <v>https://npa.gov-murman.ru/bitrix/components/b1team/govmurman.element.file/download.php?ID=495002&amp;FID=732763</v>
      </c>
      <c r="BS32" s="3579"/>
      <c r="BT32" s="3579"/>
      <c r="BU32" s="3579"/>
      <c r="BV32" s="3579"/>
      <c r="BW32" s="3579"/>
      <c r="BX32" s="3579"/>
      <c r="BY32" s="3431"/>
      <c r="BZ32" s="3579" t="str">
        <f>IF(TITLE_IST_PUB_CHANGE="",IF(TITLE_IST_PUB="","",TITLE_IST_PUB),TITLE_IST_PUB_CHANGE)</f>
        <v>https://npa.gov-murman.ru/bitrix/components/b1team/govmurman.element.file/download.php?ID=495002&amp;FID=732763</v>
      </c>
      <c r="CA32" s="3579"/>
      <c r="CB32" s="3579"/>
      <c r="CC32" s="3579"/>
      <c r="CD32" s="3579"/>
      <c r="CE32" s="3579"/>
      <c r="CF32" s="3579"/>
      <c r="CG32" s="3431"/>
      <c r="CH32" s="3579" t="str">
        <f>IF(TITLE_IST_PUB_CHANGE="",IF(TITLE_IST_PUB="","",TITLE_IST_PUB),TITLE_IST_PUB_CHANGE)</f>
        <v>https://npa.gov-murman.ru/bitrix/components/b1team/govmurman.element.file/download.php?ID=495002&amp;FID=732763</v>
      </c>
      <c r="CI32" s="3579"/>
      <c r="CJ32" s="3579"/>
      <c r="CK32" s="3579"/>
      <c r="CL32" s="3579"/>
      <c r="CM32" s="3579"/>
      <c r="CN32" s="3579"/>
      <c r="CO32" s="3431"/>
      <c r="CP32" s="322"/>
      <c r="CQ32" s="268"/>
      <c r="CR32" s="368"/>
      <c r="CS32" s="368"/>
      <c r="CT32" s="368"/>
      <c r="CU32" s="368"/>
      <c r="CV32" s="368"/>
    </row>
    <row customHeight="1" ht="14.25" hidden="1">
      <c r="Q33" s="377"/>
      <c r="R33" s="377"/>
      <c r="S33" s="1305"/>
      <c r="T33" s="361"/>
      <c r="U33" s="361"/>
      <c r="V33" s="316"/>
      <c r="W33" s="316"/>
      <c r="X33" s="316"/>
      <c r="Y33" s="316"/>
      <c r="Z33" s="316"/>
      <c r="AA33" s="316"/>
      <c r="AB33" s="316"/>
      <c r="AC33" s="316"/>
      <c r="AD33" s="316"/>
      <c r="AE33" s="316"/>
      <c r="AF33" s="316"/>
      <c r="AG33" s="316"/>
      <c r="AH33" s="316"/>
      <c r="AI33" s="316"/>
      <c r="AJ33" s="316"/>
      <c r="AK33" s="316"/>
      <c r="AL33" s="3578"/>
      <c r="AM33" s="3578"/>
      <c r="AN33" s="3578"/>
      <c r="AO33" s="3578"/>
      <c r="AP33" s="3578"/>
      <c r="AQ33" s="3578"/>
      <c r="AR33" s="3578"/>
      <c r="AS33" s="3578"/>
      <c r="AT33" s="3578"/>
      <c r="AU33" s="3578"/>
      <c r="AV33" s="3578"/>
      <c r="AW33" s="3578"/>
      <c r="AX33" s="3578"/>
      <c r="AY33" s="3578"/>
      <c r="AZ33" s="3578"/>
      <c r="BA33" s="3578"/>
      <c r="BB33" s="3578"/>
      <c r="BC33" s="3578"/>
      <c r="BD33" s="3578"/>
      <c r="BE33" s="3578"/>
      <c r="BF33" s="3578"/>
      <c r="BG33" s="3578"/>
      <c r="BH33" s="3578"/>
      <c r="BI33" s="3578"/>
      <c r="BJ33" s="3578"/>
      <c r="BK33" s="3578"/>
      <c r="BL33" s="3578"/>
      <c r="BM33" s="3578"/>
      <c r="BN33" s="3578"/>
      <c r="BO33" s="3578"/>
      <c r="BP33" s="3578"/>
      <c r="BQ33" s="3578"/>
      <c r="BR33" s="3578"/>
      <c r="BS33" s="3578"/>
      <c r="BT33" s="3578"/>
      <c r="BU33" s="3578"/>
      <c r="BV33" s="3578"/>
      <c r="BW33" s="3578"/>
      <c r="BX33" s="3578"/>
      <c r="BY33" s="3578"/>
      <c r="BZ33" s="3578"/>
      <c r="CA33" s="3578"/>
      <c r="CB33" s="3578"/>
      <c r="CC33" s="3578"/>
      <c r="CD33" s="3578"/>
      <c r="CE33" s="3578"/>
      <c r="CF33" s="3578"/>
      <c r="CG33" s="3578"/>
      <c r="CH33" s="3578"/>
      <c r="CI33" s="3578"/>
      <c r="CJ33" s="3578"/>
      <c r="CK33" s="3578"/>
      <c r="CL33" s="3578"/>
      <c r="CM33" s="3578"/>
      <c r="CN33" s="3578"/>
      <c r="CO33" s="3578"/>
      <c r="CP33" s="515"/>
    </row>
    <row s="3345" customFormat="1" customHeight="1" ht="18.75" hidden="1">
      <c r="A34" s="1398"/>
      <c r="B34" s="1398"/>
      <c r="C34" s="1398"/>
      <c r="D34" s="1398"/>
      <c r="E34" s="1398"/>
      <c r="F34" s="1398"/>
      <c r="G34" s="1398"/>
      <c r="H34" s="1398"/>
      <c r="I34" s="1398"/>
      <c r="J34" s="1398"/>
      <c r="K34" s="1398"/>
      <c r="L34" s="1399"/>
      <c r="M34" s="1398"/>
      <c r="N34" s="1398"/>
      <c r="O34" s="1398"/>
      <c r="S34" s="2098" t="s">
        <v>637</v>
      </c>
      <c r="T34" s="2098"/>
      <c r="U34" s="1402"/>
      <c r="V34" s="2099" t="str">
        <f>IF(TITLE_DATE_PR_CHANGE="",IF(TITLE_DATE_PR="","",TITLE_DATE_PR),TITLE_DATE_PR_CHANGE)</f>
        <v>45205</v>
      </c>
      <c r="W34" s="2099"/>
      <c r="X34" s="2099"/>
      <c r="Y34" s="2099"/>
      <c r="Z34" s="2099"/>
      <c r="AA34" s="2099"/>
      <c r="AB34" s="2099"/>
      <c r="AC34" s="322"/>
      <c r="AD34" s="2099" t="str">
        <f>IF(TITLE_DATE_PR_CHANGE="",IF(TITLE_DATE_PR="","",TITLE_DATE_PR),TITLE_DATE_PR_CHANGE)</f>
        <v>45205</v>
      </c>
      <c r="AE34" s="2099"/>
      <c r="AF34" s="2099"/>
      <c r="AG34" s="2099"/>
      <c r="AH34" s="2099"/>
      <c r="AI34" s="2099"/>
      <c r="AJ34" s="2099"/>
      <c r="AK34" s="322"/>
      <c r="AL34" s="3580" t="str">
        <f>IF(TITLE_DATE_PR_CHANGE="",IF(TITLE_DATE_PR="","",TITLE_DATE_PR),TITLE_DATE_PR_CHANGE)</f>
        <v>45205</v>
      </c>
      <c r="AM34" s="3580"/>
      <c r="AN34" s="3580"/>
      <c r="AO34" s="3580"/>
      <c r="AP34" s="3580"/>
      <c r="AQ34" s="3580"/>
      <c r="AR34" s="3580"/>
      <c r="AS34" s="3431"/>
      <c r="AT34" s="3580" t="str">
        <f>IF(TITLE_DATE_PR_CHANGE="",IF(TITLE_DATE_PR="","",TITLE_DATE_PR),TITLE_DATE_PR_CHANGE)</f>
        <v>45205</v>
      </c>
      <c r="AU34" s="3580"/>
      <c r="AV34" s="3580"/>
      <c r="AW34" s="3580"/>
      <c r="AX34" s="3580"/>
      <c r="AY34" s="3580"/>
      <c r="AZ34" s="3580"/>
      <c r="BA34" s="3431"/>
      <c r="BB34" s="3580" t="str">
        <f>IF(TITLE_DATE_PR_CHANGE="",IF(TITLE_DATE_PR="","",TITLE_DATE_PR),TITLE_DATE_PR_CHANGE)</f>
        <v>45205</v>
      </c>
      <c r="BC34" s="3580"/>
      <c r="BD34" s="3580"/>
      <c r="BE34" s="3580"/>
      <c r="BF34" s="3580"/>
      <c r="BG34" s="3580"/>
      <c r="BH34" s="3580"/>
      <c r="BI34" s="3431"/>
      <c r="BJ34" s="3580" t="str">
        <f>IF(TITLE_DATE_PR_CHANGE="",IF(TITLE_DATE_PR="","",TITLE_DATE_PR),TITLE_DATE_PR_CHANGE)</f>
        <v>45205</v>
      </c>
      <c r="BK34" s="3580"/>
      <c r="BL34" s="3580"/>
      <c r="BM34" s="3580"/>
      <c r="BN34" s="3580"/>
      <c r="BO34" s="3580"/>
      <c r="BP34" s="3580"/>
      <c r="BQ34" s="3431"/>
      <c r="BR34" s="3580" t="str">
        <f>IF(TITLE_DATE_PR_CHANGE="",IF(TITLE_DATE_PR="","",TITLE_DATE_PR),TITLE_DATE_PR_CHANGE)</f>
        <v>45205</v>
      </c>
      <c r="BS34" s="3580"/>
      <c r="BT34" s="3580"/>
      <c r="BU34" s="3580"/>
      <c r="BV34" s="3580"/>
      <c r="BW34" s="3580"/>
      <c r="BX34" s="3580"/>
      <c r="BY34" s="3431"/>
      <c r="BZ34" s="3580" t="str">
        <f>IF(TITLE_DATE_PR_CHANGE="",IF(TITLE_DATE_PR="","",TITLE_DATE_PR),TITLE_DATE_PR_CHANGE)</f>
        <v>45205</v>
      </c>
      <c r="CA34" s="3580"/>
      <c r="CB34" s="3580"/>
      <c r="CC34" s="3580"/>
      <c r="CD34" s="3580"/>
      <c r="CE34" s="3580"/>
      <c r="CF34" s="3580"/>
      <c r="CG34" s="3431"/>
      <c r="CH34" s="3580" t="str">
        <f>IF(TITLE_DATE_PR_CHANGE="",IF(TITLE_DATE_PR="","",TITLE_DATE_PR),TITLE_DATE_PR_CHANGE)</f>
        <v>45205</v>
      </c>
      <c r="CI34" s="3580"/>
      <c r="CJ34" s="3580"/>
      <c r="CK34" s="3580"/>
      <c r="CL34" s="3580"/>
      <c r="CM34" s="3580"/>
      <c r="CN34" s="3580"/>
      <c r="CO34" s="3431"/>
      <c r="CP34" s="322"/>
      <c r="CQ34" s="268"/>
      <c r="CR34" s="368"/>
      <c r="CS34" s="368"/>
      <c r="CT34" s="368"/>
      <c r="CU34" s="368"/>
      <c r="CV34" s="368"/>
    </row>
    <row s="3345" customFormat="1" customHeight="1" ht="18.75" hidden="1">
      <c r="A35" s="1398"/>
      <c r="B35" s="1398"/>
      <c r="C35" s="1398"/>
      <c r="D35" s="1398"/>
      <c r="E35" s="1398"/>
      <c r="F35" s="1398"/>
      <c r="G35" s="1398"/>
      <c r="H35" s="1398"/>
      <c r="I35" s="1398"/>
      <c r="J35" s="1398"/>
      <c r="K35" s="1398"/>
      <c r="L35" s="1399"/>
      <c r="M35" s="1398"/>
      <c r="N35" s="1398"/>
      <c r="O35" s="1398"/>
      <c r="S35" s="2098" t="s">
        <v>638</v>
      </c>
      <c r="T35" s="2098"/>
      <c r="U35" s="1402"/>
      <c r="V35" s="2100" t="str">
        <f>IF(TITLE_NUMBER_PR_CHANGE="",IF(TITLE_NUMBER_PR="","",TITLE_NUMBER_PR),TITLE_NUMBER_PR_CHANGE)</f>
        <v>36/2</v>
      </c>
      <c r="W35" s="2100"/>
      <c r="X35" s="2100"/>
      <c r="Y35" s="2100"/>
      <c r="Z35" s="2100"/>
      <c r="AA35" s="2100"/>
      <c r="AB35" s="2100"/>
      <c r="AC35" s="322"/>
      <c r="AD35" s="2100" t="str">
        <f>IF(TITLE_NUMBER_PR_CHANGE="",IF(TITLE_NUMBER_PR="","",TITLE_NUMBER_PR),TITLE_NUMBER_PR_CHANGE)</f>
        <v>36/2</v>
      </c>
      <c r="AE35" s="2100"/>
      <c r="AF35" s="2100"/>
      <c r="AG35" s="2100"/>
      <c r="AH35" s="2100"/>
      <c r="AI35" s="2100"/>
      <c r="AJ35" s="2100"/>
      <c r="AK35" s="322"/>
      <c r="AL35" s="3579" t="str">
        <f>IF(TITLE_NUMBER_PR_CHANGE="",IF(TITLE_NUMBER_PR="","",TITLE_NUMBER_PR),TITLE_NUMBER_PR_CHANGE)</f>
        <v>36/2</v>
      </c>
      <c r="AM35" s="3579"/>
      <c r="AN35" s="3579"/>
      <c r="AO35" s="3579"/>
      <c r="AP35" s="3579"/>
      <c r="AQ35" s="3579"/>
      <c r="AR35" s="3579"/>
      <c r="AS35" s="3431"/>
      <c r="AT35" s="3579" t="str">
        <f>IF(TITLE_NUMBER_PR_CHANGE="",IF(TITLE_NUMBER_PR="","",TITLE_NUMBER_PR),TITLE_NUMBER_PR_CHANGE)</f>
        <v>36/2</v>
      </c>
      <c r="AU35" s="3579"/>
      <c r="AV35" s="3579"/>
      <c r="AW35" s="3579"/>
      <c r="AX35" s="3579"/>
      <c r="AY35" s="3579"/>
      <c r="AZ35" s="3579"/>
      <c r="BA35" s="3431"/>
      <c r="BB35" s="3579" t="str">
        <f>IF(TITLE_NUMBER_PR_CHANGE="",IF(TITLE_NUMBER_PR="","",TITLE_NUMBER_PR),TITLE_NUMBER_PR_CHANGE)</f>
        <v>36/2</v>
      </c>
      <c r="BC35" s="3579"/>
      <c r="BD35" s="3579"/>
      <c r="BE35" s="3579"/>
      <c r="BF35" s="3579"/>
      <c r="BG35" s="3579"/>
      <c r="BH35" s="3579"/>
      <c r="BI35" s="3431"/>
      <c r="BJ35" s="3579" t="str">
        <f>IF(TITLE_NUMBER_PR_CHANGE="",IF(TITLE_NUMBER_PR="","",TITLE_NUMBER_PR),TITLE_NUMBER_PR_CHANGE)</f>
        <v>36/2</v>
      </c>
      <c r="BK35" s="3579"/>
      <c r="BL35" s="3579"/>
      <c r="BM35" s="3579"/>
      <c r="BN35" s="3579"/>
      <c r="BO35" s="3579"/>
      <c r="BP35" s="3579"/>
      <c r="BQ35" s="3431"/>
      <c r="BR35" s="3579" t="str">
        <f>IF(TITLE_NUMBER_PR_CHANGE="",IF(TITLE_NUMBER_PR="","",TITLE_NUMBER_PR),TITLE_NUMBER_PR_CHANGE)</f>
        <v>36/2</v>
      </c>
      <c r="BS35" s="3579"/>
      <c r="BT35" s="3579"/>
      <c r="BU35" s="3579"/>
      <c r="BV35" s="3579"/>
      <c r="BW35" s="3579"/>
      <c r="BX35" s="3579"/>
      <c r="BY35" s="3431"/>
      <c r="BZ35" s="3579" t="str">
        <f>IF(TITLE_NUMBER_PR_CHANGE="",IF(TITLE_NUMBER_PR="","",TITLE_NUMBER_PR),TITLE_NUMBER_PR_CHANGE)</f>
        <v>36/2</v>
      </c>
      <c r="CA35" s="3579"/>
      <c r="CB35" s="3579"/>
      <c r="CC35" s="3579"/>
      <c r="CD35" s="3579"/>
      <c r="CE35" s="3579"/>
      <c r="CF35" s="3579"/>
      <c r="CG35" s="3431"/>
      <c r="CH35" s="3579" t="str">
        <f>IF(TITLE_NUMBER_PR_CHANGE="",IF(TITLE_NUMBER_PR="","",TITLE_NUMBER_PR),TITLE_NUMBER_PR_CHANGE)</f>
        <v>36/2</v>
      </c>
      <c r="CI35" s="3579"/>
      <c r="CJ35" s="3579"/>
      <c r="CK35" s="3579"/>
      <c r="CL35" s="3579"/>
      <c r="CM35" s="3579"/>
      <c r="CN35" s="3579"/>
      <c r="CO35" s="3431"/>
      <c r="CP35" s="322"/>
      <c r="CQ35" s="268"/>
      <c r="CR35" s="368"/>
      <c r="CS35" s="368"/>
      <c r="CT35" s="368"/>
      <c r="CU35" s="368"/>
      <c r="CV35" s="368"/>
    </row>
    <row s="3345" customFormat="1" customHeight="1" ht="0">
      <c r="A36" s="1398"/>
      <c r="B36" s="1398"/>
      <c r="C36" s="1398"/>
      <c r="D36" s="1398"/>
      <c r="E36" s="1398"/>
      <c r="F36" s="1398"/>
      <c r="G36" s="1398"/>
      <c r="H36" s="1398"/>
      <c r="I36" s="1398"/>
      <c r="J36" s="1398"/>
      <c r="K36" s="1398"/>
      <c r="L36" s="1399"/>
      <c r="M36" s="1398"/>
      <c r="N36" s="1398"/>
      <c r="O36" s="1398"/>
      <c r="S36" s="318"/>
      <c r="T36" s="318"/>
      <c r="U36" s="1370"/>
      <c r="V36" s="322"/>
      <c r="W36" s="322"/>
      <c r="X36" s="322"/>
      <c r="Y36" s="322"/>
      <c r="Z36" s="322"/>
      <c r="AA36" s="322"/>
      <c r="AB36" s="322"/>
      <c r="AC36" s="266" t="s">
        <v>639</v>
      </c>
      <c r="AD36" s="322"/>
      <c r="AE36" s="322"/>
      <c r="AF36" s="322"/>
      <c r="AG36" s="322"/>
      <c r="AH36" s="322"/>
      <c r="AI36" s="322"/>
      <c r="AJ36" s="322"/>
      <c r="AK36" s="266" t="s">
        <v>639</v>
      </c>
      <c r="AL36" s="3431"/>
      <c r="AM36" s="3431"/>
      <c r="AN36" s="3431"/>
      <c r="AO36" s="3431"/>
      <c r="AP36" s="3431"/>
      <c r="AQ36" s="3431"/>
      <c r="AR36" s="3431"/>
      <c r="AS36" s="3581" t="s">
        <v>639</v>
      </c>
      <c r="AT36" s="3431"/>
      <c r="AU36" s="3431"/>
      <c r="AV36" s="3431"/>
      <c r="AW36" s="3431"/>
      <c r="AX36" s="3431"/>
      <c r="AY36" s="3431"/>
      <c r="AZ36" s="3431"/>
      <c r="BA36" s="3581" t="s">
        <v>639</v>
      </c>
      <c r="BB36" s="3431"/>
      <c r="BC36" s="3431"/>
      <c r="BD36" s="3431"/>
      <c r="BE36" s="3431"/>
      <c r="BF36" s="3431"/>
      <c r="BG36" s="3431"/>
      <c r="BH36" s="3431"/>
      <c r="BI36" s="3581" t="s">
        <v>639</v>
      </c>
      <c r="BJ36" s="3431"/>
      <c r="BK36" s="3431"/>
      <c r="BL36" s="3431"/>
      <c r="BM36" s="3431"/>
      <c r="BN36" s="3431"/>
      <c r="BO36" s="3431"/>
      <c r="BP36" s="3431"/>
      <c r="BQ36" s="3581" t="s">
        <v>639</v>
      </c>
      <c r="BR36" s="3431"/>
      <c r="BS36" s="3431"/>
      <c r="BT36" s="3431"/>
      <c r="BU36" s="3431"/>
      <c r="BV36" s="3431"/>
      <c r="BW36" s="3431"/>
      <c r="BX36" s="3431"/>
      <c r="BY36" s="3581" t="s">
        <v>639</v>
      </c>
      <c r="BZ36" s="3431"/>
      <c r="CA36" s="3431"/>
      <c r="CB36" s="3431"/>
      <c r="CC36" s="3431"/>
      <c r="CD36" s="3431"/>
      <c r="CE36" s="3431"/>
      <c r="CF36" s="3431"/>
      <c r="CG36" s="3581" t="s">
        <v>639</v>
      </c>
      <c r="CH36" s="3431"/>
      <c r="CI36" s="3431"/>
      <c r="CJ36" s="3431"/>
      <c r="CK36" s="3431"/>
      <c r="CL36" s="3431"/>
      <c r="CM36" s="3431"/>
      <c r="CN36" s="3431"/>
      <c r="CO36" s="3581" t="s">
        <v>639</v>
      </c>
      <c r="CR36" s="368"/>
      <c r="CS36" s="368"/>
      <c r="CT36" s="368"/>
      <c r="CU36" s="368"/>
      <c r="CV36" s="368"/>
    </row>
    <row customHeight="1" ht="14.25">
      <c r="Q37" s="377"/>
      <c r="R37" s="377"/>
      <c r="S37" s="1305"/>
      <c r="T37" s="361"/>
      <c r="U37" s="1262"/>
      <c r="V37" s="2124"/>
      <c r="W37" s="2124"/>
      <c r="X37" s="2124"/>
      <c r="Y37" s="2124"/>
      <c r="Z37" s="2124"/>
      <c r="AA37" s="2124"/>
      <c r="AB37" s="2124"/>
      <c r="AC37" s="2124"/>
      <c r="AD37" s="2124"/>
      <c r="AE37" s="2124"/>
      <c r="AF37" s="2124"/>
      <c r="AG37" s="2124"/>
      <c r="AH37" s="2124"/>
      <c r="AI37" s="2124"/>
      <c r="AJ37" s="2124"/>
      <c r="AK37" s="2124"/>
      <c r="AL37" s="3582" t="s">
        <v>105</v>
      </c>
      <c r="AM37" s="3582"/>
      <c r="AN37" s="3582"/>
      <c r="AO37" s="3582"/>
      <c r="AP37" s="3582"/>
      <c r="AQ37" s="3582"/>
      <c r="AR37" s="3582"/>
      <c r="AS37" s="3582"/>
      <c r="AT37" s="3582" t="s">
        <v>105</v>
      </c>
      <c r="AU37" s="3582"/>
      <c r="AV37" s="3582"/>
      <c r="AW37" s="3582"/>
      <c r="AX37" s="3582"/>
      <c r="AY37" s="3582"/>
      <c r="AZ37" s="3582"/>
      <c r="BA37" s="3582"/>
      <c r="BB37" s="3582" t="s">
        <v>105</v>
      </c>
      <c r="BC37" s="3582"/>
      <c r="BD37" s="3582"/>
      <c r="BE37" s="3582"/>
      <c r="BF37" s="3582"/>
      <c r="BG37" s="3582"/>
      <c r="BH37" s="3582"/>
      <c r="BI37" s="3582"/>
      <c r="BJ37" s="3582" t="s">
        <v>105</v>
      </c>
      <c r="BK37" s="3582"/>
      <c r="BL37" s="3582"/>
      <c r="BM37" s="3582"/>
      <c r="BN37" s="3582"/>
      <c r="BO37" s="3582"/>
      <c r="BP37" s="3582"/>
      <c r="BQ37" s="3582"/>
      <c r="BR37" s="3582" t="s">
        <v>105</v>
      </c>
      <c r="BS37" s="3582"/>
      <c r="BT37" s="3582"/>
      <c r="BU37" s="3582"/>
      <c r="BV37" s="3582"/>
      <c r="BW37" s="3582"/>
      <c r="BX37" s="3582"/>
      <c r="BY37" s="3582"/>
      <c r="BZ37" s="3582" t="s">
        <v>105</v>
      </c>
      <c r="CA37" s="3582"/>
      <c r="CB37" s="3582"/>
      <c r="CC37" s="3582"/>
      <c r="CD37" s="3582"/>
      <c r="CE37" s="3582"/>
      <c r="CF37" s="3582"/>
      <c r="CG37" s="3582"/>
      <c r="CH37" s="3582" t="s">
        <v>105</v>
      </c>
      <c r="CI37" s="3582"/>
      <c r="CJ37" s="3582"/>
      <c r="CK37" s="3582"/>
      <c r="CL37" s="3582"/>
      <c r="CM37" s="3582"/>
      <c r="CN37" s="3582"/>
      <c r="CO37" s="3582"/>
    </row>
    <row customHeight="1" ht="14.25">
      <c r="Q38" s="377"/>
      <c r="R38" s="377"/>
      <c r="S38" s="1971" t="s">
        <v>513</v>
      </c>
      <c r="T38" s="1971"/>
      <c r="U38" s="1971"/>
      <c r="V38" s="1971"/>
      <c r="W38" s="1971"/>
      <c r="X38" s="1971"/>
      <c r="Y38" s="1971"/>
      <c r="Z38" s="1971"/>
      <c r="AA38" s="1971"/>
      <c r="AB38" s="1971"/>
      <c r="AC38" s="1971"/>
      <c r="AD38" s="1971"/>
      <c r="AE38" s="1971"/>
      <c r="AF38" s="1971"/>
      <c r="AG38" s="1971"/>
      <c r="AH38" s="1971"/>
      <c r="AI38" s="1971"/>
      <c r="AJ38" s="1971"/>
      <c r="AK38" s="1971"/>
      <c r="AL38" s="3583" t="s">
        <v>513</v>
      </c>
      <c r="AM38" s="3583"/>
      <c r="AN38" s="3583"/>
      <c r="AO38" s="3583"/>
      <c r="AP38" s="3583"/>
      <c r="AQ38" s="3583"/>
      <c r="AR38" s="3583"/>
      <c r="AS38" s="3583"/>
      <c r="AT38" s="3583" t="s">
        <v>513</v>
      </c>
      <c r="AU38" s="3583"/>
      <c r="AV38" s="3583"/>
      <c r="AW38" s="3583"/>
      <c r="AX38" s="3583"/>
      <c r="AY38" s="3583"/>
      <c r="AZ38" s="3583"/>
      <c r="BA38" s="3583"/>
      <c r="BB38" s="3583" t="s">
        <v>513</v>
      </c>
      <c r="BC38" s="3583"/>
      <c r="BD38" s="3583"/>
      <c r="BE38" s="3583"/>
      <c r="BF38" s="3583"/>
      <c r="BG38" s="3583"/>
      <c r="BH38" s="3583"/>
      <c r="BI38" s="3583"/>
      <c r="BJ38" s="3583" t="s">
        <v>513</v>
      </c>
      <c r="BK38" s="3583"/>
      <c r="BL38" s="3583"/>
      <c r="BM38" s="3583"/>
      <c r="BN38" s="3583"/>
      <c r="BO38" s="3583"/>
      <c r="BP38" s="3583"/>
      <c r="BQ38" s="3583"/>
      <c r="BR38" s="3583" t="s">
        <v>513</v>
      </c>
      <c r="BS38" s="3583"/>
      <c r="BT38" s="3583"/>
      <c r="BU38" s="3583"/>
      <c r="BV38" s="3583"/>
      <c r="BW38" s="3583"/>
      <c r="BX38" s="3583"/>
      <c r="BY38" s="3583"/>
      <c r="BZ38" s="3583" t="s">
        <v>513</v>
      </c>
      <c r="CA38" s="3583"/>
      <c r="CB38" s="3583"/>
      <c r="CC38" s="3583"/>
      <c r="CD38" s="3583"/>
      <c r="CE38" s="3583"/>
      <c r="CF38" s="3583"/>
      <c r="CG38" s="3583"/>
      <c r="CH38" s="3583" t="s">
        <v>513</v>
      </c>
      <c r="CI38" s="3583"/>
      <c r="CJ38" s="3583"/>
      <c r="CK38" s="3583"/>
      <c r="CL38" s="3583"/>
      <c r="CM38" s="3583"/>
      <c r="CN38" s="3583"/>
      <c r="CO38" s="3583"/>
      <c r="CP38" s="1971"/>
      <c r="CQ38" s="1971"/>
    </row>
    <row customHeight="1" ht="14.25">
      <c r="Q39" s="377"/>
      <c r="R39" s="377"/>
      <c r="S39" s="2125" t="s">
        <v>89</v>
      </c>
      <c r="T39" s="2062" t="s">
        <v>640</v>
      </c>
      <c r="U39" s="289"/>
      <c r="V39" s="2126" t="s">
        <v>641</v>
      </c>
      <c r="W39" s="2127"/>
      <c r="X39" s="2127"/>
      <c r="Y39" s="2127"/>
      <c r="Z39" s="2127"/>
      <c r="AA39" s="2127"/>
      <c r="AB39" s="2128"/>
      <c r="AC39" s="2129" t="s">
        <v>642</v>
      </c>
      <c r="AD39" s="2126" t="s">
        <v>641</v>
      </c>
      <c r="AE39" s="2127"/>
      <c r="AF39" s="2127"/>
      <c r="AG39" s="2127"/>
      <c r="AH39" s="2127"/>
      <c r="AI39" s="2127"/>
      <c r="AJ39" s="2128"/>
      <c r="AK39" s="2129" t="s">
        <v>643</v>
      </c>
      <c r="AL39" s="3584" t="s">
        <v>641</v>
      </c>
      <c r="AM39" s="3585"/>
      <c r="AN39" s="3585"/>
      <c r="AO39" s="3585"/>
      <c r="AP39" s="3585"/>
      <c r="AQ39" s="3585"/>
      <c r="AR39" s="3586"/>
      <c r="AS39" s="3587" t="s">
        <v>642</v>
      </c>
      <c r="AT39" s="3584" t="s">
        <v>641</v>
      </c>
      <c r="AU39" s="3585"/>
      <c r="AV39" s="3585"/>
      <c r="AW39" s="3585"/>
      <c r="AX39" s="3585"/>
      <c r="AY39" s="3585"/>
      <c r="AZ39" s="3586"/>
      <c r="BA39" s="3587" t="s">
        <v>642</v>
      </c>
      <c r="BB39" s="3584" t="s">
        <v>641</v>
      </c>
      <c r="BC39" s="3585"/>
      <c r="BD39" s="3585"/>
      <c r="BE39" s="3585"/>
      <c r="BF39" s="3585"/>
      <c r="BG39" s="3585"/>
      <c r="BH39" s="3586"/>
      <c r="BI39" s="3587" t="s">
        <v>642</v>
      </c>
      <c r="BJ39" s="3584" t="s">
        <v>641</v>
      </c>
      <c r="BK39" s="3585"/>
      <c r="BL39" s="3585"/>
      <c r="BM39" s="3585"/>
      <c r="BN39" s="3585"/>
      <c r="BO39" s="3585"/>
      <c r="BP39" s="3586"/>
      <c r="BQ39" s="3587" t="s">
        <v>642</v>
      </c>
      <c r="BR39" s="3584" t="s">
        <v>641</v>
      </c>
      <c r="BS39" s="3585"/>
      <c r="BT39" s="3585"/>
      <c r="BU39" s="3585"/>
      <c r="BV39" s="3585"/>
      <c r="BW39" s="3585"/>
      <c r="BX39" s="3586"/>
      <c r="BY39" s="3587" t="s">
        <v>642</v>
      </c>
      <c r="BZ39" s="3584" t="s">
        <v>641</v>
      </c>
      <c r="CA39" s="3585"/>
      <c r="CB39" s="3585"/>
      <c r="CC39" s="3585"/>
      <c r="CD39" s="3585"/>
      <c r="CE39" s="3585"/>
      <c r="CF39" s="3586"/>
      <c r="CG39" s="3587" t="s">
        <v>642</v>
      </c>
      <c r="CH39" s="3584" t="s">
        <v>641</v>
      </c>
      <c r="CI39" s="3585"/>
      <c r="CJ39" s="3585"/>
      <c r="CK39" s="3585"/>
      <c r="CL39" s="3585"/>
      <c r="CM39" s="3585"/>
      <c r="CN39" s="3586"/>
      <c r="CO39" s="3587" t="s">
        <v>642</v>
      </c>
      <c r="CP39" s="2132" t="s">
        <v>644</v>
      </c>
      <c r="CQ39" s="1971"/>
    </row>
    <row customHeight="1" ht="33.75">
      <c r="Q40" s="377"/>
      <c r="R40" s="377"/>
      <c r="S40" s="2125"/>
      <c r="T40" s="2062"/>
      <c r="U40" s="1038"/>
      <c r="V40" s="2135" t="s">
        <v>645</v>
      </c>
      <c r="W40" s="2116"/>
      <c r="X40" s="2118" t="s">
        <v>647</v>
      </c>
      <c r="Y40" s="2120"/>
      <c r="Z40" s="2118" t="s">
        <v>648</v>
      </c>
      <c r="AA40" s="2119"/>
      <c r="AB40" s="2120"/>
      <c r="AC40" s="2130"/>
      <c r="AD40" s="2135" t="s">
        <v>661</v>
      </c>
      <c r="AE40" s="2116"/>
      <c r="AF40" s="2118" t="s">
        <v>647</v>
      </c>
      <c r="AG40" s="2120"/>
      <c r="AH40" s="2118" t="s">
        <v>648</v>
      </c>
      <c r="AI40" s="2119"/>
      <c r="AJ40" s="2120"/>
      <c r="AK40" s="2130"/>
      <c r="AL40" s="3588" t="s">
        <v>645</v>
      </c>
      <c r="AM40" s="3589"/>
      <c r="AN40" s="3590" t="s">
        <v>647</v>
      </c>
      <c r="AO40" s="3591"/>
      <c r="AP40" s="3590" t="s">
        <v>648</v>
      </c>
      <c r="AQ40" s="3592"/>
      <c r="AR40" s="3591"/>
      <c r="AS40" s="3593"/>
      <c r="AT40" s="3588" t="s">
        <v>645</v>
      </c>
      <c r="AU40" s="3589"/>
      <c r="AV40" s="3590" t="s">
        <v>647</v>
      </c>
      <c r="AW40" s="3591"/>
      <c r="AX40" s="3590" t="s">
        <v>648</v>
      </c>
      <c r="AY40" s="3592"/>
      <c r="AZ40" s="3591"/>
      <c r="BA40" s="3593"/>
      <c r="BB40" s="3588" t="s">
        <v>645</v>
      </c>
      <c r="BC40" s="3589"/>
      <c r="BD40" s="3590" t="s">
        <v>647</v>
      </c>
      <c r="BE40" s="3591"/>
      <c r="BF40" s="3590" t="s">
        <v>648</v>
      </c>
      <c r="BG40" s="3592"/>
      <c r="BH40" s="3591"/>
      <c r="BI40" s="3593"/>
      <c r="BJ40" s="3588" t="s">
        <v>645</v>
      </c>
      <c r="BK40" s="3589"/>
      <c r="BL40" s="3590" t="s">
        <v>647</v>
      </c>
      <c r="BM40" s="3591"/>
      <c r="BN40" s="3590" t="s">
        <v>648</v>
      </c>
      <c r="BO40" s="3592"/>
      <c r="BP40" s="3591"/>
      <c r="BQ40" s="3593"/>
      <c r="BR40" s="3588" t="s">
        <v>645</v>
      </c>
      <c r="BS40" s="3589"/>
      <c r="BT40" s="3590" t="s">
        <v>647</v>
      </c>
      <c r="BU40" s="3591"/>
      <c r="BV40" s="3590" t="s">
        <v>648</v>
      </c>
      <c r="BW40" s="3592"/>
      <c r="BX40" s="3591"/>
      <c r="BY40" s="3593"/>
      <c r="BZ40" s="3588" t="s">
        <v>645</v>
      </c>
      <c r="CA40" s="3589"/>
      <c r="CB40" s="3590" t="s">
        <v>647</v>
      </c>
      <c r="CC40" s="3591"/>
      <c r="CD40" s="3590" t="s">
        <v>648</v>
      </c>
      <c r="CE40" s="3592"/>
      <c r="CF40" s="3591"/>
      <c r="CG40" s="3593"/>
      <c r="CH40" s="3588" t="s">
        <v>645</v>
      </c>
      <c r="CI40" s="3589"/>
      <c r="CJ40" s="3590" t="s">
        <v>647</v>
      </c>
      <c r="CK40" s="3591"/>
      <c r="CL40" s="3590" t="s">
        <v>648</v>
      </c>
      <c r="CM40" s="3592"/>
      <c r="CN40" s="3591"/>
      <c r="CO40" s="3593"/>
      <c r="CP40" s="2133"/>
      <c r="CQ40" s="1971"/>
    </row>
    <row customHeight="1" ht="46.111111111111114">
      <c r="A41" s="1400"/>
      <c r="B41" s="1400" t="s">
        <v>216</v>
      </c>
      <c r="C41" s="1400" t="s">
        <v>217</v>
      </c>
      <c r="D41" s="1400" t="s">
        <v>218</v>
      </c>
      <c r="E41" s="1394" t="s">
        <v>649</v>
      </c>
      <c r="F41" s="1394" t="s">
        <v>650</v>
      </c>
      <c r="G41" s="1394" t="s">
        <v>651</v>
      </c>
      <c r="H41" s="1394" t="s">
        <v>652</v>
      </c>
      <c r="I41" s="1394" t="s">
        <v>653</v>
      </c>
      <c r="J41" s="1394" t="s">
        <v>654</v>
      </c>
      <c r="K41" s="1394" t="s">
        <v>655</v>
      </c>
      <c r="L41" s="1394" t="s">
        <v>630</v>
      </c>
      <c r="Q41" s="377"/>
      <c r="R41" s="377"/>
      <c r="S41" s="2125"/>
      <c r="T41" s="2062"/>
      <c r="U41" s="290"/>
      <c r="V41" s="2136"/>
      <c r="W41" s="2117"/>
      <c r="X41" s="1237" t="s">
        <v>656</v>
      </c>
      <c r="Y41" s="1237" t="s">
        <v>657</v>
      </c>
      <c r="Z41" s="1368" t="s">
        <v>658</v>
      </c>
      <c r="AA41" s="2121" t="s">
        <v>659</v>
      </c>
      <c r="AB41" s="2122"/>
      <c r="AC41" s="2131"/>
      <c r="AD41" s="2136"/>
      <c r="AE41" s="2117"/>
      <c r="AF41" s="1237" t="s">
        <v>656</v>
      </c>
      <c r="AG41" s="1237" t="s">
        <v>657</v>
      </c>
      <c r="AH41" s="1368" t="s">
        <v>658</v>
      </c>
      <c r="AI41" s="2121" t="s">
        <v>659</v>
      </c>
      <c r="AJ41" s="2122"/>
      <c r="AK41" s="2131"/>
      <c r="AL41" s="3594"/>
      <c r="AM41" s="3595"/>
      <c r="AN41" s="3596" t="s">
        <v>656</v>
      </c>
      <c r="AO41" s="3596" t="s">
        <v>657</v>
      </c>
      <c r="AP41" s="3596" t="s">
        <v>658</v>
      </c>
      <c r="AQ41" s="3597" t="s">
        <v>659</v>
      </c>
      <c r="AR41" s="3598"/>
      <c r="AS41" s="3599"/>
      <c r="AT41" s="3594"/>
      <c r="AU41" s="3595"/>
      <c r="AV41" s="3596" t="s">
        <v>656</v>
      </c>
      <c r="AW41" s="3596" t="s">
        <v>657</v>
      </c>
      <c r="AX41" s="3596" t="s">
        <v>658</v>
      </c>
      <c r="AY41" s="3597" t="s">
        <v>659</v>
      </c>
      <c r="AZ41" s="3598"/>
      <c r="BA41" s="3599"/>
      <c r="BB41" s="3594"/>
      <c r="BC41" s="3595"/>
      <c r="BD41" s="3596" t="s">
        <v>656</v>
      </c>
      <c r="BE41" s="3596" t="s">
        <v>657</v>
      </c>
      <c r="BF41" s="3596" t="s">
        <v>658</v>
      </c>
      <c r="BG41" s="3597" t="s">
        <v>659</v>
      </c>
      <c r="BH41" s="3598"/>
      <c r="BI41" s="3599"/>
      <c r="BJ41" s="3594"/>
      <c r="BK41" s="3595"/>
      <c r="BL41" s="3596" t="s">
        <v>656</v>
      </c>
      <c r="BM41" s="3596" t="s">
        <v>657</v>
      </c>
      <c r="BN41" s="3596" t="s">
        <v>658</v>
      </c>
      <c r="BO41" s="3597" t="s">
        <v>659</v>
      </c>
      <c r="BP41" s="3598"/>
      <c r="BQ41" s="3599"/>
      <c r="BR41" s="3594"/>
      <c r="BS41" s="3595"/>
      <c r="BT41" s="3596" t="s">
        <v>656</v>
      </c>
      <c r="BU41" s="3596" t="s">
        <v>657</v>
      </c>
      <c r="BV41" s="3596" t="s">
        <v>658</v>
      </c>
      <c r="BW41" s="3597" t="s">
        <v>659</v>
      </c>
      <c r="BX41" s="3598"/>
      <c r="BY41" s="3599"/>
      <c r="BZ41" s="3594"/>
      <c r="CA41" s="3595"/>
      <c r="CB41" s="3596" t="s">
        <v>656</v>
      </c>
      <c r="CC41" s="3596" t="s">
        <v>657</v>
      </c>
      <c r="CD41" s="3596" t="s">
        <v>658</v>
      </c>
      <c r="CE41" s="3597" t="s">
        <v>659</v>
      </c>
      <c r="CF41" s="3598"/>
      <c r="CG41" s="3599"/>
      <c r="CH41" s="3594"/>
      <c r="CI41" s="3595"/>
      <c r="CJ41" s="3596" t="s">
        <v>656</v>
      </c>
      <c r="CK41" s="3596" t="s">
        <v>657</v>
      </c>
      <c r="CL41" s="3596" t="s">
        <v>658</v>
      </c>
      <c r="CM41" s="3597" t="s">
        <v>659</v>
      </c>
      <c r="CN41" s="3598"/>
      <c r="CO41" s="3599"/>
      <c r="CP41" s="2134"/>
      <c r="CQ41" s="1971"/>
    </row>
    <row s="2611" customFormat="1" customHeight="1" ht="11.25" hidden="1">
      <c r="A42" s="1400"/>
      <c r="B42" s="1400"/>
      <c r="C42" s="1400"/>
      <c r="D42" s="1400"/>
      <c r="E42" s="1400"/>
      <c r="F42" s="1400"/>
      <c r="G42" s="1400"/>
      <c r="H42" s="1400"/>
      <c r="I42" s="1400"/>
      <c r="J42" s="1400"/>
      <c r="K42" s="1400"/>
      <c r="L42" s="1394"/>
      <c r="M42" s="1392"/>
      <c r="N42" s="1392"/>
      <c r="O42" s="1392"/>
      <c r="P42" s="1264"/>
      <c r="Q42" s="1265"/>
      <c r="R42" s="1280">
        <v>1</v>
      </c>
      <c r="S42" s="1307" t="s">
        <v>193</v>
      </c>
      <c r="T42" s="1281" t="s">
        <v>104</v>
      </c>
      <c r="U42" s="1263" t="str">
        <f>OFFSET(U42,0,-1)</f>
        <v>2</v>
      </c>
      <c r="V42" s="1365">
        <f>OFFSET(V42,0,-1)+1</f>
        <v>3</v>
      </c>
      <c r="W42" s="1365"/>
      <c r="X42" s="1365">
        <f>OFFSET(X42,0,-1)+1</f>
        <v>1</v>
      </c>
      <c r="Y42" s="1365">
        <f>OFFSET(Y42,0,-1)+1</f>
        <v>2</v>
      </c>
      <c r="Z42" s="1365">
        <f>OFFSET(Z42,0,-1)+1</f>
        <v>3</v>
      </c>
      <c r="AA42" s="2123">
        <f>OFFSET(AA42,0,-1)+1</f>
        <v>4</v>
      </c>
      <c r="AB42" s="2123"/>
      <c r="AC42" s="1365">
        <f>OFFSET(AC42,0,-2)+1</f>
        <v>5</v>
      </c>
      <c r="AD42" s="1365">
        <f>OFFSET(AD42,0,-1)+1</f>
        <v>6</v>
      </c>
      <c r="AE42" s="1365"/>
      <c r="AF42" s="1365">
        <f>OFFSET(AF42,0,-1)+1</f>
        <v>1</v>
      </c>
      <c r="AG42" s="1365">
        <f>OFFSET(AG42,0,-1)+1</f>
        <v>2</v>
      </c>
      <c r="AH42" s="1365">
        <f>OFFSET(AH42,0,-1)+1</f>
        <v>3</v>
      </c>
      <c r="AI42" s="2123">
        <f>OFFSET(AI42,0,-1)+1</f>
        <v>4</v>
      </c>
      <c r="AJ42" s="2123"/>
      <c r="AK42" s="1365">
        <f>OFFSET(AK42,0,-2)+1</f>
        <v>5</v>
      </c>
      <c r="AL42" s="3600">
        <f>OFFSET(AL42,0,-1)+1</f>
        <v>3</v>
      </c>
      <c r="AM42" s="3600"/>
      <c r="AN42" s="3600">
        <f>OFFSET(AN42,0,-1)+1</f>
        <v>1</v>
      </c>
      <c r="AO42" s="3600">
        <f>OFFSET(AO42,0,-1)+1</f>
        <v>2</v>
      </c>
      <c r="AP42" s="3600">
        <f>OFFSET(AP42,0,-1)+1</f>
        <v>3</v>
      </c>
      <c r="AQ42" s="3600">
        <f>OFFSET(AQ42,0,-1)+1</f>
        <v>4</v>
      </c>
      <c r="AR42" s="3600"/>
      <c r="AS42" s="3600">
        <f>OFFSET(AS42,0,-2)+1</f>
        <v>5</v>
      </c>
      <c r="AT42" s="3600">
        <f>OFFSET(AT42,0,-1)+1</f>
        <v>3</v>
      </c>
      <c r="AU42" s="3600"/>
      <c r="AV42" s="3600">
        <f>OFFSET(AV42,0,-1)+1</f>
        <v>1</v>
      </c>
      <c r="AW42" s="3600">
        <f>OFFSET(AW42,0,-1)+1</f>
        <v>2</v>
      </c>
      <c r="AX42" s="3600">
        <f>OFFSET(AX42,0,-1)+1</f>
        <v>3</v>
      </c>
      <c r="AY42" s="3600">
        <f>OFFSET(AY42,0,-1)+1</f>
        <v>4</v>
      </c>
      <c r="AZ42" s="3600"/>
      <c r="BA42" s="3600">
        <f>OFFSET(BA42,0,-2)+1</f>
        <v>5</v>
      </c>
      <c r="BB42" s="3600">
        <f>OFFSET(BB42,0,-1)+1</f>
        <v>3</v>
      </c>
      <c r="BC42" s="3600"/>
      <c r="BD42" s="3600">
        <f>OFFSET(BD42,0,-1)+1</f>
        <v>1</v>
      </c>
      <c r="BE42" s="3600">
        <f>OFFSET(BE42,0,-1)+1</f>
        <v>2</v>
      </c>
      <c r="BF42" s="3600">
        <f>OFFSET(BF42,0,-1)+1</f>
        <v>3</v>
      </c>
      <c r="BG42" s="3600">
        <f>OFFSET(BG42,0,-1)+1</f>
        <v>4</v>
      </c>
      <c r="BH42" s="3600"/>
      <c r="BI42" s="3600">
        <f>OFFSET(BI42,0,-2)+1</f>
        <v>5</v>
      </c>
      <c r="BJ42" s="3600">
        <f>OFFSET(BJ42,0,-1)+1</f>
        <v>3</v>
      </c>
      <c r="BK42" s="3600"/>
      <c r="BL42" s="3600">
        <f>OFFSET(BL42,0,-1)+1</f>
        <v>1</v>
      </c>
      <c r="BM42" s="3600">
        <f>OFFSET(BM42,0,-1)+1</f>
        <v>2</v>
      </c>
      <c r="BN42" s="3600">
        <f>OFFSET(BN42,0,-1)+1</f>
        <v>3</v>
      </c>
      <c r="BO42" s="3600">
        <f>OFFSET(BO42,0,-1)+1</f>
        <v>4</v>
      </c>
      <c r="BP42" s="3600"/>
      <c r="BQ42" s="3600">
        <f>OFFSET(BQ42,0,-2)+1</f>
        <v>5</v>
      </c>
      <c r="BR42" s="3600">
        <f>OFFSET(BR42,0,-1)+1</f>
        <v>3</v>
      </c>
      <c r="BS42" s="3600"/>
      <c r="BT42" s="3600">
        <f>OFFSET(BT42,0,-1)+1</f>
        <v>1</v>
      </c>
      <c r="BU42" s="3600">
        <f>OFFSET(BU42,0,-1)+1</f>
        <v>2</v>
      </c>
      <c r="BV42" s="3600">
        <f>OFFSET(BV42,0,-1)+1</f>
        <v>3</v>
      </c>
      <c r="BW42" s="3600">
        <f>OFFSET(BW42,0,-1)+1</f>
        <v>4</v>
      </c>
      <c r="BX42" s="3600"/>
      <c r="BY42" s="3600">
        <f>OFFSET(BY42,0,-2)+1</f>
        <v>5</v>
      </c>
      <c r="BZ42" s="3600">
        <f>OFFSET(BZ42,0,-1)+1</f>
        <v>3</v>
      </c>
      <c r="CA42" s="3600"/>
      <c r="CB42" s="3600">
        <f>OFFSET(CB42,0,-1)+1</f>
        <v>1</v>
      </c>
      <c r="CC42" s="3600">
        <f>OFFSET(CC42,0,-1)+1</f>
        <v>2</v>
      </c>
      <c r="CD42" s="3600">
        <f>OFFSET(CD42,0,-1)+1</f>
        <v>3</v>
      </c>
      <c r="CE42" s="3600">
        <f>OFFSET(CE42,0,-1)+1</f>
        <v>4</v>
      </c>
      <c r="CF42" s="3600"/>
      <c r="CG42" s="3600">
        <f>OFFSET(CG42,0,-2)+1</f>
        <v>5</v>
      </c>
      <c r="CH42" s="3600">
        <f>OFFSET(CH42,0,-1)+1</f>
        <v>3</v>
      </c>
      <c r="CI42" s="3600"/>
      <c r="CJ42" s="3600">
        <f>OFFSET(CJ42,0,-1)+1</f>
        <v>1</v>
      </c>
      <c r="CK42" s="3600">
        <f>OFFSET(CK42,0,-1)+1</f>
        <v>2</v>
      </c>
      <c r="CL42" s="3600">
        <f>OFFSET(CL42,0,-1)+1</f>
        <v>3</v>
      </c>
      <c r="CM42" s="3600">
        <f>OFFSET(CM42,0,-1)+1</f>
        <v>4</v>
      </c>
      <c r="CN42" s="3600"/>
      <c r="CO42" s="3600">
        <f>OFFSET(CO42,0,-2)+1</f>
        <v>5</v>
      </c>
      <c r="CP42" s="1263">
        <f>OFFSET(CP42,0,-1)</f>
        <v>5</v>
      </c>
      <c r="CQ42" s="1365">
        <f>OFFSET(CQ42,0,-1)+1</f>
        <v>6</v>
      </c>
      <c r="CR42" s="517"/>
      <c r="CS42" s="517"/>
      <c r="CT42" s="517"/>
      <c r="CU42" s="517"/>
      <c r="CV42" s="517"/>
    </row>
    <row customHeight="1" ht="21">
      <c r="A43" s="1393" t="s">
        <v>246</v>
      </c>
      <c r="B43" s="1393"/>
      <c r="C43" s="1393"/>
      <c r="D43" s="1393"/>
      <c r="E43" s="2107">
        <v>1</v>
      </c>
      <c r="F43" s="1393"/>
      <c r="G43" s="1393"/>
      <c r="H43" s="1393"/>
      <c r="I43" s="1393"/>
      <c r="J43" s="1393"/>
      <c r="K43" s="1393"/>
      <c r="L43" s="1394"/>
      <c r="M43" s="1395"/>
      <c r="N43" s="1395"/>
      <c r="O43" s="1395"/>
      <c r="P43" s="357"/>
      <c r="Q43" s="356"/>
      <c r="R43" s="351"/>
      <c r="S43" s="1366">
        <f>INDEX(PT_DIFFERENTIATION_NUM_NTAR,MATCH(A43,PT_DIFFERENTIATION_NTAR_ID,0))</f>
        <v>1</v>
      </c>
      <c r="T43" s="286" t="s">
        <v>204</v>
      </c>
      <c r="U43" s="288"/>
      <c r="V43" s="2101"/>
      <c r="W43" s="2102"/>
      <c r="X43" s="2102"/>
      <c r="Y43" s="2102"/>
      <c r="Z43" s="2102"/>
      <c r="AA43" s="2102"/>
      <c r="AB43" s="2102"/>
      <c r="AC43" s="2103"/>
      <c r="AD43" s="2101" t="str">
        <f>INDEX(PT_DIFFERENTIATION_NTAR,MATCH(A43,PT_DIFFERENTIATION_NTAR_ID,0))</f>
        <v>Тариф на теплоноситель, поставляемый потребителям</v>
      </c>
      <c r="AE43" s="2102"/>
      <c r="AF43" s="2102"/>
      <c r="AG43" s="2102"/>
      <c r="AH43" s="2102"/>
      <c r="AI43" s="2102"/>
      <c r="AJ43" s="2102"/>
      <c r="AK43" s="2102"/>
      <c r="AL43" s="3432"/>
      <c r="AM43" s="3433"/>
      <c r="AN43" s="3433"/>
      <c r="AO43" s="3433"/>
      <c r="AP43" s="3433"/>
      <c r="AQ43" s="3433"/>
      <c r="AR43" s="3433"/>
      <c r="AS43" s="3434"/>
      <c r="AT43" s="3432"/>
      <c r="AU43" s="3433"/>
      <c r="AV43" s="3433"/>
      <c r="AW43" s="3433"/>
      <c r="AX43" s="3433"/>
      <c r="AY43" s="3433"/>
      <c r="AZ43" s="3433"/>
      <c r="BA43" s="3434"/>
      <c r="BB43" s="3432"/>
      <c r="BC43" s="3433"/>
      <c r="BD43" s="3433"/>
      <c r="BE43" s="3433"/>
      <c r="BF43" s="3433"/>
      <c r="BG43" s="3433"/>
      <c r="BH43" s="3433"/>
      <c r="BI43" s="3434"/>
      <c r="BJ43" s="3432"/>
      <c r="BK43" s="3433"/>
      <c r="BL43" s="3433"/>
      <c r="BM43" s="3433"/>
      <c r="BN43" s="3433"/>
      <c r="BO43" s="3433"/>
      <c r="BP43" s="3433"/>
      <c r="BQ43" s="3434"/>
      <c r="BR43" s="3432"/>
      <c r="BS43" s="3433"/>
      <c r="BT43" s="3433"/>
      <c r="BU43" s="3433"/>
      <c r="BV43" s="3433"/>
      <c r="BW43" s="3433"/>
      <c r="BX43" s="3433"/>
      <c r="BY43" s="3434"/>
      <c r="BZ43" s="3432"/>
      <c r="CA43" s="3433"/>
      <c r="CB43" s="3433"/>
      <c r="CC43" s="3433"/>
      <c r="CD43" s="3433"/>
      <c r="CE43" s="3433"/>
      <c r="CF43" s="3433"/>
      <c r="CG43" s="3434"/>
      <c r="CH43" s="3432"/>
      <c r="CI43" s="3433"/>
      <c r="CJ43" s="3433"/>
      <c r="CK43" s="3433"/>
      <c r="CL43" s="3433"/>
      <c r="CM43" s="3433"/>
      <c r="CN43" s="3433"/>
      <c r="CO43" s="3434"/>
      <c r="CP43" s="2103"/>
      <c r="CQ43" s="12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CS43" s="506"/>
      <c r="CT43" s="506" t="str">
        <f>IF(T43="","",T43)</f>
        <v>Наименование тарифа</v>
      </c>
      <c r="CU43" s="506"/>
      <c r="CV43" s="506"/>
    </row>
    <row customHeight="1" ht="21">
      <c r="A44" s="1393" t="s">
        <v>246</v>
      </c>
      <c r="B44" s="1393" t="s">
        <v>247</v>
      </c>
      <c r="C44" s="1393"/>
      <c r="D44" s="1393"/>
      <c r="E44" s="2108"/>
      <c r="F44" s="2107">
        <v>1</v>
      </c>
      <c r="G44" s="1393"/>
      <c r="H44" s="1393"/>
      <c r="I44" s="1393"/>
      <c r="J44" s="1393"/>
      <c r="K44" s="1393"/>
      <c r="L44" s="1394"/>
      <c r="M44" s="1395"/>
      <c r="N44" s="1395"/>
      <c r="O44" s="1395"/>
      <c r="P44" s="1362"/>
      <c r="Q44" s="348"/>
      <c r="R44" s="349"/>
      <c r="S44" s="1366" t="str">
        <f>INDEX(PT_DIFFERENTIATION_NUM_TER,MATCH(B44,PT_DIFFERENTIATION_TER_ID,0))</f>
        <v>1.1</v>
      </c>
      <c r="T44" s="298" t="s">
        <v>612</v>
      </c>
      <c r="U44" s="288"/>
      <c r="V44" s="2101"/>
      <c r="W44" s="2102"/>
      <c r="X44" s="2102"/>
      <c r="Y44" s="2102"/>
      <c r="Z44" s="2102"/>
      <c r="AA44" s="2102"/>
      <c r="AB44" s="2102"/>
      <c r="AC44" s="2103"/>
      <c r="AD44" s="2101" t="str">
        <f>INDEX(PT_DIFFERENTIATION_TER,MATCH(B44,PT_DIFFERENTIATION_TER_ID,0))</f>
        <v>Территория 1</v>
      </c>
      <c r="AE44" s="2102"/>
      <c r="AF44" s="2102"/>
      <c r="AG44" s="2102"/>
      <c r="AH44" s="2102"/>
      <c r="AI44" s="2102"/>
      <c r="AJ44" s="2102"/>
      <c r="AK44" s="2102"/>
      <c r="AL44" s="3432"/>
      <c r="AM44" s="3433"/>
      <c r="AN44" s="3433"/>
      <c r="AO44" s="3433"/>
      <c r="AP44" s="3433"/>
      <c r="AQ44" s="3433"/>
      <c r="AR44" s="3433"/>
      <c r="AS44" s="3434"/>
      <c r="AT44" s="3432"/>
      <c r="AU44" s="3433"/>
      <c r="AV44" s="3433"/>
      <c r="AW44" s="3433"/>
      <c r="AX44" s="3433"/>
      <c r="AY44" s="3433"/>
      <c r="AZ44" s="3433"/>
      <c r="BA44" s="3434"/>
      <c r="BB44" s="3432"/>
      <c r="BC44" s="3433"/>
      <c r="BD44" s="3433"/>
      <c r="BE44" s="3433"/>
      <c r="BF44" s="3433"/>
      <c r="BG44" s="3433"/>
      <c r="BH44" s="3433"/>
      <c r="BI44" s="3434"/>
      <c r="BJ44" s="3432"/>
      <c r="BK44" s="3433"/>
      <c r="BL44" s="3433"/>
      <c r="BM44" s="3433"/>
      <c r="BN44" s="3433"/>
      <c r="BO44" s="3433"/>
      <c r="BP44" s="3433"/>
      <c r="BQ44" s="3434"/>
      <c r="BR44" s="3432"/>
      <c r="BS44" s="3433"/>
      <c r="BT44" s="3433"/>
      <c r="BU44" s="3433"/>
      <c r="BV44" s="3433"/>
      <c r="BW44" s="3433"/>
      <c r="BX44" s="3433"/>
      <c r="BY44" s="3434"/>
      <c r="BZ44" s="3432"/>
      <c r="CA44" s="3433"/>
      <c r="CB44" s="3433"/>
      <c r="CC44" s="3433"/>
      <c r="CD44" s="3433"/>
      <c r="CE44" s="3433"/>
      <c r="CF44" s="3433"/>
      <c r="CG44" s="3434"/>
      <c r="CH44" s="3432"/>
      <c r="CI44" s="3433"/>
      <c r="CJ44" s="3433"/>
      <c r="CK44" s="3433"/>
      <c r="CL44" s="3433"/>
      <c r="CM44" s="3433"/>
      <c r="CN44" s="3433"/>
      <c r="CO44" s="3434"/>
      <c r="CP44" s="2103"/>
      <c r="CQ44" s="1286" t="s">
        <v>613</v>
      </c>
      <c r="CS44" s="506"/>
      <c r="CT44" s="506" t="str">
        <f>IF(T44="","",T44)</f>
        <v>Территория действия тарифа</v>
      </c>
      <c r="CU44" s="506"/>
      <c r="CV44" s="506"/>
    </row>
    <row customHeight="1" ht="23.25">
      <c r="A45" s="1393" t="s">
        <v>246</v>
      </c>
      <c r="B45" s="1393" t="s">
        <v>247</v>
      </c>
      <c r="C45" s="1393" t="s">
        <v>248</v>
      </c>
      <c r="D45" s="1393"/>
      <c r="E45" s="2108"/>
      <c r="F45" s="2108"/>
      <c r="G45" s="2107">
        <v>1</v>
      </c>
      <c r="H45" s="1393"/>
      <c r="I45" s="1393"/>
      <c r="J45" s="1393"/>
      <c r="K45" s="1393"/>
      <c r="L45" s="1394"/>
      <c r="M45" s="1395"/>
      <c r="N45" s="1395"/>
      <c r="O45" s="1395"/>
      <c r="P45" s="350"/>
      <c r="Q45" s="348"/>
      <c r="R45" s="349"/>
      <c r="S45" s="1366" t="str">
        <f>INDEX(PT_DIFFERENTIATION_NUM_CS,MATCH(C45,PT_DIFFERENTIATION_CS_ID,0))</f>
        <v>1.1.1</v>
      </c>
      <c r="T45" s="299" t="s">
        <v>614</v>
      </c>
      <c r="U45" s="288"/>
      <c r="V45" s="2101"/>
      <c r="W45" s="2102"/>
      <c r="X45" s="2102"/>
      <c r="Y45" s="2102"/>
      <c r="Z45" s="2102"/>
      <c r="AA45" s="2102"/>
      <c r="AB45" s="2102"/>
      <c r="AC45" s="2103"/>
      <c r="AD45" s="2101" t="str">
        <f>INDEX(PT_DIFFERENTIATION_CS,MATCH(C45,PT_DIFFERENTIATION_CS_ID,0))</f>
        <v>без дифференциации</v>
      </c>
      <c r="AE45" s="2102"/>
      <c r="AF45" s="2102"/>
      <c r="AG45" s="2102"/>
      <c r="AH45" s="2102"/>
      <c r="AI45" s="2102"/>
      <c r="AJ45" s="2102"/>
      <c r="AK45" s="2102"/>
      <c r="AL45" s="3432"/>
      <c r="AM45" s="3433"/>
      <c r="AN45" s="3433"/>
      <c r="AO45" s="3433"/>
      <c r="AP45" s="3433"/>
      <c r="AQ45" s="3433"/>
      <c r="AR45" s="3433"/>
      <c r="AS45" s="3434"/>
      <c r="AT45" s="3432"/>
      <c r="AU45" s="3433"/>
      <c r="AV45" s="3433"/>
      <c r="AW45" s="3433"/>
      <c r="AX45" s="3433"/>
      <c r="AY45" s="3433"/>
      <c r="AZ45" s="3433"/>
      <c r="BA45" s="3434"/>
      <c r="BB45" s="3432"/>
      <c r="BC45" s="3433"/>
      <c r="BD45" s="3433"/>
      <c r="BE45" s="3433"/>
      <c r="BF45" s="3433"/>
      <c r="BG45" s="3433"/>
      <c r="BH45" s="3433"/>
      <c r="BI45" s="3434"/>
      <c r="BJ45" s="3432"/>
      <c r="BK45" s="3433"/>
      <c r="BL45" s="3433"/>
      <c r="BM45" s="3433"/>
      <c r="BN45" s="3433"/>
      <c r="BO45" s="3433"/>
      <c r="BP45" s="3433"/>
      <c r="BQ45" s="3434"/>
      <c r="BR45" s="3432"/>
      <c r="BS45" s="3433"/>
      <c r="BT45" s="3433"/>
      <c r="BU45" s="3433"/>
      <c r="BV45" s="3433"/>
      <c r="BW45" s="3433"/>
      <c r="BX45" s="3433"/>
      <c r="BY45" s="3434"/>
      <c r="BZ45" s="3432"/>
      <c r="CA45" s="3433"/>
      <c r="CB45" s="3433"/>
      <c r="CC45" s="3433"/>
      <c r="CD45" s="3433"/>
      <c r="CE45" s="3433"/>
      <c r="CF45" s="3433"/>
      <c r="CG45" s="3434"/>
      <c r="CH45" s="3432"/>
      <c r="CI45" s="3433"/>
      <c r="CJ45" s="3433"/>
      <c r="CK45" s="3433"/>
      <c r="CL45" s="3433"/>
      <c r="CM45" s="3433"/>
      <c r="CN45" s="3433"/>
      <c r="CO45" s="3434"/>
      <c r="CP45" s="2103"/>
      <c r="CQ45" s="1286" t="s">
        <v>615</v>
      </c>
      <c r="CS45" s="506"/>
      <c r="CT45" s="506" t="str">
        <f>IF(T45="","",T45)</f>
        <v>Наименование системы теплоснабжения </v>
      </c>
      <c r="CU45" s="506"/>
      <c r="CV45" s="506"/>
    </row>
    <row customHeight="1" ht="21">
      <c r="A46" s="1393" t="s">
        <v>246</v>
      </c>
      <c r="B46" s="1393" t="s">
        <v>247</v>
      </c>
      <c r="C46" s="1393" t="s">
        <v>248</v>
      </c>
      <c r="D46" s="1393" t="s">
        <v>249</v>
      </c>
      <c r="E46" s="2108"/>
      <c r="F46" s="2108"/>
      <c r="G46" s="2108"/>
      <c r="H46" s="2107">
        <v>1</v>
      </c>
      <c r="I46" s="1393"/>
      <c r="J46" s="1393"/>
      <c r="K46" s="1393"/>
      <c r="L46" s="1394"/>
      <c r="M46" s="1395"/>
      <c r="N46" s="1395"/>
      <c r="O46" s="1395"/>
      <c r="P46" s="350"/>
      <c r="Q46" s="348"/>
      <c r="R46" s="349"/>
      <c r="S46" s="1366" t="str">
        <f>INDEX(PT_DIFFERENTIATION_NUM_IST_TE,MATCH(D46,PT_DIFFERENTIATION_IST_TE_ID,0))</f>
        <v>1.1.1.1</v>
      </c>
      <c r="T46" s="300" t="s">
        <v>616</v>
      </c>
      <c r="U46" s="288"/>
      <c r="V46" s="2101"/>
      <c r="W46" s="2102"/>
      <c r="X46" s="2102"/>
      <c r="Y46" s="2102"/>
      <c r="Z46" s="2102"/>
      <c r="AA46" s="2102"/>
      <c r="AB46" s="2102"/>
      <c r="AC46" s="2103"/>
      <c r="AD46" s="2101" t="str">
        <f>INDEX(PT_DIFFERENTIATION_IST_TE,MATCH(D46,PT_DIFFERENTIATION_IST_TE_ID,0))</f>
        <v>г.о. город-герой Мурманск (с учетом транспортировки по сетям АО "Звездочка" филиал "35 СРЗ")</v>
      </c>
      <c r="AE46" s="2102"/>
      <c r="AF46" s="2102"/>
      <c r="AG46" s="2102"/>
      <c r="AH46" s="2102"/>
      <c r="AI46" s="2102"/>
      <c r="AJ46" s="2102"/>
      <c r="AK46" s="2102"/>
      <c r="AL46" s="3432"/>
      <c r="AM46" s="3433"/>
      <c r="AN46" s="3433"/>
      <c r="AO46" s="3433"/>
      <c r="AP46" s="3433"/>
      <c r="AQ46" s="3433"/>
      <c r="AR46" s="3433"/>
      <c r="AS46" s="3434"/>
      <c r="AT46" s="3432"/>
      <c r="AU46" s="3433"/>
      <c r="AV46" s="3433"/>
      <c r="AW46" s="3433"/>
      <c r="AX46" s="3433"/>
      <c r="AY46" s="3433"/>
      <c r="AZ46" s="3433"/>
      <c r="BA46" s="3434"/>
      <c r="BB46" s="3432"/>
      <c r="BC46" s="3433"/>
      <c r="BD46" s="3433"/>
      <c r="BE46" s="3433"/>
      <c r="BF46" s="3433"/>
      <c r="BG46" s="3433"/>
      <c r="BH46" s="3433"/>
      <c r="BI46" s="3434"/>
      <c r="BJ46" s="3432"/>
      <c r="BK46" s="3433"/>
      <c r="BL46" s="3433"/>
      <c r="BM46" s="3433"/>
      <c r="BN46" s="3433"/>
      <c r="BO46" s="3433"/>
      <c r="BP46" s="3433"/>
      <c r="BQ46" s="3434"/>
      <c r="BR46" s="3432"/>
      <c r="BS46" s="3433"/>
      <c r="BT46" s="3433"/>
      <c r="BU46" s="3433"/>
      <c r="BV46" s="3433"/>
      <c r="BW46" s="3433"/>
      <c r="BX46" s="3433"/>
      <c r="BY46" s="3434"/>
      <c r="BZ46" s="3432"/>
      <c r="CA46" s="3433"/>
      <c r="CB46" s="3433"/>
      <c r="CC46" s="3433"/>
      <c r="CD46" s="3433"/>
      <c r="CE46" s="3433"/>
      <c r="CF46" s="3433"/>
      <c r="CG46" s="3434"/>
      <c r="CH46" s="3432"/>
      <c r="CI46" s="3433"/>
      <c r="CJ46" s="3433"/>
      <c r="CK46" s="3433"/>
      <c r="CL46" s="3433"/>
      <c r="CM46" s="3433"/>
      <c r="CN46" s="3433"/>
      <c r="CO46" s="3434"/>
      <c r="CP46" s="2103"/>
      <c r="CQ46" s="1286" t="s">
        <v>617</v>
      </c>
      <c r="CS46" s="506"/>
      <c r="CT46" s="506" t="str">
        <f>IF(T46="","",T46)</f>
        <v>Источник тепловой энергии  </v>
      </c>
      <c r="CU46" s="506"/>
      <c r="CV46" s="506"/>
    </row>
    <row s="2612" customFormat="1" customHeight="1" ht="0">
      <c r="A47" s="1373" t="s">
        <v>246</v>
      </c>
      <c r="B47" s="1373" t="s">
        <v>247</v>
      </c>
      <c r="C47" s="1373" t="s">
        <v>248</v>
      </c>
      <c r="D47" s="1373" t="s">
        <v>249</v>
      </c>
      <c r="E47" s="2108"/>
      <c r="F47" s="2108"/>
      <c r="G47" s="2108"/>
      <c r="H47" s="2108"/>
      <c r="I47" s="2109" t="str">
        <f>S46&amp;".1"</f>
        <v>1.1.1.1.1</v>
      </c>
      <c r="J47" s="1373"/>
      <c r="K47" s="1373"/>
      <c r="L47" s="1376" t="s">
        <v>618</v>
      </c>
      <c r="M47" s="516"/>
      <c r="N47" s="516"/>
      <c r="O47" s="516"/>
      <c r="P47" s="2111">
        <v>1</v>
      </c>
      <c r="Q47" s="1361"/>
      <c r="R47" s="352"/>
      <c r="S47" s="1049"/>
      <c r="T47" s="1413"/>
      <c r="U47" s="1414"/>
      <c r="V47" s="2147"/>
      <c r="W47" s="2148"/>
      <c r="X47" s="2148"/>
      <c r="Y47" s="2148"/>
      <c r="Z47" s="2148"/>
      <c r="AA47" s="2148"/>
      <c r="AB47" s="2148"/>
      <c r="AC47" s="2149"/>
      <c r="AD47" s="2147"/>
      <c r="AE47" s="2148"/>
      <c r="AF47" s="2148"/>
      <c r="AG47" s="2148"/>
      <c r="AH47" s="2148"/>
      <c r="AI47" s="2148"/>
      <c r="AJ47" s="2148"/>
      <c r="AK47" s="2148"/>
      <c r="AL47" s="3441"/>
      <c r="AM47" s="3442"/>
      <c r="AN47" s="3442"/>
      <c r="AO47" s="3442"/>
      <c r="AP47" s="3442"/>
      <c r="AQ47" s="3442"/>
      <c r="AR47" s="3442"/>
      <c r="AS47" s="3443"/>
      <c r="AT47" s="3441"/>
      <c r="AU47" s="3442"/>
      <c r="AV47" s="3442"/>
      <c r="AW47" s="3442"/>
      <c r="AX47" s="3442"/>
      <c r="AY47" s="3442"/>
      <c r="AZ47" s="3442"/>
      <c r="BA47" s="3443"/>
      <c r="BB47" s="3441"/>
      <c r="BC47" s="3442"/>
      <c r="BD47" s="3442"/>
      <c r="BE47" s="3442"/>
      <c r="BF47" s="3442"/>
      <c r="BG47" s="3442"/>
      <c r="BH47" s="3442"/>
      <c r="BI47" s="3443"/>
      <c r="BJ47" s="3441"/>
      <c r="BK47" s="3442"/>
      <c r="BL47" s="3442"/>
      <c r="BM47" s="3442"/>
      <c r="BN47" s="3442"/>
      <c r="BO47" s="3442"/>
      <c r="BP47" s="3442"/>
      <c r="BQ47" s="3443"/>
      <c r="BR47" s="3441"/>
      <c r="BS47" s="3442"/>
      <c r="BT47" s="3442"/>
      <c r="BU47" s="3442"/>
      <c r="BV47" s="3442"/>
      <c r="BW47" s="3442"/>
      <c r="BX47" s="3442"/>
      <c r="BY47" s="3443"/>
      <c r="BZ47" s="3441"/>
      <c r="CA47" s="3442"/>
      <c r="CB47" s="3442"/>
      <c r="CC47" s="3442"/>
      <c r="CD47" s="3442"/>
      <c r="CE47" s="3442"/>
      <c r="CF47" s="3442"/>
      <c r="CG47" s="3443"/>
      <c r="CH47" s="3441"/>
      <c r="CI47" s="3442"/>
      <c r="CJ47" s="3442"/>
      <c r="CK47" s="3442"/>
      <c r="CL47" s="3442"/>
      <c r="CM47" s="3442"/>
      <c r="CN47" s="3442"/>
      <c r="CO47" s="3443"/>
      <c r="CP47" s="2149"/>
      <c r="CQ47" s="1415"/>
      <c r="CS47" s="506"/>
      <c r="CT47" s="506" t="str">
        <f>IF(T47="","",T47)</f>
        <v/>
      </c>
      <c r="CU47" s="506"/>
      <c r="CV47" s="506"/>
    </row>
    <row customHeight="1" ht="21">
      <c r="A48" s="1393" t="s">
        <v>246</v>
      </c>
      <c r="B48" s="1393" t="s">
        <v>247</v>
      </c>
      <c r="C48" s="1393" t="s">
        <v>248</v>
      </c>
      <c r="D48" s="1393" t="s">
        <v>249</v>
      </c>
      <c r="E48" s="2108"/>
      <c r="F48" s="2108"/>
      <c r="G48" s="2108"/>
      <c r="H48" s="2108"/>
      <c r="I48" s="2110"/>
      <c r="J48" s="2109" t="str">
        <f>S46&amp;".1"</f>
        <v>1.1.1.1.1</v>
      </c>
      <c r="K48" s="1393"/>
      <c r="L48" s="1394" t="s">
        <v>621</v>
      </c>
      <c r="P48" s="2111"/>
      <c r="Q48" s="2111">
        <v>1</v>
      </c>
      <c r="R48" s="353"/>
      <c r="S48" s="1366" t="str">
        <f>$J48</f>
        <v>1.1.1.1.1</v>
      </c>
      <c r="T48" s="274" t="s">
        <v>622</v>
      </c>
      <c r="U48" s="288"/>
      <c r="V48" s="2095"/>
      <c r="W48" s="2096"/>
      <c r="X48" s="2096"/>
      <c r="Y48" s="2096"/>
      <c r="Z48" s="2096"/>
      <c r="AA48" s="2096"/>
      <c r="AB48" s="2096"/>
      <c r="AC48" s="2097"/>
      <c r="AD48" s="2095" t="s">
        <v>662</v>
      </c>
      <c r="AE48" s="2096"/>
      <c r="AF48" s="2096"/>
      <c r="AG48" s="2096"/>
      <c r="AH48" s="2096"/>
      <c r="AI48" s="2096"/>
      <c r="AJ48" s="2096"/>
      <c r="AK48" s="2096"/>
      <c r="AL48" s="3445"/>
      <c r="AM48" s="3446"/>
      <c r="AN48" s="3446"/>
      <c r="AO48" s="3446"/>
      <c r="AP48" s="3446"/>
      <c r="AQ48" s="3446"/>
      <c r="AR48" s="3446"/>
      <c r="AS48" s="3447"/>
      <c r="AT48" s="3445"/>
      <c r="AU48" s="3446"/>
      <c r="AV48" s="3446"/>
      <c r="AW48" s="3446"/>
      <c r="AX48" s="3446"/>
      <c r="AY48" s="3446"/>
      <c r="AZ48" s="3446"/>
      <c r="BA48" s="3447"/>
      <c r="BB48" s="3445"/>
      <c r="BC48" s="3446"/>
      <c r="BD48" s="3446"/>
      <c r="BE48" s="3446"/>
      <c r="BF48" s="3446"/>
      <c r="BG48" s="3446"/>
      <c r="BH48" s="3446"/>
      <c r="BI48" s="3447"/>
      <c r="BJ48" s="3445"/>
      <c r="BK48" s="3446"/>
      <c r="BL48" s="3446"/>
      <c r="BM48" s="3446"/>
      <c r="BN48" s="3446"/>
      <c r="BO48" s="3446"/>
      <c r="BP48" s="3446"/>
      <c r="BQ48" s="3447"/>
      <c r="BR48" s="3445"/>
      <c r="BS48" s="3446"/>
      <c r="BT48" s="3446"/>
      <c r="BU48" s="3446"/>
      <c r="BV48" s="3446"/>
      <c r="BW48" s="3446"/>
      <c r="BX48" s="3446"/>
      <c r="BY48" s="3447"/>
      <c r="BZ48" s="3445"/>
      <c r="CA48" s="3446"/>
      <c r="CB48" s="3446"/>
      <c r="CC48" s="3446"/>
      <c r="CD48" s="3446"/>
      <c r="CE48" s="3446"/>
      <c r="CF48" s="3446"/>
      <c r="CG48" s="3447"/>
      <c r="CH48" s="3445"/>
      <c r="CI48" s="3446"/>
      <c r="CJ48" s="3446"/>
      <c r="CK48" s="3446"/>
      <c r="CL48" s="3446"/>
      <c r="CM48" s="3446"/>
      <c r="CN48" s="3446"/>
      <c r="CO48" s="3447"/>
      <c r="CP48" s="2097"/>
      <c r="CQ48" s="1286" t="s">
        <v>623</v>
      </c>
      <c r="CS48" s="506"/>
      <c r="CT48" s="506" t="str">
        <f>IF(T48="","",T48)</f>
        <v>Группа потребителей</v>
      </c>
      <c r="CU48" s="506"/>
      <c r="CV48" s="506"/>
    </row>
    <row customHeight="1" ht="21">
      <c r="A49" s="1393" t="s">
        <v>246</v>
      </c>
      <c r="B49" s="1393" t="s">
        <v>247</v>
      </c>
      <c r="C49" s="1393" t="s">
        <v>248</v>
      </c>
      <c r="D49" s="1393" t="s">
        <v>249</v>
      </c>
      <c r="E49" s="2108"/>
      <c r="F49" s="2108"/>
      <c r="G49" s="2108"/>
      <c r="H49" s="2108"/>
      <c r="I49" s="2110"/>
      <c r="J49" s="2110"/>
      <c r="K49" s="2109" t="str">
        <f>J48&amp;".1"</f>
        <v>1.1.1.1.1.1</v>
      </c>
      <c r="L49" s="1394" t="s">
        <v>624</v>
      </c>
      <c r="P49" s="2111"/>
      <c r="Q49" s="2111"/>
      <c r="R49" s="353">
        <v>1</v>
      </c>
      <c r="S49" s="1366" t="str">
        <f>$K49</f>
        <v>1.1.1.1.1.1</v>
      </c>
      <c r="T49" s="1377" t="s">
        <v>663</v>
      </c>
      <c r="U49" s="288"/>
      <c r="V49" s="757"/>
      <c r="W49" s="320"/>
      <c r="X49" s="757"/>
      <c r="Y49" s="1285"/>
      <c r="Z49" s="2112"/>
      <c r="AA49" s="1981" t="s">
        <v>63</v>
      </c>
      <c r="AB49" s="2112"/>
      <c r="AC49" s="1981" t="s">
        <v>63</v>
      </c>
      <c r="AD49" s="757">
        <v>37.4</v>
      </c>
      <c r="AE49" s="320"/>
      <c r="AF49" s="757"/>
      <c r="AG49" s="1285"/>
      <c r="AH49" s="3451">
        <v>44197</v>
      </c>
      <c r="AI49" s="1981" t="s">
        <v>63</v>
      </c>
      <c r="AJ49" s="3602">
        <v>44377</v>
      </c>
      <c r="AK49" s="1981" t="s">
        <v>63</v>
      </c>
      <c r="AL49" s="3448">
        <v>43.5</v>
      </c>
      <c r="AM49" s="3449"/>
      <c r="AN49" s="3448"/>
      <c r="AO49" s="3450"/>
      <c r="AP49" s="3451">
        <v>44378</v>
      </c>
      <c r="AQ49" s="2872" t="s">
        <v>63</v>
      </c>
      <c r="AR49" s="3451">
        <v>44561</v>
      </c>
      <c r="AS49" s="2872" t="s">
        <v>63</v>
      </c>
      <c r="AT49" s="3448">
        <v>41.6</v>
      </c>
      <c r="AU49" s="3449"/>
      <c r="AV49" s="3448"/>
      <c r="AW49" s="3450"/>
      <c r="AX49" s="3451">
        <v>44562</v>
      </c>
      <c r="AY49" s="2872" t="s">
        <v>63</v>
      </c>
      <c r="AZ49" s="3451">
        <v>44601</v>
      </c>
      <c r="BA49" s="2872" t="s">
        <v>63</v>
      </c>
      <c r="BB49" s="3448">
        <v>41.6</v>
      </c>
      <c r="BC49" s="3449"/>
      <c r="BD49" s="3448"/>
      <c r="BE49" s="3450"/>
      <c r="BF49" s="3451">
        <v>44602</v>
      </c>
      <c r="BG49" s="2872" t="s">
        <v>63</v>
      </c>
      <c r="BH49" s="3451">
        <v>44742</v>
      </c>
      <c r="BI49" s="2872" t="s">
        <v>63</v>
      </c>
      <c r="BJ49" s="3448">
        <v>50.53</v>
      </c>
      <c r="BK49" s="3449"/>
      <c r="BL49" s="3448"/>
      <c r="BM49" s="3450"/>
      <c r="BN49" s="3451">
        <v>44743</v>
      </c>
      <c r="BO49" s="2872" t="s">
        <v>63</v>
      </c>
      <c r="BP49" s="3451">
        <v>44804</v>
      </c>
      <c r="BQ49" s="2872" t="s">
        <v>63</v>
      </c>
      <c r="BR49" s="3448">
        <v>32.45</v>
      </c>
      <c r="BS49" s="3449"/>
      <c r="BT49" s="3448"/>
      <c r="BU49" s="3450"/>
      <c r="BV49" s="3451">
        <v>44805</v>
      </c>
      <c r="BW49" s="2872" t="s">
        <v>63</v>
      </c>
      <c r="BX49" s="3451">
        <v>44895</v>
      </c>
      <c r="BY49" s="2872" t="s">
        <v>63</v>
      </c>
      <c r="BZ49" s="3448">
        <v>35.07</v>
      </c>
      <c r="CA49" s="3449"/>
      <c r="CB49" s="3448"/>
      <c r="CC49" s="3450"/>
      <c r="CD49" s="3451">
        <v>44896</v>
      </c>
      <c r="CE49" s="2872" t="s">
        <v>63</v>
      </c>
      <c r="CF49" s="3451">
        <v>45174</v>
      </c>
      <c r="CG49" s="2872" t="s">
        <v>63</v>
      </c>
      <c r="CH49" s="3448">
        <v>35.07</v>
      </c>
      <c r="CI49" s="3449"/>
      <c r="CJ49" s="3448"/>
      <c r="CK49" s="3450"/>
      <c r="CL49" s="3451">
        <v>45175</v>
      </c>
      <c r="CM49" s="2872" t="s">
        <v>63</v>
      </c>
      <c r="CN49" s="3451">
        <v>45291</v>
      </c>
      <c r="CO49" s="2872" t="s">
        <v>63</v>
      </c>
      <c r="CP49" s="1378"/>
      <c r="CQ49" s="2137" t="s">
        <v>664</v>
      </c>
      <c r="CR49" s="517">
        <f>STRCHECKDATE(V50:CP50)</f>
      </c>
      <c r="CS49" s="506"/>
      <c r="CT49" s="506" t="str">
        <f>IF(T49="","",T49)</f>
        <v>вода</v>
      </c>
      <c r="CU49" s="506"/>
      <c r="CV49" s="506"/>
    </row>
    <row customHeight="1" ht="0.75">
      <c r="A50" s="1393" t="s">
        <v>246</v>
      </c>
      <c r="B50" s="1393" t="s">
        <v>247</v>
      </c>
      <c r="C50" s="1393" t="s">
        <v>248</v>
      </c>
      <c r="D50" s="1393" t="s">
        <v>249</v>
      </c>
      <c r="E50" s="2108"/>
      <c r="F50" s="2108"/>
      <c r="G50" s="2108"/>
      <c r="H50" s="2108"/>
      <c r="I50" s="2110"/>
      <c r="J50" s="2110"/>
      <c r="K50" s="2109"/>
      <c r="L50" s="1394"/>
      <c r="P50" s="2111"/>
      <c r="Q50" s="2111"/>
      <c r="R50" s="353"/>
      <c r="S50" s="1372"/>
      <c r="T50" s="288"/>
      <c r="U50" s="288"/>
      <c r="V50" s="320"/>
      <c r="W50" s="320"/>
      <c r="X50" s="320"/>
      <c r="Y50" s="324" t="str">
        <f>Z49&amp;"-"&amp;AB49</f>
        <v>-</v>
      </c>
      <c r="Z50" s="2113"/>
      <c r="AA50" s="1981"/>
      <c r="AB50" s="2113"/>
      <c r="AC50" s="1981"/>
      <c r="AD50" s="320"/>
      <c r="AE50" s="320"/>
      <c r="AF50" s="320"/>
      <c r="AG50" s="324" t="str">
        <f>AH49&amp;"-"&amp;AJ49</f>
        <v>44197-44377</v>
      </c>
      <c r="AH50" s="2113"/>
      <c r="AI50" s="1981"/>
      <c r="AJ50" s="2115"/>
      <c r="AK50" s="1981"/>
      <c r="AL50" s="3449"/>
      <c r="AM50" s="3449"/>
      <c r="AN50" s="3449"/>
      <c r="AO50" s="3452" t="str">
        <f>AP49&amp;"-"&amp;AR49</f>
        <v>44378-44561</v>
      </c>
      <c r="AP50" s="3453"/>
      <c r="AQ50" s="2872"/>
      <c r="AR50" s="3453"/>
      <c r="AS50" s="2872"/>
      <c r="AT50" s="3449"/>
      <c r="AU50" s="3449"/>
      <c r="AV50" s="3449"/>
      <c r="AW50" s="3452" t="str">
        <f>AX49&amp;"-"&amp;AZ49</f>
        <v>44562-44601</v>
      </c>
      <c r="AX50" s="3453"/>
      <c r="AY50" s="2872"/>
      <c r="AZ50" s="3453"/>
      <c r="BA50" s="2872"/>
      <c r="BB50" s="3449"/>
      <c r="BC50" s="3449"/>
      <c r="BD50" s="3449"/>
      <c r="BE50" s="3452" t="str">
        <f>BF49&amp;"-"&amp;BH49</f>
        <v>44602-44742</v>
      </c>
      <c r="BF50" s="3453"/>
      <c r="BG50" s="2872"/>
      <c r="BH50" s="3453"/>
      <c r="BI50" s="2872"/>
      <c r="BJ50" s="3449"/>
      <c r="BK50" s="3449"/>
      <c r="BL50" s="3449"/>
      <c r="BM50" s="3452" t="str">
        <f>BN49&amp;"-"&amp;BP49</f>
        <v>44743-44804</v>
      </c>
      <c r="BN50" s="3453"/>
      <c r="BO50" s="2872"/>
      <c r="BP50" s="3453"/>
      <c r="BQ50" s="2872"/>
      <c r="BR50" s="3449"/>
      <c r="BS50" s="3449"/>
      <c r="BT50" s="3449"/>
      <c r="BU50" s="3452" t="str">
        <f>BV49&amp;"-"&amp;BX49</f>
        <v>44805-44895</v>
      </c>
      <c r="BV50" s="3453"/>
      <c r="BW50" s="2872"/>
      <c r="BX50" s="3453"/>
      <c r="BY50" s="2872"/>
      <c r="BZ50" s="3449"/>
      <c r="CA50" s="3449"/>
      <c r="CB50" s="3449"/>
      <c r="CC50" s="3452" t="str">
        <f>CD49&amp;"-"&amp;CF49</f>
        <v>44896-45174</v>
      </c>
      <c r="CD50" s="3453"/>
      <c r="CE50" s="2872"/>
      <c r="CF50" s="3453"/>
      <c r="CG50" s="2872"/>
      <c r="CH50" s="3449"/>
      <c r="CI50" s="3449"/>
      <c r="CJ50" s="3449"/>
      <c r="CK50" s="3452" t="str">
        <f>CL49&amp;"-"&amp;CN49</f>
        <v>45175-45291</v>
      </c>
      <c r="CL50" s="3453"/>
      <c r="CM50" s="2872"/>
      <c r="CN50" s="3453"/>
      <c r="CO50" s="2872"/>
      <c r="CP50" s="1379"/>
      <c r="CQ50" s="2138"/>
      <c r="CS50" s="506"/>
      <c r="CT50" s="506" t="str">
        <f>IF(T50="","",T50)</f>
        <v/>
      </c>
      <c r="CU50" s="506"/>
      <c r="CV50" s="506"/>
    </row>
    <row customHeight="1" ht="11.25">
      <c r="A51" s="1393" t="s">
        <v>246</v>
      </c>
      <c r="B51" s="1393" t="s">
        <v>247</v>
      </c>
      <c r="C51" s="1393" t="s">
        <v>248</v>
      </c>
      <c r="D51" s="1393" t="s">
        <v>249</v>
      </c>
      <c r="E51" s="2108"/>
      <c r="F51" s="2108"/>
      <c r="G51" s="2108"/>
      <c r="H51" s="2108"/>
      <c r="I51" s="2110"/>
      <c r="J51" s="2109"/>
      <c r="K51" s="1393"/>
      <c r="L51" s="1394"/>
      <c r="P51" s="2111"/>
      <c r="Q51" s="2111"/>
      <c r="R51" s="352"/>
      <c r="S51" s="1308"/>
      <c r="T51" s="275" t="s">
        <v>626</v>
      </c>
      <c r="U51" s="367"/>
      <c r="V51" s="367"/>
      <c r="W51" s="367"/>
      <c r="X51" s="367"/>
      <c r="Y51" s="367"/>
      <c r="Z51" s="367"/>
      <c r="AA51" s="367"/>
      <c r="AB51" s="367"/>
      <c r="AC51" s="367"/>
      <c r="AD51" s="367"/>
      <c r="AE51" s="367"/>
      <c r="AF51" s="367"/>
      <c r="AG51" s="367"/>
      <c r="AH51" s="367"/>
      <c r="AI51" s="367"/>
      <c r="AJ51" s="367"/>
      <c r="AK51" s="367"/>
      <c r="AL51" s="3603"/>
      <c r="AM51" s="3604"/>
      <c r="AN51" s="3605"/>
      <c r="AO51" s="3606"/>
      <c r="AP51" s="3607"/>
      <c r="AQ51" s="3608"/>
      <c r="AR51" s="3609"/>
      <c r="AS51" s="3610"/>
      <c r="AT51" s="3611"/>
      <c r="AU51" s="3612"/>
      <c r="AV51" s="3613"/>
      <c r="AW51" s="3614"/>
      <c r="AX51" s="3615"/>
      <c r="AY51" s="3616"/>
      <c r="AZ51" s="3617"/>
      <c r="BA51" s="3618"/>
      <c r="BB51" s="3619"/>
      <c r="BC51" s="3620"/>
      <c r="BD51" s="3621"/>
      <c r="BE51" s="3622"/>
      <c r="BF51" s="3623"/>
      <c r="BG51" s="3624"/>
      <c r="BH51" s="3625"/>
      <c r="BI51" s="3626"/>
      <c r="BJ51" s="3627"/>
      <c r="BK51" s="3628"/>
      <c r="BL51" s="3629"/>
      <c r="BM51" s="3630"/>
      <c r="BN51" s="3631"/>
      <c r="BO51" s="3632"/>
      <c r="BP51" s="3633"/>
      <c r="BQ51" s="3634"/>
      <c r="BR51" s="3635"/>
      <c r="BS51" s="3636"/>
      <c r="BT51" s="3637"/>
      <c r="BU51" s="3638"/>
      <c r="BV51" s="3639"/>
      <c r="BW51" s="3640"/>
      <c r="BX51" s="3641"/>
      <c r="BY51" s="3642"/>
      <c r="BZ51" s="3643"/>
      <c r="CA51" s="3644"/>
      <c r="CB51" s="3645"/>
      <c r="CC51" s="3646"/>
      <c r="CD51" s="3647"/>
      <c r="CE51" s="3648"/>
      <c r="CF51" s="3649"/>
      <c r="CG51" s="3650"/>
      <c r="CH51" s="3651"/>
      <c r="CI51" s="3652"/>
      <c r="CJ51" s="3653"/>
      <c r="CK51" s="3654"/>
      <c r="CL51" s="3655"/>
      <c r="CM51" s="3656"/>
      <c r="CN51" s="3657"/>
      <c r="CO51" s="3658"/>
      <c r="CP51" s="319"/>
      <c r="CQ51" s="2139"/>
      <c r="CS51" s="506"/>
      <c r="CT51" s="506" t="str">
        <f>IF(T51="","",T51)</f>
        <v>Добавить вид теплоносителя (параметры теплоносителя)</v>
      </c>
      <c r="CU51" s="506"/>
      <c r="CV51" s="506"/>
    </row>
    <row customHeight="1" ht="11.25">
      <c r="A52" s="1393" t="s">
        <v>246</v>
      </c>
      <c r="B52" s="1393" t="s">
        <v>247</v>
      </c>
      <c r="C52" s="1393" t="s">
        <v>248</v>
      </c>
      <c r="D52" s="1393" t="s">
        <v>249</v>
      </c>
      <c r="E52" s="2108"/>
      <c r="F52" s="2108"/>
      <c r="G52" s="2108"/>
      <c r="H52" s="2108"/>
      <c r="I52" s="2109"/>
      <c r="J52" s="1393"/>
      <c r="K52" s="1393"/>
      <c r="L52" s="1394"/>
      <c r="P52" s="2111"/>
      <c r="Q52" s="1361"/>
      <c r="R52" s="352"/>
      <c r="S52" s="1308"/>
      <c r="T52" s="364" t="s">
        <v>627</v>
      </c>
      <c r="U52" s="367"/>
      <c r="V52" s="367"/>
      <c r="W52" s="367"/>
      <c r="X52" s="367"/>
      <c r="Y52" s="367"/>
      <c r="Z52" s="367"/>
      <c r="AA52" s="367"/>
      <c r="AB52" s="367"/>
      <c r="AC52" s="366"/>
      <c r="AD52" s="367"/>
      <c r="AE52" s="367"/>
      <c r="AF52" s="367"/>
      <c r="AG52" s="367"/>
      <c r="AH52" s="367"/>
      <c r="AI52" s="367"/>
      <c r="AJ52" s="367"/>
      <c r="AK52" s="366"/>
      <c r="AL52" s="3659"/>
      <c r="AM52" s="3660"/>
      <c r="AN52" s="3661"/>
      <c r="AO52" s="3662"/>
      <c r="AP52" s="3663"/>
      <c r="AQ52" s="3664"/>
      <c r="AR52" s="3665"/>
      <c r="AS52" s="3666"/>
      <c r="AT52" s="3667"/>
      <c r="AU52" s="3668"/>
      <c r="AV52" s="3669"/>
      <c r="AW52" s="3670"/>
      <c r="AX52" s="3671"/>
      <c r="AY52" s="3672"/>
      <c r="AZ52" s="3673"/>
      <c r="BA52" s="3674"/>
      <c r="BB52" s="3675"/>
      <c r="BC52" s="3676"/>
      <c r="BD52" s="3677"/>
      <c r="BE52" s="3678"/>
      <c r="BF52" s="3679"/>
      <c r="BG52" s="3680"/>
      <c r="BH52" s="3681"/>
      <c r="BI52" s="3682"/>
      <c r="BJ52" s="3683"/>
      <c r="BK52" s="3684"/>
      <c r="BL52" s="3685"/>
      <c r="BM52" s="3686"/>
      <c r="BN52" s="3687"/>
      <c r="BO52" s="3688"/>
      <c r="BP52" s="3689"/>
      <c r="BQ52" s="3690"/>
      <c r="BR52" s="3691"/>
      <c r="BS52" s="3692"/>
      <c r="BT52" s="3693"/>
      <c r="BU52" s="3694"/>
      <c r="BV52" s="3695"/>
      <c r="BW52" s="3696"/>
      <c r="BX52" s="3697"/>
      <c r="BY52" s="3698"/>
      <c r="BZ52" s="3699"/>
      <c r="CA52" s="3700"/>
      <c r="CB52" s="3701"/>
      <c r="CC52" s="3702"/>
      <c r="CD52" s="3703"/>
      <c r="CE52" s="3704"/>
      <c r="CF52" s="3705"/>
      <c r="CG52" s="3706"/>
      <c r="CH52" s="3707"/>
      <c r="CI52" s="3708"/>
      <c r="CJ52" s="3709"/>
      <c r="CK52" s="3710"/>
      <c r="CL52" s="3711"/>
      <c r="CM52" s="3712"/>
      <c r="CN52" s="3713"/>
      <c r="CO52" s="3714"/>
      <c r="CP52" s="367"/>
      <c r="CQ52" s="291"/>
      <c r="CS52" s="506"/>
      <c r="CT52" s="506" t="str">
        <f>IF(T52="","",T52)</f>
        <v>Добавить группу потребителей</v>
      </c>
      <c r="CU52" s="506"/>
      <c r="CV52" s="506"/>
    </row>
    <row customHeight="1" ht="0">
      <c r="A53" s="1393" t="s">
        <v>246</v>
      </c>
      <c r="B53" s="1393" t="s">
        <v>247</v>
      </c>
      <c r="C53" s="1393" t="s">
        <v>248</v>
      </c>
      <c r="D53" s="1393" t="s">
        <v>249</v>
      </c>
      <c r="E53" s="2108"/>
      <c r="F53" s="2108"/>
      <c r="G53" s="2108"/>
      <c r="H53" s="2107"/>
      <c r="I53" s="1393"/>
      <c r="J53" s="1393"/>
      <c r="K53" s="1393"/>
      <c r="L53" s="1394"/>
      <c r="M53" s="1395"/>
      <c r="N53" s="1395"/>
      <c r="O53" s="543"/>
      <c r="P53" s="356"/>
      <c r="Q53" s="376"/>
      <c r="R53" s="351"/>
      <c r="S53" s="1416"/>
      <c r="T53" s="1417"/>
      <c r="U53" s="1418"/>
      <c r="V53" s="1418"/>
      <c r="W53" s="1418"/>
      <c r="X53" s="1418"/>
      <c r="Y53" s="1418"/>
      <c r="Z53" s="1418"/>
      <c r="AA53" s="1418"/>
      <c r="AB53" s="1418"/>
      <c r="AC53" s="1418"/>
      <c r="AD53" s="1418"/>
      <c r="AE53" s="1418"/>
      <c r="AF53" s="1418"/>
      <c r="AG53" s="1418"/>
      <c r="AH53" s="1418"/>
      <c r="AI53" s="1418"/>
      <c r="AJ53" s="1418"/>
      <c r="AK53" s="1418"/>
      <c r="AL53" s="3569"/>
      <c r="AM53" s="3569"/>
      <c r="AN53" s="3569"/>
      <c r="AO53" s="3569"/>
      <c r="AP53" s="3569"/>
      <c r="AQ53" s="3569"/>
      <c r="AR53" s="3569"/>
      <c r="AS53" s="3569"/>
      <c r="AT53" s="3569"/>
      <c r="AU53" s="3569"/>
      <c r="AV53" s="3569"/>
      <c r="AW53" s="3569"/>
      <c r="AX53" s="3569"/>
      <c r="AY53" s="3569"/>
      <c r="AZ53" s="3569"/>
      <c r="BA53" s="3569"/>
      <c r="BB53" s="3569"/>
      <c r="BC53" s="3569"/>
      <c r="BD53" s="3569"/>
      <c r="BE53" s="3569"/>
      <c r="BF53" s="3569"/>
      <c r="BG53" s="3569"/>
      <c r="BH53" s="3569"/>
      <c r="BI53" s="3569"/>
      <c r="BJ53" s="3569"/>
      <c r="BK53" s="3569"/>
      <c r="BL53" s="3569"/>
      <c r="BM53" s="3569"/>
      <c r="BN53" s="3569"/>
      <c r="BO53" s="3569"/>
      <c r="BP53" s="3569"/>
      <c r="BQ53" s="3569"/>
      <c r="BR53" s="3569"/>
      <c r="BS53" s="3569"/>
      <c r="BT53" s="3569"/>
      <c r="BU53" s="3569"/>
      <c r="BV53" s="3569"/>
      <c r="BW53" s="3569"/>
      <c r="BX53" s="3569"/>
      <c r="BY53" s="3569"/>
      <c r="BZ53" s="3569"/>
      <c r="CA53" s="3569"/>
      <c r="CB53" s="3569"/>
      <c r="CC53" s="3569"/>
      <c r="CD53" s="3569"/>
      <c r="CE53" s="3569"/>
      <c r="CF53" s="3569"/>
      <c r="CG53" s="3569"/>
      <c r="CH53" s="3569"/>
      <c r="CI53" s="3569"/>
      <c r="CJ53" s="3569"/>
      <c r="CK53" s="3569"/>
      <c r="CL53" s="3569"/>
      <c r="CM53" s="3569"/>
      <c r="CN53" s="3569"/>
      <c r="CO53" s="3569"/>
      <c r="CP53" s="1418"/>
      <c r="CQ53" s="1419"/>
      <c r="CS53" s="506"/>
      <c r="CT53" s="506" t="str">
        <f>IF(T53="","",T53)</f>
        <v/>
      </c>
      <c r="CU53" s="506"/>
      <c r="CV53" s="506"/>
    </row>
    <row s="3715" customFormat="1" customHeight="1" ht="21">
      <c r="A54" s="3716"/>
      <c r="B54" s="3716"/>
      <c r="C54" s="3716"/>
      <c r="D54" s="3716" t="s">
        <v>251</v>
      </c>
      <c r="E54" s="3717"/>
      <c r="F54" s="3717"/>
      <c r="G54" s="3717"/>
      <c r="H54" s="3718" t="s">
        <v>104</v>
      </c>
      <c r="I54" s="3716"/>
      <c r="J54" s="3716"/>
      <c r="K54" s="3716"/>
      <c r="L54" s="3719"/>
      <c r="M54" s="3720"/>
      <c r="N54" s="3720"/>
      <c r="O54" s="3720"/>
      <c r="P54" s="3721"/>
      <c r="Q54" s="3722"/>
      <c r="R54" s="3723"/>
      <c r="S54" s="3724" t="str">
        <f>INDEX(PT_DIFFERENTIATION_NUM_IST_TE,MATCH(D54,PT_DIFFERENTIATION_IST_TE_ID,0))</f>
        <v>1.1.1.2</v>
      </c>
      <c r="T54" s="3725" t="s">
        <v>616</v>
      </c>
      <c r="U54" s="3726"/>
      <c r="V54" s="3432"/>
      <c r="W54" s="3433"/>
      <c r="X54" s="3433"/>
      <c r="Y54" s="3433"/>
      <c r="Z54" s="3433"/>
      <c r="AA54" s="3433"/>
      <c r="AB54" s="3433"/>
      <c r="AC54" s="3434"/>
      <c r="AD54" s="3432" t="str">
        <f>INDEX(PT_DIFFERENTIATION_IST_TE,MATCH(D54,PT_DIFFERENTIATION_IST_TE_ID,0))</f>
        <v>г.о. город-герой Мурманск (кроме п.Росляково и без транспортировки по сетям АО "Звездочка" филиал "35 СРЗ")</v>
      </c>
      <c r="AE54" s="3433"/>
      <c r="AF54" s="3433"/>
      <c r="AG54" s="3433"/>
      <c r="AH54" s="3433"/>
      <c r="AI54" s="3433"/>
      <c r="AJ54" s="3433"/>
      <c r="AK54" s="3433"/>
      <c r="AL54" s="3432"/>
      <c r="AM54" s="3433"/>
      <c r="AN54" s="3433"/>
      <c r="AO54" s="3433"/>
      <c r="AP54" s="3433"/>
      <c r="AQ54" s="3433"/>
      <c r="AR54" s="3433"/>
      <c r="AS54" s="3434"/>
      <c r="AT54" s="3432"/>
      <c r="AU54" s="3433"/>
      <c r="AV54" s="3433"/>
      <c r="AW54" s="3433"/>
      <c r="AX54" s="3433"/>
      <c r="AY54" s="3433"/>
      <c r="AZ54" s="3433"/>
      <c r="BA54" s="3434"/>
      <c r="BB54" s="3432"/>
      <c r="BC54" s="3433"/>
      <c r="BD54" s="3433"/>
      <c r="BE54" s="3433"/>
      <c r="BF54" s="3433"/>
      <c r="BG54" s="3433"/>
      <c r="BH54" s="3433"/>
      <c r="BI54" s="3434"/>
      <c r="BJ54" s="3432"/>
      <c r="BK54" s="3433"/>
      <c r="BL54" s="3433"/>
      <c r="BM54" s="3433"/>
      <c r="BN54" s="3433"/>
      <c r="BO54" s="3433"/>
      <c r="BP54" s="3433"/>
      <c r="BQ54" s="3434"/>
      <c r="BR54" s="3432"/>
      <c r="BS54" s="3433"/>
      <c r="BT54" s="3433"/>
      <c r="BU54" s="3433"/>
      <c r="BV54" s="3433"/>
      <c r="BW54" s="3433"/>
      <c r="BX54" s="3433"/>
      <c r="BY54" s="3434"/>
      <c r="BZ54" s="3432"/>
      <c r="CA54" s="3433"/>
      <c r="CB54" s="3433"/>
      <c r="CC54" s="3433"/>
      <c r="CD54" s="3433"/>
      <c r="CE54" s="3433"/>
      <c r="CF54" s="3433"/>
      <c r="CG54" s="3434"/>
      <c r="CH54" s="3432"/>
      <c r="CI54" s="3433"/>
      <c r="CJ54" s="3433"/>
      <c r="CK54" s="3433"/>
      <c r="CL54" s="3433"/>
      <c r="CM54" s="3433"/>
      <c r="CN54" s="3433"/>
      <c r="CO54" s="3434"/>
      <c r="CP54" s="3434"/>
      <c r="CQ54" s="3727" t="s">
        <v>617</v>
      </c>
      <c r="CR54" s="3581"/>
      <c r="CS54" s="3728"/>
      <c r="CT54" s="3728" t="str">
        <f>IF(T54="","",T54)</f>
        <v>Источник тепловой энергии  </v>
      </c>
      <c r="CU54" s="3728"/>
      <c r="CV54" s="3728"/>
    </row>
    <row s="3729" customFormat="1" customHeight="1" ht="14.25">
      <c r="A55" s="3716"/>
      <c r="B55" s="3716"/>
      <c r="C55" s="3716"/>
      <c r="D55" s="3716"/>
      <c r="E55" s="3717"/>
      <c r="F55" s="3717"/>
      <c r="G55" s="3717"/>
      <c r="H55" s="3717">
        <v>1</v>
      </c>
      <c r="I55" s="3730" t="str">
        <f>S54&amp;".1"</f>
        <v>1.1.1.2.1</v>
      </c>
      <c r="J55" s="3716"/>
      <c r="K55" s="3716"/>
      <c r="L55" s="3719" t="s">
        <v>618</v>
      </c>
      <c r="M55" s="3573"/>
      <c r="N55" s="3731"/>
      <c r="O55" s="3731"/>
      <c r="P55" s="3732">
        <v>1</v>
      </c>
      <c r="Q55" s="3732"/>
      <c r="R55" s="3733"/>
      <c r="S55" s="3734"/>
      <c r="T55" s="3735"/>
      <c r="U55" s="3736"/>
      <c r="V55" s="3441"/>
      <c r="W55" s="3442"/>
      <c r="X55" s="3442"/>
      <c r="Y55" s="3442"/>
      <c r="Z55" s="3442"/>
      <c r="AA55" s="3442"/>
      <c r="AB55" s="3442"/>
      <c r="AC55" s="3443"/>
      <c r="AD55" s="3441"/>
      <c r="AE55" s="3442"/>
      <c r="AF55" s="3442"/>
      <c r="AG55" s="3442"/>
      <c r="AH55" s="3442"/>
      <c r="AI55" s="3442"/>
      <c r="AJ55" s="3442"/>
      <c r="AK55" s="3442"/>
      <c r="AL55" s="3441"/>
      <c r="AM55" s="3442"/>
      <c r="AN55" s="3442"/>
      <c r="AO55" s="3442"/>
      <c r="AP55" s="3442"/>
      <c r="AQ55" s="3442"/>
      <c r="AR55" s="3442"/>
      <c r="AS55" s="3443"/>
      <c r="AT55" s="3441"/>
      <c r="AU55" s="3442"/>
      <c r="AV55" s="3442"/>
      <c r="AW55" s="3442"/>
      <c r="AX55" s="3442"/>
      <c r="AY55" s="3442"/>
      <c r="AZ55" s="3442"/>
      <c r="BA55" s="3443"/>
      <c r="BB55" s="3441"/>
      <c r="BC55" s="3442"/>
      <c r="BD55" s="3442"/>
      <c r="BE55" s="3442"/>
      <c r="BF55" s="3442"/>
      <c r="BG55" s="3442"/>
      <c r="BH55" s="3442"/>
      <c r="BI55" s="3443"/>
      <c r="BJ55" s="3441"/>
      <c r="BK55" s="3442"/>
      <c r="BL55" s="3442"/>
      <c r="BM55" s="3442"/>
      <c r="BN55" s="3442"/>
      <c r="BO55" s="3442"/>
      <c r="BP55" s="3442"/>
      <c r="BQ55" s="3443"/>
      <c r="BR55" s="3441"/>
      <c r="BS55" s="3442"/>
      <c r="BT55" s="3442"/>
      <c r="BU55" s="3442"/>
      <c r="BV55" s="3442"/>
      <c r="BW55" s="3442"/>
      <c r="BX55" s="3442"/>
      <c r="BY55" s="3443"/>
      <c r="BZ55" s="3441"/>
      <c r="CA55" s="3442"/>
      <c r="CB55" s="3442"/>
      <c r="CC55" s="3442"/>
      <c r="CD55" s="3442"/>
      <c r="CE55" s="3442"/>
      <c r="CF55" s="3442"/>
      <c r="CG55" s="3443"/>
      <c r="CH55" s="3441"/>
      <c r="CI55" s="3442"/>
      <c r="CJ55" s="3442"/>
      <c r="CK55" s="3442"/>
      <c r="CL55" s="3442"/>
      <c r="CM55" s="3442"/>
      <c r="CN55" s="3442"/>
      <c r="CO55" s="3443"/>
      <c r="CP55" s="3443"/>
      <c r="CQ55" s="3737"/>
      <c r="CR55" s="3581"/>
      <c r="CS55" s="3728"/>
      <c r="CT55" s="3728" t="str">
        <f>IF(T55="","",T55)</f>
        <v/>
      </c>
      <c r="CU55" s="3728"/>
      <c r="CV55" s="3728"/>
    </row>
    <row s="3738" customFormat="1" customHeight="1" ht="21">
      <c r="A56" s="3716"/>
      <c r="B56" s="3716"/>
      <c r="C56" s="3716"/>
      <c r="D56" s="3716"/>
      <c r="E56" s="3717"/>
      <c r="F56" s="3717"/>
      <c r="G56" s="3717"/>
      <c r="H56" s="3717">
        <v>1</v>
      </c>
      <c r="I56" s="3739"/>
      <c r="J56" s="3730" t="str">
        <f>I55&amp;".1"</f>
        <v>1.1.1.2.1.1</v>
      </c>
      <c r="K56" s="3716"/>
      <c r="L56" s="3719" t="s">
        <v>621</v>
      </c>
      <c r="M56" s="3573"/>
      <c r="N56" s="3573"/>
      <c r="O56" s="3731"/>
      <c r="P56" s="3732"/>
      <c r="Q56" s="3732">
        <v>1</v>
      </c>
      <c r="R56" s="3740"/>
      <c r="S56" s="3724" t="str">
        <f>$J56</f>
        <v>1.1.1.2.1.1</v>
      </c>
      <c r="T56" s="3741" t="s">
        <v>622</v>
      </c>
      <c r="U56" s="3726"/>
      <c r="V56" s="3445"/>
      <c r="W56" s="3446"/>
      <c r="X56" s="3446"/>
      <c r="Y56" s="3446"/>
      <c r="Z56" s="3446"/>
      <c r="AA56" s="3446"/>
      <c r="AB56" s="3446"/>
      <c r="AC56" s="3447"/>
      <c r="AD56" s="3445" t="s">
        <v>662</v>
      </c>
      <c r="AE56" s="3446"/>
      <c r="AF56" s="3446"/>
      <c r="AG56" s="3446"/>
      <c r="AH56" s="3446"/>
      <c r="AI56" s="3446"/>
      <c r="AJ56" s="3446"/>
      <c r="AK56" s="3446"/>
      <c r="AL56" s="3445"/>
      <c r="AM56" s="3446"/>
      <c r="AN56" s="3446"/>
      <c r="AO56" s="3446"/>
      <c r="AP56" s="3446"/>
      <c r="AQ56" s="3446"/>
      <c r="AR56" s="3446"/>
      <c r="AS56" s="3447"/>
      <c r="AT56" s="3445"/>
      <c r="AU56" s="3446"/>
      <c r="AV56" s="3446"/>
      <c r="AW56" s="3446"/>
      <c r="AX56" s="3446"/>
      <c r="AY56" s="3446"/>
      <c r="AZ56" s="3446"/>
      <c r="BA56" s="3447"/>
      <c r="BB56" s="3445"/>
      <c r="BC56" s="3446"/>
      <c r="BD56" s="3446"/>
      <c r="BE56" s="3446"/>
      <c r="BF56" s="3446"/>
      <c r="BG56" s="3446"/>
      <c r="BH56" s="3446"/>
      <c r="BI56" s="3447"/>
      <c r="BJ56" s="3445"/>
      <c r="BK56" s="3446"/>
      <c r="BL56" s="3446"/>
      <c r="BM56" s="3446"/>
      <c r="BN56" s="3446"/>
      <c r="BO56" s="3446"/>
      <c r="BP56" s="3446"/>
      <c r="BQ56" s="3447"/>
      <c r="BR56" s="3445"/>
      <c r="BS56" s="3446"/>
      <c r="BT56" s="3446"/>
      <c r="BU56" s="3446"/>
      <c r="BV56" s="3446"/>
      <c r="BW56" s="3446"/>
      <c r="BX56" s="3446"/>
      <c r="BY56" s="3447"/>
      <c r="BZ56" s="3445"/>
      <c r="CA56" s="3446"/>
      <c r="CB56" s="3446"/>
      <c r="CC56" s="3446"/>
      <c r="CD56" s="3446"/>
      <c r="CE56" s="3446"/>
      <c r="CF56" s="3446"/>
      <c r="CG56" s="3447"/>
      <c r="CH56" s="3445"/>
      <c r="CI56" s="3446"/>
      <c r="CJ56" s="3446"/>
      <c r="CK56" s="3446"/>
      <c r="CL56" s="3446"/>
      <c r="CM56" s="3446"/>
      <c r="CN56" s="3446"/>
      <c r="CO56" s="3447"/>
      <c r="CP56" s="3447"/>
      <c r="CQ56" s="3727" t="s">
        <v>623</v>
      </c>
      <c r="CR56" s="3581"/>
      <c r="CS56" s="3728"/>
      <c r="CT56" s="3728" t="str">
        <f>IF(T56="","",T56)</f>
        <v>Группа потребителей</v>
      </c>
      <c r="CU56" s="3728"/>
      <c r="CV56" s="3728"/>
    </row>
    <row s="3742" customFormat="1" customHeight="1" ht="21">
      <c r="A57" s="3716"/>
      <c r="B57" s="3716"/>
      <c r="C57" s="3716"/>
      <c r="D57" s="3716"/>
      <c r="E57" s="3717"/>
      <c r="F57" s="3717"/>
      <c r="G57" s="3717"/>
      <c r="H57" s="3717">
        <v>1</v>
      </c>
      <c r="I57" s="3739"/>
      <c r="J57" s="3739"/>
      <c r="K57" s="3730" t="str">
        <f>J56&amp;".1"</f>
        <v>1.1.1.2.1.1.1</v>
      </c>
      <c r="L57" s="3719" t="s">
        <v>624</v>
      </c>
      <c r="M57" s="3573"/>
      <c r="N57" s="3573"/>
      <c r="O57" s="3573"/>
      <c r="P57" s="3732"/>
      <c r="Q57" s="3732"/>
      <c r="R57" s="3740">
        <v>1</v>
      </c>
      <c r="S57" s="3724" t="str">
        <f>$K57</f>
        <v>1.1.1.2.1.1.1</v>
      </c>
      <c r="T57" s="3743" t="s">
        <v>663</v>
      </c>
      <c r="U57" s="3726"/>
      <c r="V57" s="3448"/>
      <c r="W57" s="3449"/>
      <c r="X57" s="3448"/>
      <c r="Y57" s="3450"/>
      <c r="Z57" s="3451"/>
      <c r="AA57" s="2872" t="s">
        <v>63</v>
      </c>
      <c r="AB57" s="3451"/>
      <c r="AC57" s="2872" t="s">
        <v>63</v>
      </c>
      <c r="AD57" s="3448">
        <v>28.25</v>
      </c>
      <c r="AE57" s="3449"/>
      <c r="AF57" s="3448"/>
      <c r="AG57" s="3450"/>
      <c r="AH57" s="3451">
        <v>44197</v>
      </c>
      <c r="AI57" s="2872" t="s">
        <v>63</v>
      </c>
      <c r="AJ57" s="3451">
        <v>44377</v>
      </c>
      <c r="AK57" s="2872" t="s">
        <v>63</v>
      </c>
      <c r="AL57" s="3448">
        <v>34.35</v>
      </c>
      <c r="AM57" s="3449"/>
      <c r="AN57" s="3448"/>
      <c r="AO57" s="3450"/>
      <c r="AP57" s="3451">
        <v>44378</v>
      </c>
      <c r="AQ57" s="2872" t="s">
        <v>63</v>
      </c>
      <c r="AR57" s="3451">
        <v>44561</v>
      </c>
      <c r="AS57" s="2872" t="s">
        <v>63</v>
      </c>
      <c r="AT57" s="3448">
        <v>32.45</v>
      </c>
      <c r="AU57" s="3449"/>
      <c r="AV57" s="3448"/>
      <c r="AW57" s="3450"/>
      <c r="AX57" s="3451">
        <v>44562</v>
      </c>
      <c r="AY57" s="2872" t="s">
        <v>63</v>
      </c>
      <c r="AZ57" s="3451">
        <v>44601</v>
      </c>
      <c r="BA57" s="2872" t="s">
        <v>63</v>
      </c>
      <c r="BB57" s="3448">
        <v>32.45</v>
      </c>
      <c r="BC57" s="3449"/>
      <c r="BD57" s="3448"/>
      <c r="BE57" s="3450"/>
      <c r="BF57" s="3451">
        <v>44602</v>
      </c>
      <c r="BG57" s="2872" t="s">
        <v>63</v>
      </c>
      <c r="BH57" s="3451">
        <v>44742</v>
      </c>
      <c r="BI57" s="2872" t="s">
        <v>63</v>
      </c>
      <c r="BJ57" s="3448">
        <v>32.45</v>
      </c>
      <c r="BK57" s="3449"/>
      <c r="BL57" s="3448"/>
      <c r="BM57" s="3450"/>
      <c r="BN57" s="3451">
        <v>44743</v>
      </c>
      <c r="BO57" s="2872" t="s">
        <v>63</v>
      </c>
      <c r="BP57" s="3451">
        <v>44804</v>
      </c>
      <c r="BQ57" s="2872" t="s">
        <v>63</v>
      </c>
      <c r="BR57" s="3448">
        <v>32.45</v>
      </c>
      <c r="BS57" s="3449"/>
      <c r="BT57" s="3448"/>
      <c r="BU57" s="3450"/>
      <c r="BV57" s="3451">
        <v>44805</v>
      </c>
      <c r="BW57" s="2872" t="s">
        <v>63</v>
      </c>
      <c r="BX57" s="3451">
        <v>44895</v>
      </c>
      <c r="BY57" s="2872" t="s">
        <v>63</v>
      </c>
      <c r="BZ57" s="3448">
        <v>35.07</v>
      </c>
      <c r="CA57" s="3449"/>
      <c r="CB57" s="3448"/>
      <c r="CC57" s="3450"/>
      <c r="CD57" s="3451">
        <v>44896</v>
      </c>
      <c r="CE57" s="2872" t="s">
        <v>63</v>
      </c>
      <c r="CF57" s="3451">
        <v>45174</v>
      </c>
      <c r="CG57" s="2872" t="s">
        <v>63</v>
      </c>
      <c r="CH57" s="3448">
        <v>35.07</v>
      </c>
      <c r="CI57" s="3449"/>
      <c r="CJ57" s="3448"/>
      <c r="CK57" s="3450"/>
      <c r="CL57" s="3451">
        <v>45175</v>
      </c>
      <c r="CM57" s="2872" t="s">
        <v>63</v>
      </c>
      <c r="CN57" s="3451">
        <v>45291</v>
      </c>
      <c r="CO57" s="2872" t="s">
        <v>63</v>
      </c>
      <c r="CP57" s="3449"/>
      <c r="CQ57" s="3744" t="s">
        <v>625</v>
      </c>
      <c r="CR57" s="3581">
        <f>STRCHECKDATE(V58:CP58)</f>
      </c>
      <c r="CS57" s="3728"/>
      <c r="CT57" s="3728" t="str">
        <f>IF(T57="","",T57)</f>
        <v>вода</v>
      </c>
      <c r="CU57" s="3728"/>
      <c r="CV57" s="3728"/>
    </row>
    <row s="3745" customFormat="1" customHeight="1" ht="0.75">
      <c r="A58" s="3716"/>
      <c r="B58" s="3716"/>
      <c r="C58" s="3716"/>
      <c r="D58" s="3716"/>
      <c r="E58" s="3717"/>
      <c r="F58" s="3717"/>
      <c r="G58" s="3717"/>
      <c r="H58" s="3717">
        <v>1</v>
      </c>
      <c r="I58" s="3739"/>
      <c r="J58" s="3739"/>
      <c r="K58" s="3730"/>
      <c r="L58" s="3719"/>
      <c r="M58" s="3573"/>
      <c r="N58" s="3573"/>
      <c r="O58" s="3573"/>
      <c r="P58" s="3732"/>
      <c r="Q58" s="3732"/>
      <c r="R58" s="3740"/>
      <c r="S58" s="3746"/>
      <c r="T58" s="3726"/>
      <c r="U58" s="3726"/>
      <c r="V58" s="3449"/>
      <c r="W58" s="3449"/>
      <c r="X58" s="3449"/>
      <c r="Y58" s="3452" t="str">
        <f>Z57&amp;"-"&amp;AB57</f>
        <v>-</v>
      </c>
      <c r="Z58" s="3453"/>
      <c r="AA58" s="2872"/>
      <c r="AB58" s="3453"/>
      <c r="AC58" s="2872"/>
      <c r="AD58" s="3449"/>
      <c r="AE58" s="3449"/>
      <c r="AF58" s="3449"/>
      <c r="AG58" s="3452" t="str">
        <f>AH57&amp;"-"&amp;AJ57</f>
        <v>44197-44377</v>
      </c>
      <c r="AH58" s="3453"/>
      <c r="AI58" s="2872"/>
      <c r="AJ58" s="3453"/>
      <c r="AK58" s="2872"/>
      <c r="AL58" s="3449"/>
      <c r="AM58" s="3449"/>
      <c r="AN58" s="3449"/>
      <c r="AO58" s="3452" t="str">
        <f>AP57&amp;"-"&amp;AR57</f>
        <v>44378-44561</v>
      </c>
      <c r="AP58" s="3453"/>
      <c r="AQ58" s="2872"/>
      <c r="AR58" s="3453"/>
      <c r="AS58" s="2872"/>
      <c r="AT58" s="3449"/>
      <c r="AU58" s="3449"/>
      <c r="AV58" s="3449"/>
      <c r="AW58" s="3452" t="str">
        <f>AX57&amp;"-"&amp;AZ57</f>
        <v>44562-44601</v>
      </c>
      <c r="AX58" s="3453"/>
      <c r="AY58" s="2872"/>
      <c r="AZ58" s="3453"/>
      <c r="BA58" s="2872"/>
      <c r="BB58" s="3449"/>
      <c r="BC58" s="3449"/>
      <c r="BD58" s="3449"/>
      <c r="BE58" s="3452" t="str">
        <f>BF57&amp;"-"&amp;BH57</f>
        <v>44602-44742</v>
      </c>
      <c r="BF58" s="3453"/>
      <c r="BG58" s="2872"/>
      <c r="BH58" s="3453"/>
      <c r="BI58" s="2872"/>
      <c r="BJ58" s="3449"/>
      <c r="BK58" s="3449"/>
      <c r="BL58" s="3449"/>
      <c r="BM58" s="3452" t="str">
        <f>BN57&amp;"-"&amp;BP57</f>
        <v>44743-44804</v>
      </c>
      <c r="BN58" s="3453"/>
      <c r="BO58" s="2872"/>
      <c r="BP58" s="3453"/>
      <c r="BQ58" s="2872"/>
      <c r="BR58" s="3449"/>
      <c r="BS58" s="3449"/>
      <c r="BT58" s="3449"/>
      <c r="BU58" s="3452" t="str">
        <f>BV57&amp;"-"&amp;BX57</f>
        <v>44805-44895</v>
      </c>
      <c r="BV58" s="3453"/>
      <c r="BW58" s="2872"/>
      <c r="BX58" s="3453"/>
      <c r="BY58" s="2872"/>
      <c r="BZ58" s="3449"/>
      <c r="CA58" s="3449"/>
      <c r="CB58" s="3449"/>
      <c r="CC58" s="3452" t="str">
        <f>CD57&amp;"-"&amp;CF57</f>
        <v>44896-45174</v>
      </c>
      <c r="CD58" s="3453"/>
      <c r="CE58" s="2872"/>
      <c r="CF58" s="3453"/>
      <c r="CG58" s="2872"/>
      <c r="CH58" s="3449"/>
      <c r="CI58" s="3449"/>
      <c r="CJ58" s="3449"/>
      <c r="CK58" s="3452" t="str">
        <f>CL57&amp;"-"&amp;CN57</f>
        <v>45175-45291</v>
      </c>
      <c r="CL58" s="3453"/>
      <c r="CM58" s="2872"/>
      <c r="CN58" s="3453"/>
      <c r="CO58" s="2872"/>
      <c r="CP58" s="3449"/>
      <c r="CQ58" s="3747"/>
      <c r="CR58" s="3581"/>
      <c r="CS58" s="3728"/>
      <c r="CT58" s="3728" t="str">
        <f>IF(T58="","",T58)</f>
        <v/>
      </c>
      <c r="CU58" s="3728"/>
      <c r="CV58" s="3728"/>
    </row>
    <row s="3748" customFormat="1" customHeight="1" ht="15">
      <c r="A59" s="3716"/>
      <c r="B59" s="3716"/>
      <c r="C59" s="3716"/>
      <c r="D59" s="3716"/>
      <c r="E59" s="3717"/>
      <c r="F59" s="3717"/>
      <c r="G59" s="3717"/>
      <c r="H59" s="3717">
        <v>1</v>
      </c>
      <c r="I59" s="3739"/>
      <c r="J59" s="3730"/>
      <c r="K59" s="3716"/>
      <c r="L59" s="3719"/>
      <c r="M59" s="3573"/>
      <c r="N59" s="3573"/>
      <c r="O59" s="3731"/>
      <c r="P59" s="3732"/>
      <c r="Q59" s="3732"/>
      <c r="R59" s="3733"/>
      <c r="S59" s="3749"/>
      <c r="T59" s="3750" t="s">
        <v>626</v>
      </c>
      <c r="U59" s="3751"/>
      <c r="V59" s="3752"/>
      <c r="W59" s="3753"/>
      <c r="X59" s="3754"/>
      <c r="Y59" s="3755"/>
      <c r="Z59" s="3756"/>
      <c r="AA59" s="3757"/>
      <c r="AB59" s="3758"/>
      <c r="AC59" s="3759"/>
      <c r="AD59" s="3760"/>
      <c r="AE59" s="3761"/>
      <c r="AF59" s="3762"/>
      <c r="AG59" s="3763"/>
      <c r="AH59" s="3764"/>
      <c r="AI59" s="3765"/>
      <c r="AJ59" s="3766"/>
      <c r="AK59" s="3767"/>
      <c r="AL59" s="3768"/>
      <c r="AM59" s="3769"/>
      <c r="AN59" s="3770"/>
      <c r="AO59" s="3771"/>
      <c r="AP59" s="3772"/>
      <c r="AQ59" s="3773"/>
      <c r="AR59" s="3774"/>
      <c r="AS59" s="3775"/>
      <c r="AT59" s="3776"/>
      <c r="AU59" s="3777"/>
      <c r="AV59" s="3778"/>
      <c r="AW59" s="3779"/>
      <c r="AX59" s="3780"/>
      <c r="AY59" s="3781"/>
      <c r="AZ59" s="3782"/>
      <c r="BA59" s="3783"/>
      <c r="BB59" s="3784"/>
      <c r="BC59" s="3785"/>
      <c r="BD59" s="3786"/>
      <c r="BE59" s="3787"/>
      <c r="BF59" s="3788"/>
      <c r="BG59" s="3789"/>
      <c r="BH59" s="3790"/>
      <c r="BI59" s="3791"/>
      <c r="BJ59" s="3792"/>
      <c r="BK59" s="3793"/>
      <c r="BL59" s="3794"/>
      <c r="BM59" s="3795"/>
      <c r="BN59" s="3796"/>
      <c r="BO59" s="3797"/>
      <c r="BP59" s="3798"/>
      <c r="BQ59" s="3799"/>
      <c r="BR59" s="3800"/>
      <c r="BS59" s="3801"/>
      <c r="BT59" s="3802"/>
      <c r="BU59" s="3803"/>
      <c r="BV59" s="3804"/>
      <c r="BW59" s="3805"/>
      <c r="BX59" s="3806"/>
      <c r="BY59" s="3807"/>
      <c r="BZ59" s="3808"/>
      <c r="CA59" s="3809"/>
      <c r="CB59" s="3810"/>
      <c r="CC59" s="3811"/>
      <c r="CD59" s="3812"/>
      <c r="CE59" s="3813"/>
      <c r="CF59" s="3814"/>
      <c r="CG59" s="3815"/>
      <c r="CH59" s="3816"/>
      <c r="CI59" s="3817"/>
      <c r="CJ59" s="3818"/>
      <c r="CK59" s="3819"/>
      <c r="CL59" s="3820"/>
      <c r="CM59" s="3821"/>
      <c r="CN59" s="3822"/>
      <c r="CO59" s="3823"/>
      <c r="CP59" s="3824"/>
      <c r="CQ59" s="3825"/>
      <c r="CR59" s="3581"/>
      <c r="CS59" s="3728"/>
      <c r="CT59" s="3728" t="str">
        <f>IF(T59="","",T59)</f>
        <v>Добавить вид теплоносителя (параметры теплоносителя)</v>
      </c>
      <c r="CU59" s="3728"/>
      <c r="CV59" s="3728"/>
    </row>
    <row s="3826" customFormat="1" customHeight="1" ht="15">
      <c r="A60" s="3716"/>
      <c r="B60" s="3716"/>
      <c r="C60" s="3716"/>
      <c r="D60" s="3716"/>
      <c r="E60" s="3717"/>
      <c r="F60" s="3717"/>
      <c r="G60" s="3717"/>
      <c r="H60" s="3717">
        <v>1</v>
      </c>
      <c r="I60" s="3730"/>
      <c r="J60" s="3716"/>
      <c r="K60" s="3716"/>
      <c r="L60" s="3719"/>
      <c r="M60" s="3573"/>
      <c r="N60" s="3731"/>
      <c r="O60" s="3731"/>
      <c r="P60" s="3732"/>
      <c r="Q60" s="3732"/>
      <c r="R60" s="3733"/>
      <c r="S60" s="3827"/>
      <c r="T60" s="3828" t="s">
        <v>627</v>
      </c>
      <c r="U60" s="3829"/>
      <c r="V60" s="3830"/>
      <c r="W60" s="3831"/>
      <c r="X60" s="3832"/>
      <c r="Y60" s="3833"/>
      <c r="Z60" s="3834"/>
      <c r="AA60" s="3835"/>
      <c r="AB60" s="3836"/>
      <c r="AC60" s="3837"/>
      <c r="AD60" s="3838"/>
      <c r="AE60" s="3839"/>
      <c r="AF60" s="3840"/>
      <c r="AG60" s="3841"/>
      <c r="AH60" s="3842"/>
      <c r="AI60" s="3843"/>
      <c r="AJ60" s="3844"/>
      <c r="AK60" s="3845"/>
      <c r="AL60" s="3846"/>
      <c r="AM60" s="3847"/>
      <c r="AN60" s="3848"/>
      <c r="AO60" s="3849"/>
      <c r="AP60" s="3850"/>
      <c r="AQ60" s="3851"/>
      <c r="AR60" s="3852"/>
      <c r="AS60" s="3853"/>
      <c r="AT60" s="3854"/>
      <c r="AU60" s="3855"/>
      <c r="AV60" s="3856"/>
      <c r="AW60" s="3857"/>
      <c r="AX60" s="3858"/>
      <c r="AY60" s="3859"/>
      <c r="AZ60" s="3860"/>
      <c r="BA60" s="3861"/>
      <c r="BB60" s="3862"/>
      <c r="BC60" s="3863"/>
      <c r="BD60" s="3864"/>
      <c r="BE60" s="3865"/>
      <c r="BF60" s="3866"/>
      <c r="BG60" s="3867"/>
      <c r="BH60" s="3868"/>
      <c r="BI60" s="3869"/>
      <c r="BJ60" s="3870"/>
      <c r="BK60" s="3871"/>
      <c r="BL60" s="3872"/>
      <c r="BM60" s="3873"/>
      <c r="BN60" s="3874"/>
      <c r="BO60" s="3875"/>
      <c r="BP60" s="3876"/>
      <c r="BQ60" s="3877"/>
      <c r="BR60" s="3878"/>
      <c r="BS60" s="3879"/>
      <c r="BT60" s="3880"/>
      <c r="BU60" s="3881"/>
      <c r="BV60" s="3882"/>
      <c r="BW60" s="3883"/>
      <c r="BX60" s="3884"/>
      <c r="BY60" s="3885"/>
      <c r="BZ60" s="3886"/>
      <c r="CA60" s="3887"/>
      <c r="CB60" s="3888"/>
      <c r="CC60" s="3889"/>
      <c r="CD60" s="3890"/>
      <c r="CE60" s="3891"/>
      <c r="CF60" s="3892"/>
      <c r="CG60" s="3893"/>
      <c r="CH60" s="3894"/>
      <c r="CI60" s="3895"/>
      <c r="CJ60" s="3896"/>
      <c r="CK60" s="3897"/>
      <c r="CL60" s="3898"/>
      <c r="CM60" s="3899"/>
      <c r="CN60" s="3900"/>
      <c r="CO60" s="3901"/>
      <c r="CP60" s="3902"/>
      <c r="CQ60" s="3903"/>
      <c r="CR60" s="3581"/>
      <c r="CS60" s="3728"/>
      <c r="CT60" s="3728" t="str">
        <f>IF(T60="","",T60)</f>
        <v>Добавить группу потребителей</v>
      </c>
      <c r="CU60" s="3728"/>
      <c r="CV60" s="3728"/>
    </row>
    <row s="3904" customFormat="1" customHeight="1" ht="14.25">
      <c r="A61" s="3716"/>
      <c r="B61" s="3716"/>
      <c r="C61" s="3716"/>
      <c r="D61" s="3716"/>
      <c r="E61" s="3717"/>
      <c r="F61" s="3717"/>
      <c r="G61" s="3717"/>
      <c r="H61" s="3718">
        <v>1</v>
      </c>
      <c r="I61" s="3716"/>
      <c r="J61" s="3716"/>
      <c r="K61" s="3716"/>
      <c r="L61" s="3719"/>
      <c r="M61" s="3720"/>
      <c r="N61" s="3720"/>
      <c r="O61" s="3573"/>
      <c r="P61" s="3905"/>
      <c r="Q61" s="3906"/>
      <c r="R61" s="3907"/>
      <c r="S61" s="3908"/>
      <c r="T61" s="3909"/>
      <c r="U61" s="3569"/>
      <c r="V61" s="3569"/>
      <c r="W61" s="3569"/>
      <c r="X61" s="3569"/>
      <c r="Y61" s="3569"/>
      <c r="Z61" s="3569"/>
      <c r="AA61" s="3569"/>
      <c r="AB61" s="3569"/>
      <c r="AC61" s="3569"/>
      <c r="AD61" s="3569"/>
      <c r="AE61" s="3569"/>
      <c r="AF61" s="3569"/>
      <c r="AG61" s="3569"/>
      <c r="AH61" s="3569"/>
      <c r="AI61" s="3569"/>
      <c r="AJ61" s="3569"/>
      <c r="AK61" s="3569"/>
      <c r="AL61" s="3569"/>
      <c r="AM61" s="3569"/>
      <c r="AN61" s="3569"/>
      <c r="AO61" s="3569"/>
      <c r="AP61" s="3569"/>
      <c r="AQ61" s="3569"/>
      <c r="AR61" s="3569"/>
      <c r="AS61" s="3569"/>
      <c r="AT61" s="3569"/>
      <c r="AU61" s="3569"/>
      <c r="AV61" s="3569"/>
      <c r="AW61" s="3569"/>
      <c r="AX61" s="3569"/>
      <c r="AY61" s="3569"/>
      <c r="AZ61" s="3569"/>
      <c r="BA61" s="3569"/>
      <c r="BB61" s="3569"/>
      <c r="BC61" s="3569"/>
      <c r="BD61" s="3569"/>
      <c r="BE61" s="3569"/>
      <c r="BF61" s="3569"/>
      <c r="BG61" s="3569"/>
      <c r="BH61" s="3569"/>
      <c r="BI61" s="3569"/>
      <c r="BJ61" s="3569"/>
      <c r="BK61" s="3569"/>
      <c r="BL61" s="3569"/>
      <c r="BM61" s="3569"/>
      <c r="BN61" s="3569"/>
      <c r="BO61" s="3569"/>
      <c r="BP61" s="3569"/>
      <c r="BQ61" s="3569"/>
      <c r="BR61" s="3569"/>
      <c r="BS61" s="3569"/>
      <c r="BT61" s="3569"/>
      <c r="BU61" s="3569"/>
      <c r="BV61" s="3569"/>
      <c r="BW61" s="3569"/>
      <c r="BX61" s="3569"/>
      <c r="BY61" s="3569"/>
      <c r="BZ61" s="3569"/>
      <c r="CA61" s="3569"/>
      <c r="CB61" s="3569"/>
      <c r="CC61" s="3569"/>
      <c r="CD61" s="3569"/>
      <c r="CE61" s="3569"/>
      <c r="CF61" s="3569"/>
      <c r="CG61" s="3569"/>
      <c r="CH61" s="3569"/>
      <c r="CI61" s="3569"/>
      <c r="CJ61" s="3569"/>
      <c r="CK61" s="3569"/>
      <c r="CL61" s="3569"/>
      <c r="CM61" s="3569"/>
      <c r="CN61" s="3569"/>
      <c r="CO61" s="3569"/>
      <c r="CP61" s="3569"/>
      <c r="CQ61" s="3910"/>
      <c r="CR61" s="3581"/>
      <c r="CS61" s="3728"/>
      <c r="CT61" s="3728" t="str">
        <f>IF(T61="","",T61)</f>
        <v/>
      </c>
      <c r="CU61" s="3728"/>
      <c r="CV61" s="3728"/>
    </row>
    <row s="3911" customFormat="1" customHeight="1" ht="21">
      <c r="A62" s="3716"/>
      <c r="B62" s="3716"/>
      <c r="C62" s="3716"/>
      <c r="D62" s="3716" t="s">
        <v>253</v>
      </c>
      <c r="E62" s="3717"/>
      <c r="F62" s="3717"/>
      <c r="G62" s="3717"/>
      <c r="H62" s="3718" t="s">
        <v>91</v>
      </c>
      <c r="I62" s="3716"/>
      <c r="J62" s="3716"/>
      <c r="K62" s="3716"/>
      <c r="L62" s="3719"/>
      <c r="M62" s="3720"/>
      <c r="N62" s="3720"/>
      <c r="O62" s="3720"/>
      <c r="P62" s="3721"/>
      <c r="Q62" s="3722"/>
      <c r="R62" s="3723"/>
      <c r="S62" s="3724" t="str">
        <f>INDEX(PT_DIFFERENTIATION_NUM_IST_TE,MATCH(D62,PT_DIFFERENTIATION_IST_TE_ID,0))</f>
        <v>1.1.1.3</v>
      </c>
      <c r="T62" s="3725" t="s">
        <v>616</v>
      </c>
      <c r="U62" s="3726"/>
      <c r="V62" s="3432"/>
      <c r="W62" s="3433"/>
      <c r="X62" s="3433"/>
      <c r="Y62" s="3433"/>
      <c r="Z62" s="3433"/>
      <c r="AA62" s="3433"/>
      <c r="AB62" s="3433"/>
      <c r="AC62" s="3434"/>
      <c r="AD62" s="3432" t="str">
        <f>INDEX(PT_DIFFERENTIATION_IST_TE,MATCH(D62,PT_DIFFERENTIATION_IST_TE_ID,0))</f>
        <v>г.о.город-герой Мурманск (п.Росляково)</v>
      </c>
      <c r="AE62" s="3433"/>
      <c r="AF62" s="3433"/>
      <c r="AG62" s="3433"/>
      <c r="AH62" s="3433"/>
      <c r="AI62" s="3433"/>
      <c r="AJ62" s="3433"/>
      <c r="AK62" s="3433"/>
      <c r="AL62" s="3432"/>
      <c r="AM62" s="3433"/>
      <c r="AN62" s="3433"/>
      <c r="AO62" s="3433"/>
      <c r="AP62" s="3433"/>
      <c r="AQ62" s="3433"/>
      <c r="AR62" s="3433"/>
      <c r="AS62" s="3434"/>
      <c r="AT62" s="3432"/>
      <c r="AU62" s="3433"/>
      <c r="AV62" s="3433"/>
      <c r="AW62" s="3433"/>
      <c r="AX62" s="3433"/>
      <c r="AY62" s="3433"/>
      <c r="AZ62" s="3433"/>
      <c r="BA62" s="3434"/>
      <c r="BB62" s="3432"/>
      <c r="BC62" s="3433"/>
      <c r="BD62" s="3433"/>
      <c r="BE62" s="3433"/>
      <c r="BF62" s="3433"/>
      <c r="BG62" s="3433"/>
      <c r="BH62" s="3433"/>
      <c r="BI62" s="3434"/>
      <c r="BJ62" s="3432"/>
      <c r="BK62" s="3433"/>
      <c r="BL62" s="3433"/>
      <c r="BM62" s="3433"/>
      <c r="BN62" s="3433"/>
      <c r="BO62" s="3433"/>
      <c r="BP62" s="3433"/>
      <c r="BQ62" s="3434"/>
      <c r="BR62" s="3432"/>
      <c r="BS62" s="3433"/>
      <c r="BT62" s="3433"/>
      <c r="BU62" s="3433"/>
      <c r="BV62" s="3433"/>
      <c r="BW62" s="3433"/>
      <c r="BX62" s="3433"/>
      <c r="BY62" s="3434"/>
      <c r="BZ62" s="3432"/>
      <c r="CA62" s="3433"/>
      <c r="CB62" s="3433"/>
      <c r="CC62" s="3433"/>
      <c r="CD62" s="3433"/>
      <c r="CE62" s="3433"/>
      <c r="CF62" s="3433"/>
      <c r="CG62" s="3434"/>
      <c r="CH62" s="3432"/>
      <c r="CI62" s="3433"/>
      <c r="CJ62" s="3433"/>
      <c r="CK62" s="3433"/>
      <c r="CL62" s="3433"/>
      <c r="CM62" s="3433"/>
      <c r="CN62" s="3433"/>
      <c r="CO62" s="3434"/>
      <c r="CP62" s="3434"/>
      <c r="CQ62" s="3727" t="s">
        <v>617</v>
      </c>
      <c r="CR62" s="3581"/>
      <c r="CS62" s="3728"/>
      <c r="CT62" s="3728" t="str">
        <f>IF(T62="","",T62)</f>
        <v>Источник тепловой энергии  </v>
      </c>
      <c r="CU62" s="3728"/>
      <c r="CV62" s="3728"/>
    </row>
    <row s="3912" customFormat="1" customHeight="1" ht="14.25">
      <c r="A63" s="3716"/>
      <c r="B63" s="3716"/>
      <c r="C63" s="3716"/>
      <c r="D63" s="3716"/>
      <c r="E63" s="3717"/>
      <c r="F63" s="3717"/>
      <c r="G63" s="3717"/>
      <c r="H63" s="3717" t="s">
        <v>104</v>
      </c>
      <c r="I63" s="3730" t="str">
        <f>S62&amp;".1"</f>
        <v>1.1.1.3.1</v>
      </c>
      <c r="J63" s="3716"/>
      <c r="K63" s="3716"/>
      <c r="L63" s="3719" t="s">
        <v>618</v>
      </c>
      <c r="M63" s="3573"/>
      <c r="N63" s="3731"/>
      <c r="O63" s="3731"/>
      <c r="P63" s="3732">
        <v>1</v>
      </c>
      <c r="Q63" s="3732"/>
      <c r="R63" s="3733"/>
      <c r="S63" s="3734"/>
      <c r="T63" s="3735"/>
      <c r="U63" s="3736"/>
      <c r="V63" s="3441"/>
      <c r="W63" s="3442"/>
      <c r="X63" s="3442"/>
      <c r="Y63" s="3442"/>
      <c r="Z63" s="3442"/>
      <c r="AA63" s="3442"/>
      <c r="AB63" s="3442"/>
      <c r="AC63" s="3443"/>
      <c r="AD63" s="3441"/>
      <c r="AE63" s="3442"/>
      <c r="AF63" s="3442"/>
      <c r="AG63" s="3442"/>
      <c r="AH63" s="3442"/>
      <c r="AI63" s="3442"/>
      <c r="AJ63" s="3442"/>
      <c r="AK63" s="3442"/>
      <c r="AL63" s="3441"/>
      <c r="AM63" s="3442"/>
      <c r="AN63" s="3442"/>
      <c r="AO63" s="3442"/>
      <c r="AP63" s="3442"/>
      <c r="AQ63" s="3442"/>
      <c r="AR63" s="3442"/>
      <c r="AS63" s="3443"/>
      <c r="AT63" s="3441"/>
      <c r="AU63" s="3442"/>
      <c r="AV63" s="3442"/>
      <c r="AW63" s="3442"/>
      <c r="AX63" s="3442"/>
      <c r="AY63" s="3442"/>
      <c r="AZ63" s="3442"/>
      <c r="BA63" s="3443"/>
      <c r="BB63" s="3441"/>
      <c r="BC63" s="3442"/>
      <c r="BD63" s="3442"/>
      <c r="BE63" s="3442"/>
      <c r="BF63" s="3442"/>
      <c r="BG63" s="3442"/>
      <c r="BH63" s="3442"/>
      <c r="BI63" s="3443"/>
      <c r="BJ63" s="3441"/>
      <c r="BK63" s="3442"/>
      <c r="BL63" s="3442"/>
      <c r="BM63" s="3442"/>
      <c r="BN63" s="3442"/>
      <c r="BO63" s="3442"/>
      <c r="BP63" s="3442"/>
      <c r="BQ63" s="3443"/>
      <c r="BR63" s="3441"/>
      <c r="BS63" s="3442"/>
      <c r="BT63" s="3442"/>
      <c r="BU63" s="3442"/>
      <c r="BV63" s="3442"/>
      <c r="BW63" s="3442"/>
      <c r="BX63" s="3442"/>
      <c r="BY63" s="3443"/>
      <c r="BZ63" s="3441"/>
      <c r="CA63" s="3442"/>
      <c r="CB63" s="3442"/>
      <c r="CC63" s="3442"/>
      <c r="CD63" s="3442"/>
      <c r="CE63" s="3442"/>
      <c r="CF63" s="3442"/>
      <c r="CG63" s="3443"/>
      <c r="CH63" s="3441"/>
      <c r="CI63" s="3442"/>
      <c r="CJ63" s="3442"/>
      <c r="CK63" s="3442"/>
      <c r="CL63" s="3442"/>
      <c r="CM63" s="3442"/>
      <c r="CN63" s="3442"/>
      <c r="CO63" s="3443"/>
      <c r="CP63" s="3443"/>
      <c r="CQ63" s="3737"/>
      <c r="CR63" s="3581"/>
      <c r="CS63" s="3728"/>
      <c r="CT63" s="3728" t="str">
        <f>IF(T63="","",T63)</f>
        <v/>
      </c>
      <c r="CU63" s="3728"/>
      <c r="CV63" s="3728"/>
    </row>
    <row s="3913" customFormat="1" customHeight="1" ht="21">
      <c r="A64" s="3716"/>
      <c r="B64" s="3716"/>
      <c r="C64" s="3716"/>
      <c r="D64" s="3716"/>
      <c r="E64" s="3717"/>
      <c r="F64" s="3717"/>
      <c r="G64" s="3717"/>
      <c r="H64" s="3717" t="s">
        <v>104</v>
      </c>
      <c r="I64" s="3739"/>
      <c r="J64" s="3730" t="str">
        <f>I63&amp;".1"</f>
        <v>1.1.1.3.1.1</v>
      </c>
      <c r="K64" s="3716"/>
      <c r="L64" s="3719" t="s">
        <v>621</v>
      </c>
      <c r="M64" s="3573"/>
      <c r="N64" s="3573"/>
      <c r="O64" s="3731"/>
      <c r="P64" s="3732"/>
      <c r="Q64" s="3732">
        <v>1</v>
      </c>
      <c r="R64" s="3740"/>
      <c r="S64" s="3724" t="str">
        <f>$J64</f>
        <v>1.1.1.3.1.1</v>
      </c>
      <c r="T64" s="3741" t="s">
        <v>622</v>
      </c>
      <c r="U64" s="3726"/>
      <c r="V64" s="3445"/>
      <c r="W64" s="3446"/>
      <c r="X64" s="3446"/>
      <c r="Y64" s="3446"/>
      <c r="Z64" s="3446"/>
      <c r="AA64" s="3446"/>
      <c r="AB64" s="3446"/>
      <c r="AC64" s="3447"/>
      <c r="AD64" s="3445" t="s">
        <v>662</v>
      </c>
      <c r="AE64" s="3446"/>
      <c r="AF64" s="3446"/>
      <c r="AG64" s="3446"/>
      <c r="AH64" s="3446"/>
      <c r="AI64" s="3446"/>
      <c r="AJ64" s="3446"/>
      <c r="AK64" s="3446"/>
      <c r="AL64" s="3445"/>
      <c r="AM64" s="3446"/>
      <c r="AN64" s="3446"/>
      <c r="AO64" s="3446"/>
      <c r="AP64" s="3446"/>
      <c r="AQ64" s="3446"/>
      <c r="AR64" s="3446"/>
      <c r="AS64" s="3447"/>
      <c r="AT64" s="3445"/>
      <c r="AU64" s="3446"/>
      <c r="AV64" s="3446"/>
      <c r="AW64" s="3446"/>
      <c r="AX64" s="3446"/>
      <c r="AY64" s="3446"/>
      <c r="AZ64" s="3446"/>
      <c r="BA64" s="3447"/>
      <c r="BB64" s="3445"/>
      <c r="BC64" s="3446"/>
      <c r="BD64" s="3446"/>
      <c r="BE64" s="3446"/>
      <c r="BF64" s="3446"/>
      <c r="BG64" s="3446"/>
      <c r="BH64" s="3446"/>
      <c r="BI64" s="3447"/>
      <c r="BJ64" s="3445"/>
      <c r="BK64" s="3446"/>
      <c r="BL64" s="3446"/>
      <c r="BM64" s="3446"/>
      <c r="BN64" s="3446"/>
      <c r="BO64" s="3446"/>
      <c r="BP64" s="3446"/>
      <c r="BQ64" s="3447"/>
      <c r="BR64" s="3445"/>
      <c r="BS64" s="3446"/>
      <c r="BT64" s="3446"/>
      <c r="BU64" s="3446"/>
      <c r="BV64" s="3446"/>
      <c r="BW64" s="3446"/>
      <c r="BX64" s="3446"/>
      <c r="BY64" s="3447"/>
      <c r="BZ64" s="3445"/>
      <c r="CA64" s="3446"/>
      <c r="CB64" s="3446"/>
      <c r="CC64" s="3446"/>
      <c r="CD64" s="3446"/>
      <c r="CE64" s="3446"/>
      <c r="CF64" s="3446"/>
      <c r="CG64" s="3447"/>
      <c r="CH64" s="3445"/>
      <c r="CI64" s="3446"/>
      <c r="CJ64" s="3446"/>
      <c r="CK64" s="3446"/>
      <c r="CL64" s="3446"/>
      <c r="CM64" s="3446"/>
      <c r="CN64" s="3446"/>
      <c r="CO64" s="3447"/>
      <c r="CP64" s="3447"/>
      <c r="CQ64" s="3727" t="s">
        <v>623</v>
      </c>
      <c r="CR64" s="3581"/>
      <c r="CS64" s="3728"/>
      <c r="CT64" s="3728" t="str">
        <f>IF(T64="","",T64)</f>
        <v>Группа потребителей</v>
      </c>
      <c r="CU64" s="3728"/>
      <c r="CV64" s="3728"/>
    </row>
    <row s="3914" customFormat="1" customHeight="1" ht="21">
      <c r="A65" s="3716"/>
      <c r="B65" s="3716"/>
      <c r="C65" s="3716"/>
      <c r="D65" s="3716"/>
      <c r="E65" s="3717"/>
      <c r="F65" s="3717"/>
      <c r="G65" s="3717"/>
      <c r="H65" s="3717" t="s">
        <v>104</v>
      </c>
      <c r="I65" s="3739"/>
      <c r="J65" s="3739"/>
      <c r="K65" s="3730" t="str">
        <f>J64&amp;".1"</f>
        <v>1.1.1.3.1.1.1</v>
      </c>
      <c r="L65" s="3719" t="s">
        <v>624</v>
      </c>
      <c r="M65" s="3573"/>
      <c r="N65" s="3573"/>
      <c r="O65" s="3573"/>
      <c r="P65" s="3732"/>
      <c r="Q65" s="3732"/>
      <c r="R65" s="3740">
        <v>1</v>
      </c>
      <c r="S65" s="3724" t="str">
        <f>$K65</f>
        <v>1.1.1.3.1.1.1</v>
      </c>
      <c r="T65" s="3743" t="s">
        <v>663</v>
      </c>
      <c r="U65" s="3726"/>
      <c r="V65" s="3448"/>
      <c r="W65" s="3449"/>
      <c r="X65" s="3448"/>
      <c r="Y65" s="3450"/>
      <c r="Z65" s="3451"/>
      <c r="AA65" s="2872" t="s">
        <v>63</v>
      </c>
      <c r="AB65" s="3451"/>
      <c r="AC65" s="2872" t="s">
        <v>63</v>
      </c>
      <c r="AD65" s="3448">
        <v>15.36</v>
      </c>
      <c r="AE65" s="3449"/>
      <c r="AF65" s="3448"/>
      <c r="AG65" s="3450"/>
      <c r="AH65" s="3451">
        <v>44197</v>
      </c>
      <c r="AI65" s="2872" t="s">
        <v>63</v>
      </c>
      <c r="AJ65" s="3451">
        <v>44377</v>
      </c>
      <c r="AK65" s="2872" t="s">
        <v>63</v>
      </c>
      <c r="AL65" s="3448">
        <v>18.34</v>
      </c>
      <c r="AM65" s="3449"/>
      <c r="AN65" s="3448"/>
      <c r="AO65" s="3450"/>
      <c r="AP65" s="3451">
        <v>44378</v>
      </c>
      <c r="AQ65" s="2872" t="s">
        <v>63</v>
      </c>
      <c r="AR65" s="3451">
        <v>44561</v>
      </c>
      <c r="AS65" s="2872" t="s">
        <v>63</v>
      </c>
      <c r="AT65" s="3448">
        <v>18.34</v>
      </c>
      <c r="AU65" s="3449"/>
      <c r="AV65" s="3448"/>
      <c r="AW65" s="3450"/>
      <c r="AX65" s="3451">
        <v>44562</v>
      </c>
      <c r="AY65" s="2872" t="s">
        <v>63</v>
      </c>
      <c r="AZ65" s="3451">
        <v>44601</v>
      </c>
      <c r="BA65" s="2872" t="s">
        <v>63</v>
      </c>
      <c r="BB65" s="3448">
        <v>18.34</v>
      </c>
      <c r="BC65" s="3449"/>
      <c r="BD65" s="3448"/>
      <c r="BE65" s="3450"/>
      <c r="BF65" s="3451">
        <v>44602</v>
      </c>
      <c r="BG65" s="2872" t="s">
        <v>63</v>
      </c>
      <c r="BH65" s="3451">
        <v>44742</v>
      </c>
      <c r="BI65" s="2872" t="s">
        <v>63</v>
      </c>
      <c r="BJ65" s="3448">
        <v>20.7</v>
      </c>
      <c r="BK65" s="3449"/>
      <c r="BL65" s="3448"/>
      <c r="BM65" s="3450"/>
      <c r="BN65" s="3451">
        <v>44743</v>
      </c>
      <c r="BO65" s="2872" t="s">
        <v>63</v>
      </c>
      <c r="BP65" s="3451">
        <v>44804</v>
      </c>
      <c r="BQ65" s="2872" t="s">
        <v>63</v>
      </c>
      <c r="BR65" s="3448">
        <v>20.7</v>
      </c>
      <c r="BS65" s="3449"/>
      <c r="BT65" s="3448"/>
      <c r="BU65" s="3450"/>
      <c r="BV65" s="3451">
        <v>44805</v>
      </c>
      <c r="BW65" s="2872" t="s">
        <v>63</v>
      </c>
      <c r="BX65" s="3451">
        <v>44895</v>
      </c>
      <c r="BY65" s="2872" t="s">
        <v>63</v>
      </c>
      <c r="BZ65" s="3448">
        <v>26.75</v>
      </c>
      <c r="CA65" s="3449"/>
      <c r="CB65" s="3448"/>
      <c r="CC65" s="3450"/>
      <c r="CD65" s="3451">
        <v>44896</v>
      </c>
      <c r="CE65" s="2872" t="s">
        <v>63</v>
      </c>
      <c r="CF65" s="3451">
        <v>45174</v>
      </c>
      <c r="CG65" s="2872" t="s">
        <v>63</v>
      </c>
      <c r="CH65" s="3448">
        <v>26.75</v>
      </c>
      <c r="CI65" s="3449"/>
      <c r="CJ65" s="3448"/>
      <c r="CK65" s="3450"/>
      <c r="CL65" s="3451">
        <v>45175</v>
      </c>
      <c r="CM65" s="2872" t="s">
        <v>63</v>
      </c>
      <c r="CN65" s="3451">
        <v>45291</v>
      </c>
      <c r="CO65" s="2872" t="s">
        <v>63</v>
      </c>
      <c r="CP65" s="3449"/>
      <c r="CQ65" s="3744" t="s">
        <v>625</v>
      </c>
      <c r="CR65" s="3581">
        <f>STRCHECKDATE(V66:CP66)</f>
      </c>
      <c r="CS65" s="3728"/>
      <c r="CT65" s="3728" t="str">
        <f>IF(T65="","",T65)</f>
        <v>вода</v>
      </c>
      <c r="CU65" s="3728"/>
      <c r="CV65" s="3728"/>
    </row>
    <row s="3915" customFormat="1" customHeight="1" ht="0.75">
      <c r="A66" s="3716"/>
      <c r="B66" s="3716"/>
      <c r="C66" s="3716"/>
      <c r="D66" s="3716"/>
      <c r="E66" s="3717"/>
      <c r="F66" s="3717"/>
      <c r="G66" s="3717"/>
      <c r="H66" s="3717" t="s">
        <v>104</v>
      </c>
      <c r="I66" s="3739"/>
      <c r="J66" s="3739"/>
      <c r="K66" s="3730"/>
      <c r="L66" s="3719"/>
      <c r="M66" s="3573"/>
      <c r="N66" s="3573"/>
      <c r="O66" s="3573"/>
      <c r="P66" s="3732"/>
      <c r="Q66" s="3732"/>
      <c r="R66" s="3740"/>
      <c r="S66" s="3746"/>
      <c r="T66" s="3726"/>
      <c r="U66" s="3726"/>
      <c r="V66" s="3449"/>
      <c r="W66" s="3449"/>
      <c r="X66" s="3449"/>
      <c r="Y66" s="3452" t="str">
        <f>Z65&amp;"-"&amp;AB65</f>
        <v>-</v>
      </c>
      <c r="Z66" s="3453"/>
      <c r="AA66" s="2872"/>
      <c r="AB66" s="3453"/>
      <c r="AC66" s="2872"/>
      <c r="AD66" s="3449"/>
      <c r="AE66" s="3449"/>
      <c r="AF66" s="3449"/>
      <c r="AG66" s="3452" t="str">
        <f>AH65&amp;"-"&amp;AJ65</f>
        <v>44197-44377</v>
      </c>
      <c r="AH66" s="3453"/>
      <c r="AI66" s="2872"/>
      <c r="AJ66" s="3453"/>
      <c r="AK66" s="2872"/>
      <c r="AL66" s="3449"/>
      <c r="AM66" s="3449"/>
      <c r="AN66" s="3449"/>
      <c r="AO66" s="3452" t="str">
        <f>AP65&amp;"-"&amp;AR65</f>
        <v>44378-44561</v>
      </c>
      <c r="AP66" s="3453"/>
      <c r="AQ66" s="2872"/>
      <c r="AR66" s="3453"/>
      <c r="AS66" s="2872"/>
      <c r="AT66" s="3449"/>
      <c r="AU66" s="3449"/>
      <c r="AV66" s="3449"/>
      <c r="AW66" s="3452" t="str">
        <f>AX65&amp;"-"&amp;AZ65</f>
        <v>44562-44601</v>
      </c>
      <c r="AX66" s="3453"/>
      <c r="AY66" s="2872"/>
      <c r="AZ66" s="3453"/>
      <c r="BA66" s="2872"/>
      <c r="BB66" s="3449"/>
      <c r="BC66" s="3449"/>
      <c r="BD66" s="3449"/>
      <c r="BE66" s="3452" t="str">
        <f>BF65&amp;"-"&amp;BH65</f>
        <v>44602-44742</v>
      </c>
      <c r="BF66" s="3453"/>
      <c r="BG66" s="2872"/>
      <c r="BH66" s="3453"/>
      <c r="BI66" s="2872"/>
      <c r="BJ66" s="3449"/>
      <c r="BK66" s="3449"/>
      <c r="BL66" s="3449"/>
      <c r="BM66" s="3452" t="str">
        <f>BN65&amp;"-"&amp;BP65</f>
        <v>44743-44804</v>
      </c>
      <c r="BN66" s="3453"/>
      <c r="BO66" s="2872"/>
      <c r="BP66" s="3453"/>
      <c r="BQ66" s="2872"/>
      <c r="BR66" s="3449"/>
      <c r="BS66" s="3449"/>
      <c r="BT66" s="3449"/>
      <c r="BU66" s="3452" t="str">
        <f>BV65&amp;"-"&amp;BX65</f>
        <v>44805-44895</v>
      </c>
      <c r="BV66" s="3453"/>
      <c r="BW66" s="2872"/>
      <c r="BX66" s="3453"/>
      <c r="BY66" s="2872"/>
      <c r="BZ66" s="3449"/>
      <c r="CA66" s="3449"/>
      <c r="CB66" s="3449"/>
      <c r="CC66" s="3452" t="str">
        <f>CD65&amp;"-"&amp;CF65</f>
        <v>44896-45174</v>
      </c>
      <c r="CD66" s="3453"/>
      <c r="CE66" s="2872"/>
      <c r="CF66" s="3453"/>
      <c r="CG66" s="2872"/>
      <c r="CH66" s="3449"/>
      <c r="CI66" s="3449"/>
      <c r="CJ66" s="3449"/>
      <c r="CK66" s="3452" t="str">
        <f>CL65&amp;"-"&amp;CN65</f>
        <v>45175-45291</v>
      </c>
      <c r="CL66" s="3453"/>
      <c r="CM66" s="2872"/>
      <c r="CN66" s="3453"/>
      <c r="CO66" s="2872"/>
      <c r="CP66" s="3449"/>
      <c r="CQ66" s="3747"/>
      <c r="CR66" s="3581"/>
      <c r="CS66" s="3728"/>
      <c r="CT66" s="3728" t="str">
        <f>IF(T66="","",T66)</f>
        <v/>
      </c>
      <c r="CU66" s="3728"/>
      <c r="CV66" s="3728"/>
    </row>
    <row s="3916" customFormat="1" customHeight="1" ht="15">
      <c r="A67" s="3716"/>
      <c r="B67" s="3716"/>
      <c r="C67" s="3716"/>
      <c r="D67" s="3716"/>
      <c r="E67" s="3717"/>
      <c r="F67" s="3717"/>
      <c r="G67" s="3717"/>
      <c r="H67" s="3717" t="s">
        <v>104</v>
      </c>
      <c r="I67" s="3739"/>
      <c r="J67" s="3730"/>
      <c r="K67" s="3716"/>
      <c r="L67" s="3719"/>
      <c r="M67" s="3573"/>
      <c r="N67" s="3573"/>
      <c r="O67" s="3731"/>
      <c r="P67" s="3732"/>
      <c r="Q67" s="3732"/>
      <c r="R67" s="3733"/>
      <c r="S67" s="3917"/>
      <c r="T67" s="3918" t="s">
        <v>626</v>
      </c>
      <c r="U67" s="3919"/>
      <c r="V67" s="3920"/>
      <c r="W67" s="3921"/>
      <c r="X67" s="3922"/>
      <c r="Y67" s="3923"/>
      <c r="Z67" s="3924"/>
      <c r="AA67" s="3925"/>
      <c r="AB67" s="3926"/>
      <c r="AC67" s="3927"/>
      <c r="AD67" s="3928"/>
      <c r="AE67" s="3929"/>
      <c r="AF67" s="3930"/>
      <c r="AG67" s="3931"/>
      <c r="AH67" s="3932"/>
      <c r="AI67" s="3933"/>
      <c r="AJ67" s="3934"/>
      <c r="AK67" s="3935"/>
      <c r="AL67" s="3936"/>
      <c r="AM67" s="3937"/>
      <c r="AN67" s="3938"/>
      <c r="AO67" s="3939"/>
      <c r="AP67" s="3940"/>
      <c r="AQ67" s="3941"/>
      <c r="AR67" s="3942"/>
      <c r="AS67" s="3943"/>
      <c r="AT67" s="3944"/>
      <c r="AU67" s="3945"/>
      <c r="AV67" s="3946"/>
      <c r="AW67" s="3947"/>
      <c r="AX67" s="3948"/>
      <c r="AY67" s="3949"/>
      <c r="AZ67" s="3950"/>
      <c r="BA67" s="3951"/>
      <c r="BB67" s="3952"/>
      <c r="BC67" s="3953"/>
      <c r="BD67" s="3954"/>
      <c r="BE67" s="3955"/>
      <c r="BF67" s="3956"/>
      <c r="BG67" s="3957"/>
      <c r="BH67" s="3958"/>
      <c r="BI67" s="3959"/>
      <c r="BJ67" s="3960"/>
      <c r="BK67" s="3961"/>
      <c r="BL67" s="3962"/>
      <c r="BM67" s="3963"/>
      <c r="BN67" s="3964"/>
      <c r="BO67" s="3965"/>
      <c r="BP67" s="3966"/>
      <c r="BQ67" s="3967"/>
      <c r="BR67" s="3968"/>
      <c r="BS67" s="3969"/>
      <c r="BT67" s="3970"/>
      <c r="BU67" s="3971"/>
      <c r="BV67" s="3972"/>
      <c r="BW67" s="3973"/>
      <c r="BX67" s="3974"/>
      <c r="BY67" s="3975"/>
      <c r="BZ67" s="3976"/>
      <c r="CA67" s="3977"/>
      <c r="CB67" s="3978"/>
      <c r="CC67" s="3979"/>
      <c r="CD67" s="3980"/>
      <c r="CE67" s="3981"/>
      <c r="CF67" s="3982"/>
      <c r="CG67" s="3983"/>
      <c r="CH67" s="3984"/>
      <c r="CI67" s="3985"/>
      <c r="CJ67" s="3986"/>
      <c r="CK67" s="3987"/>
      <c r="CL67" s="3988"/>
      <c r="CM67" s="3989"/>
      <c r="CN67" s="3990"/>
      <c r="CO67" s="3991"/>
      <c r="CP67" s="3992"/>
      <c r="CQ67" s="3825"/>
      <c r="CR67" s="3581"/>
      <c r="CS67" s="3728"/>
      <c r="CT67" s="3728" t="str">
        <f>IF(T67="","",T67)</f>
        <v>Добавить вид теплоносителя (параметры теплоносителя)</v>
      </c>
      <c r="CU67" s="3728"/>
      <c r="CV67" s="3728"/>
    </row>
    <row s="3993" customFormat="1" customHeight="1" ht="15">
      <c r="A68" s="3716"/>
      <c r="B68" s="3716"/>
      <c r="C68" s="3716"/>
      <c r="D68" s="3716"/>
      <c r="E68" s="3717"/>
      <c r="F68" s="3717"/>
      <c r="G68" s="3717"/>
      <c r="H68" s="3717" t="s">
        <v>104</v>
      </c>
      <c r="I68" s="3730"/>
      <c r="J68" s="3716"/>
      <c r="K68" s="3716"/>
      <c r="L68" s="3719"/>
      <c r="M68" s="3573"/>
      <c r="N68" s="3731"/>
      <c r="O68" s="3731"/>
      <c r="P68" s="3732"/>
      <c r="Q68" s="3732"/>
      <c r="R68" s="3733"/>
      <c r="S68" s="3994"/>
      <c r="T68" s="3995" t="s">
        <v>627</v>
      </c>
      <c r="U68" s="3996"/>
      <c r="V68" s="3997"/>
      <c r="W68" s="3998"/>
      <c r="X68" s="3999"/>
      <c r="Y68" s="4000"/>
      <c r="Z68" s="4001"/>
      <c r="AA68" s="4002"/>
      <c r="AB68" s="4003"/>
      <c r="AC68" s="4004"/>
      <c r="AD68" s="4005"/>
      <c r="AE68" s="4006"/>
      <c r="AF68" s="4007"/>
      <c r="AG68" s="4008"/>
      <c r="AH68" s="4009"/>
      <c r="AI68" s="4010"/>
      <c r="AJ68" s="4011"/>
      <c r="AK68" s="4012"/>
      <c r="AL68" s="4013"/>
      <c r="AM68" s="4014"/>
      <c r="AN68" s="4015"/>
      <c r="AO68" s="4016"/>
      <c r="AP68" s="4017"/>
      <c r="AQ68" s="4018"/>
      <c r="AR68" s="4019"/>
      <c r="AS68" s="4020"/>
      <c r="AT68" s="4021"/>
      <c r="AU68" s="4022"/>
      <c r="AV68" s="4023"/>
      <c r="AW68" s="4024"/>
      <c r="AX68" s="4025"/>
      <c r="AY68" s="4026"/>
      <c r="AZ68" s="4027"/>
      <c r="BA68" s="4028"/>
      <c r="BB68" s="4029"/>
      <c r="BC68" s="4030"/>
      <c r="BD68" s="4031"/>
      <c r="BE68" s="4032"/>
      <c r="BF68" s="4033"/>
      <c r="BG68" s="4034"/>
      <c r="BH68" s="4035"/>
      <c r="BI68" s="4036"/>
      <c r="BJ68" s="4037"/>
      <c r="BK68" s="4038"/>
      <c r="BL68" s="4039"/>
      <c r="BM68" s="4040"/>
      <c r="BN68" s="4041"/>
      <c r="BO68" s="4042"/>
      <c r="BP68" s="4043"/>
      <c r="BQ68" s="4044"/>
      <c r="BR68" s="4045"/>
      <c r="BS68" s="4046"/>
      <c r="BT68" s="4047"/>
      <c r="BU68" s="4048"/>
      <c r="BV68" s="4049"/>
      <c r="BW68" s="4050"/>
      <c r="BX68" s="4051"/>
      <c r="BY68" s="4052"/>
      <c r="BZ68" s="4053"/>
      <c r="CA68" s="4054"/>
      <c r="CB68" s="4055"/>
      <c r="CC68" s="4056"/>
      <c r="CD68" s="4057"/>
      <c r="CE68" s="4058"/>
      <c r="CF68" s="4059"/>
      <c r="CG68" s="4060"/>
      <c r="CH68" s="4061"/>
      <c r="CI68" s="4062"/>
      <c r="CJ68" s="4063"/>
      <c r="CK68" s="4064"/>
      <c r="CL68" s="4065"/>
      <c r="CM68" s="4066"/>
      <c r="CN68" s="4067"/>
      <c r="CO68" s="4068"/>
      <c r="CP68" s="4069"/>
      <c r="CQ68" s="4070"/>
      <c r="CR68" s="3581"/>
      <c r="CS68" s="3728"/>
      <c r="CT68" s="3728" t="str">
        <f>IF(T68="","",T68)</f>
        <v>Добавить группу потребителей</v>
      </c>
      <c r="CU68" s="3728"/>
      <c r="CV68" s="3728"/>
    </row>
    <row s="4071" customFormat="1" customHeight="1" ht="14.25">
      <c r="A69" s="3716"/>
      <c r="B69" s="3716"/>
      <c r="C69" s="3716"/>
      <c r="D69" s="3716"/>
      <c r="E69" s="3717"/>
      <c r="F69" s="3717"/>
      <c r="G69" s="3717"/>
      <c r="H69" s="3718" t="s">
        <v>104</v>
      </c>
      <c r="I69" s="3716"/>
      <c r="J69" s="3716"/>
      <c r="K69" s="3716"/>
      <c r="L69" s="3719"/>
      <c r="M69" s="3720"/>
      <c r="N69" s="3720"/>
      <c r="O69" s="3573"/>
      <c r="P69" s="3905"/>
      <c r="Q69" s="3906"/>
      <c r="R69" s="3907"/>
      <c r="S69" s="3908"/>
      <c r="T69" s="3909"/>
      <c r="U69" s="3569"/>
      <c r="V69" s="3569"/>
      <c r="W69" s="3569"/>
      <c r="X69" s="3569"/>
      <c r="Y69" s="3569"/>
      <c r="Z69" s="3569"/>
      <c r="AA69" s="3569"/>
      <c r="AB69" s="3569"/>
      <c r="AC69" s="3569"/>
      <c r="AD69" s="3569"/>
      <c r="AE69" s="3569"/>
      <c r="AF69" s="3569"/>
      <c r="AG69" s="3569"/>
      <c r="AH69" s="3569"/>
      <c r="AI69" s="3569"/>
      <c r="AJ69" s="3569"/>
      <c r="AK69" s="3569"/>
      <c r="AL69" s="3569"/>
      <c r="AM69" s="3569"/>
      <c r="AN69" s="3569"/>
      <c r="AO69" s="3569"/>
      <c r="AP69" s="3569"/>
      <c r="AQ69" s="3569"/>
      <c r="AR69" s="3569"/>
      <c r="AS69" s="3569"/>
      <c r="AT69" s="3569"/>
      <c r="AU69" s="3569"/>
      <c r="AV69" s="3569"/>
      <c r="AW69" s="3569"/>
      <c r="AX69" s="3569"/>
      <c r="AY69" s="3569"/>
      <c r="AZ69" s="3569"/>
      <c r="BA69" s="3569"/>
      <c r="BB69" s="3569"/>
      <c r="BC69" s="3569"/>
      <c r="BD69" s="3569"/>
      <c r="BE69" s="3569"/>
      <c r="BF69" s="3569"/>
      <c r="BG69" s="3569"/>
      <c r="BH69" s="3569"/>
      <c r="BI69" s="3569"/>
      <c r="BJ69" s="3569"/>
      <c r="BK69" s="3569"/>
      <c r="BL69" s="3569"/>
      <c r="BM69" s="3569"/>
      <c r="BN69" s="3569"/>
      <c r="BO69" s="3569"/>
      <c r="BP69" s="3569"/>
      <c r="BQ69" s="3569"/>
      <c r="BR69" s="3569"/>
      <c r="BS69" s="3569"/>
      <c r="BT69" s="3569"/>
      <c r="BU69" s="3569"/>
      <c r="BV69" s="3569"/>
      <c r="BW69" s="3569"/>
      <c r="BX69" s="3569"/>
      <c r="BY69" s="3569"/>
      <c r="BZ69" s="3569"/>
      <c r="CA69" s="3569"/>
      <c r="CB69" s="3569"/>
      <c r="CC69" s="3569"/>
      <c r="CD69" s="3569"/>
      <c r="CE69" s="3569"/>
      <c r="CF69" s="3569"/>
      <c r="CG69" s="3569"/>
      <c r="CH69" s="3569"/>
      <c r="CI69" s="3569"/>
      <c r="CJ69" s="3569"/>
      <c r="CK69" s="3569"/>
      <c r="CL69" s="3569"/>
      <c r="CM69" s="3569"/>
      <c r="CN69" s="3569"/>
      <c r="CO69" s="3569"/>
      <c r="CP69" s="3569"/>
      <c r="CQ69" s="3910"/>
      <c r="CR69" s="3581"/>
      <c r="CS69" s="3728"/>
      <c r="CT69" s="3728" t="str">
        <f>IF(T69="","",T69)</f>
        <v/>
      </c>
      <c r="CU69" s="3728"/>
      <c r="CV69" s="3728"/>
    </row>
    <row s="3314" customFormat="1" customHeight="1" ht="0.75">
      <c r="A70" s="1373" t="s">
        <v>246</v>
      </c>
      <c r="B70" s="1373" t="s">
        <v>247</v>
      </c>
      <c r="C70" s="1373" t="s">
        <v>248</v>
      </c>
      <c r="D70" s="1344"/>
      <c r="E70" s="2108"/>
      <c r="F70" s="2108"/>
      <c r="G70" s="2107"/>
      <c r="H70" s="1344"/>
      <c r="I70" s="1344"/>
      <c r="J70" s="1344"/>
      <c r="K70" s="1344"/>
      <c r="L70" s="1369"/>
      <c r="M70" s="1345"/>
      <c r="N70" s="1345"/>
      <c r="P70" s="1346"/>
      <c r="Q70" s="1347"/>
      <c r="R70" s="1346"/>
      <c r="S70" s="1352"/>
      <c r="T70" s="1355" t="s">
        <v>254</v>
      </c>
      <c r="U70" s="1354"/>
      <c r="V70" s="1354"/>
      <c r="W70" s="1354"/>
      <c r="X70" s="1354"/>
      <c r="Y70" s="1354"/>
      <c r="Z70" s="1354"/>
      <c r="AA70" s="1354"/>
      <c r="AB70" s="1354"/>
      <c r="AC70" s="1354"/>
      <c r="AD70" s="1354"/>
      <c r="AE70" s="1354"/>
      <c r="AF70" s="1354"/>
      <c r="AG70" s="1354"/>
      <c r="AH70" s="1354"/>
      <c r="AI70" s="1354"/>
      <c r="AJ70" s="1354"/>
      <c r="AK70" s="1354"/>
      <c r="AL70" s="3572"/>
      <c r="AM70" s="3572"/>
      <c r="AN70" s="3572"/>
      <c r="AO70" s="3572"/>
      <c r="AP70" s="3572"/>
      <c r="AQ70" s="3572"/>
      <c r="AR70" s="3572"/>
      <c r="AS70" s="3572"/>
      <c r="AT70" s="3572"/>
      <c r="AU70" s="3572"/>
      <c r="AV70" s="3572"/>
      <c r="AW70" s="3572"/>
      <c r="AX70" s="3572"/>
      <c r="AY70" s="3572"/>
      <c r="AZ70" s="3572"/>
      <c r="BA70" s="3572"/>
      <c r="BB70" s="3572"/>
      <c r="BC70" s="3572"/>
      <c r="BD70" s="3572"/>
      <c r="BE70" s="3572"/>
      <c r="BF70" s="3572"/>
      <c r="BG70" s="3572"/>
      <c r="BH70" s="3572"/>
      <c r="BI70" s="3572"/>
      <c r="BJ70" s="3572"/>
      <c r="BK70" s="3572"/>
      <c r="BL70" s="3572"/>
      <c r="BM70" s="3572"/>
      <c r="BN70" s="3572"/>
      <c r="BO70" s="3572"/>
      <c r="BP70" s="3572"/>
      <c r="BQ70" s="3572"/>
      <c r="BR70" s="3572"/>
      <c r="BS70" s="3572"/>
      <c r="BT70" s="3572"/>
      <c r="BU70" s="3572"/>
      <c r="BV70" s="3572"/>
      <c r="BW70" s="3572"/>
      <c r="BX70" s="3572"/>
      <c r="BY70" s="3572"/>
      <c r="BZ70" s="3572"/>
      <c r="CA70" s="3572"/>
      <c r="CB70" s="3572"/>
      <c r="CC70" s="3572"/>
      <c r="CD70" s="3572"/>
      <c r="CE70" s="3572"/>
      <c r="CF70" s="3572"/>
      <c r="CG70" s="3572"/>
      <c r="CH70" s="3572"/>
      <c r="CI70" s="3572"/>
      <c r="CJ70" s="3572"/>
      <c r="CK70" s="3572"/>
      <c r="CL70" s="3572"/>
      <c r="CM70" s="3572"/>
      <c r="CN70" s="3572"/>
      <c r="CO70" s="3572"/>
      <c r="CP70" s="1354"/>
      <c r="CQ70" s="1354"/>
      <c r="CS70" s="795"/>
      <c r="CT70" s="795" t="str">
        <f>IF(T70="","",T70)</f>
        <v>Добавить источник для дифференциации</v>
      </c>
      <c r="CU70" s="795"/>
      <c r="CV70" s="795"/>
    </row>
    <row s="3314" customFormat="1" customHeight="1" ht="0.75">
      <c r="A71" s="1373" t="s">
        <v>246</v>
      </c>
      <c r="B71" s="1373" t="s">
        <v>247</v>
      </c>
      <c r="C71" s="1344"/>
      <c r="D71" s="1344"/>
      <c r="E71" s="2108"/>
      <c r="F71" s="2107"/>
      <c r="G71" s="1344"/>
      <c r="H71" s="1344"/>
      <c r="I71" s="1344"/>
      <c r="J71" s="1344"/>
      <c r="K71" s="1344"/>
      <c r="L71" s="1369"/>
      <c r="M71" s="1351"/>
      <c r="N71" s="1351"/>
      <c r="P71" s="1346"/>
      <c r="Q71" s="1347"/>
      <c r="R71" s="1346"/>
      <c r="S71" s="1352"/>
      <c r="T71" s="1355" t="s">
        <v>255</v>
      </c>
      <c r="U71" s="1354"/>
      <c r="V71" s="1354"/>
      <c r="W71" s="1354"/>
      <c r="X71" s="1354"/>
      <c r="Y71" s="1354"/>
      <c r="Z71" s="1354"/>
      <c r="AA71" s="1354"/>
      <c r="AB71" s="1354"/>
      <c r="AC71" s="1354"/>
      <c r="AD71" s="1354"/>
      <c r="AE71" s="1354"/>
      <c r="AF71" s="1354"/>
      <c r="AG71" s="1354"/>
      <c r="AH71" s="1354"/>
      <c r="AI71" s="1354"/>
      <c r="AJ71" s="1354"/>
      <c r="AK71" s="1354"/>
      <c r="AL71" s="3572"/>
      <c r="AM71" s="3572"/>
      <c r="AN71" s="3572"/>
      <c r="AO71" s="3572"/>
      <c r="AP71" s="3572"/>
      <c r="AQ71" s="3572"/>
      <c r="AR71" s="3572"/>
      <c r="AS71" s="3572"/>
      <c r="AT71" s="3572"/>
      <c r="AU71" s="3572"/>
      <c r="AV71" s="3572"/>
      <c r="AW71" s="3572"/>
      <c r="AX71" s="3572"/>
      <c r="AY71" s="3572"/>
      <c r="AZ71" s="3572"/>
      <c r="BA71" s="3572"/>
      <c r="BB71" s="3572"/>
      <c r="BC71" s="3572"/>
      <c r="BD71" s="3572"/>
      <c r="BE71" s="3572"/>
      <c r="BF71" s="3572"/>
      <c r="BG71" s="3572"/>
      <c r="BH71" s="3572"/>
      <c r="BI71" s="3572"/>
      <c r="BJ71" s="3572"/>
      <c r="BK71" s="3572"/>
      <c r="BL71" s="3572"/>
      <c r="BM71" s="3572"/>
      <c r="BN71" s="3572"/>
      <c r="BO71" s="3572"/>
      <c r="BP71" s="3572"/>
      <c r="BQ71" s="3572"/>
      <c r="BR71" s="3572"/>
      <c r="BS71" s="3572"/>
      <c r="BT71" s="3572"/>
      <c r="BU71" s="3572"/>
      <c r="BV71" s="3572"/>
      <c r="BW71" s="3572"/>
      <c r="BX71" s="3572"/>
      <c r="BY71" s="3572"/>
      <c r="BZ71" s="3572"/>
      <c r="CA71" s="3572"/>
      <c r="CB71" s="3572"/>
      <c r="CC71" s="3572"/>
      <c r="CD71" s="3572"/>
      <c r="CE71" s="3572"/>
      <c r="CF71" s="3572"/>
      <c r="CG71" s="3572"/>
      <c r="CH71" s="3572"/>
      <c r="CI71" s="3572"/>
      <c r="CJ71" s="3572"/>
      <c r="CK71" s="3572"/>
      <c r="CL71" s="3572"/>
      <c r="CM71" s="3572"/>
      <c r="CN71" s="3572"/>
      <c r="CO71" s="3572"/>
      <c r="CP71" s="1354"/>
      <c r="CQ71" s="1354"/>
      <c r="CS71" s="795"/>
      <c r="CT71" s="795" t="str">
        <f>IF(T71="","",T71)</f>
        <v>Добавить централизованную систему для дифференциации</v>
      </c>
      <c r="CU71" s="795"/>
      <c r="CV71" s="795"/>
    </row>
    <row s="4072" customFormat="1" customHeight="1" ht="21">
      <c r="A72" s="3716"/>
      <c r="B72" s="3716" t="s">
        <v>256</v>
      </c>
      <c r="C72" s="3716"/>
      <c r="D72" s="3716"/>
      <c r="E72" s="3717"/>
      <c r="F72" s="3718" t="s">
        <v>104</v>
      </c>
      <c r="G72" s="3716"/>
      <c r="H72" s="3716"/>
      <c r="I72" s="3716"/>
      <c r="J72" s="3716"/>
      <c r="K72" s="3716"/>
      <c r="L72" s="3719"/>
      <c r="M72" s="3720"/>
      <c r="N72" s="3720"/>
      <c r="O72" s="3720"/>
      <c r="P72" s="4073"/>
      <c r="Q72" s="3722"/>
      <c r="R72" s="3723"/>
      <c r="S72" s="3724" t="str">
        <f>INDEX(PT_DIFFERENTIATION_NUM_TER,MATCH(B72,PT_DIFFERENTIATION_TER_ID,0))</f>
        <v>1.2</v>
      </c>
      <c r="T72" s="4074" t="s">
        <v>612</v>
      </c>
      <c r="U72" s="3726"/>
      <c r="V72" s="3432"/>
      <c r="W72" s="3433"/>
      <c r="X72" s="3433"/>
      <c r="Y72" s="3433"/>
      <c r="Z72" s="3433"/>
      <c r="AA72" s="3433"/>
      <c r="AB72" s="3433"/>
      <c r="AC72" s="3434"/>
      <c r="AD72" s="3432" t="str">
        <f>INDEX(PT_DIFFERENTIATION_TER,MATCH(B72,PT_DIFFERENTIATION_TER_ID,0))</f>
        <v>Территория 2</v>
      </c>
      <c r="AE72" s="3433"/>
      <c r="AF72" s="3433"/>
      <c r="AG72" s="3433"/>
      <c r="AH72" s="3433"/>
      <c r="AI72" s="3433"/>
      <c r="AJ72" s="3433"/>
      <c r="AK72" s="3433"/>
      <c r="AL72" s="3432"/>
      <c r="AM72" s="3433"/>
      <c r="AN72" s="3433"/>
      <c r="AO72" s="3433"/>
      <c r="AP72" s="3433"/>
      <c r="AQ72" s="3433"/>
      <c r="AR72" s="3433"/>
      <c r="AS72" s="3434"/>
      <c r="AT72" s="3432"/>
      <c r="AU72" s="3433"/>
      <c r="AV72" s="3433"/>
      <c r="AW72" s="3433"/>
      <c r="AX72" s="3433"/>
      <c r="AY72" s="3433"/>
      <c r="AZ72" s="3433"/>
      <c r="BA72" s="3434"/>
      <c r="BB72" s="3432"/>
      <c r="BC72" s="3433"/>
      <c r="BD72" s="3433"/>
      <c r="BE72" s="3433"/>
      <c r="BF72" s="3433"/>
      <c r="BG72" s="3433"/>
      <c r="BH72" s="3433"/>
      <c r="BI72" s="3434"/>
      <c r="BJ72" s="3432"/>
      <c r="BK72" s="3433"/>
      <c r="BL72" s="3433"/>
      <c r="BM72" s="3433"/>
      <c r="BN72" s="3433"/>
      <c r="BO72" s="3433"/>
      <c r="BP72" s="3433"/>
      <c r="BQ72" s="3434"/>
      <c r="BR72" s="3432"/>
      <c r="BS72" s="3433"/>
      <c r="BT72" s="3433"/>
      <c r="BU72" s="3433"/>
      <c r="BV72" s="3433"/>
      <c r="BW72" s="3433"/>
      <c r="BX72" s="3433"/>
      <c r="BY72" s="3434"/>
      <c r="BZ72" s="3432"/>
      <c r="CA72" s="3433"/>
      <c r="CB72" s="3433"/>
      <c r="CC72" s="3433"/>
      <c r="CD72" s="3433"/>
      <c r="CE72" s="3433"/>
      <c r="CF72" s="3433"/>
      <c r="CG72" s="3434"/>
      <c r="CH72" s="3432"/>
      <c r="CI72" s="3433"/>
      <c r="CJ72" s="3433"/>
      <c r="CK72" s="3433"/>
      <c r="CL72" s="3433"/>
      <c r="CM72" s="3433"/>
      <c r="CN72" s="3433"/>
      <c r="CO72" s="3434"/>
      <c r="CP72" s="3434"/>
      <c r="CQ72" s="3727" t="s">
        <v>613</v>
      </c>
      <c r="CR72" s="3581"/>
      <c r="CS72" s="3728"/>
      <c r="CT72" s="3728" t="str">
        <f>IF(T72="","",T72)</f>
        <v>Территория действия тарифа</v>
      </c>
      <c r="CU72" s="3728"/>
      <c r="CV72" s="3728"/>
    </row>
    <row s="4075" customFormat="1" customHeight="1" ht="23.25">
      <c r="A73" s="3716"/>
      <c r="B73" s="3716"/>
      <c r="C73" s="3716" t="s">
        <v>257</v>
      </c>
      <c r="D73" s="3716"/>
      <c r="E73" s="3717"/>
      <c r="F73" s="3717">
        <v>1</v>
      </c>
      <c r="G73" s="3718">
        <v>1</v>
      </c>
      <c r="H73" s="3716"/>
      <c r="I73" s="3716"/>
      <c r="J73" s="3716"/>
      <c r="K73" s="3716"/>
      <c r="L73" s="3719"/>
      <c r="M73" s="3720"/>
      <c r="N73" s="3720"/>
      <c r="O73" s="3720"/>
      <c r="P73" s="3721"/>
      <c r="Q73" s="3722"/>
      <c r="R73" s="3723"/>
      <c r="S73" s="3724" t="str">
        <f>INDEX(PT_DIFFERENTIATION_NUM_CS,MATCH(C73,PT_DIFFERENTIATION_CS_ID,0))</f>
        <v>1.2.1</v>
      </c>
      <c r="T73" s="4076" t="s">
        <v>614</v>
      </c>
      <c r="U73" s="3726"/>
      <c r="V73" s="3432"/>
      <c r="W73" s="3433"/>
      <c r="X73" s="3433"/>
      <c r="Y73" s="3433"/>
      <c r="Z73" s="3433"/>
      <c r="AA73" s="3433"/>
      <c r="AB73" s="3433"/>
      <c r="AC73" s="3434"/>
      <c r="AD73" s="3432" t="str">
        <f>INDEX(PT_DIFFERENTIATION_CS,MATCH(C73,PT_DIFFERENTIATION_CS_ID,0))</f>
        <v>без дифференциации</v>
      </c>
      <c r="AE73" s="3433"/>
      <c r="AF73" s="3433"/>
      <c r="AG73" s="3433"/>
      <c r="AH73" s="3433"/>
      <c r="AI73" s="3433"/>
      <c r="AJ73" s="3433"/>
      <c r="AK73" s="3433"/>
      <c r="AL73" s="3432"/>
      <c r="AM73" s="3433"/>
      <c r="AN73" s="3433"/>
      <c r="AO73" s="3433"/>
      <c r="AP73" s="3433"/>
      <c r="AQ73" s="3433"/>
      <c r="AR73" s="3433"/>
      <c r="AS73" s="3434"/>
      <c r="AT73" s="3432"/>
      <c r="AU73" s="3433"/>
      <c r="AV73" s="3433"/>
      <c r="AW73" s="3433"/>
      <c r="AX73" s="3433"/>
      <c r="AY73" s="3433"/>
      <c r="AZ73" s="3433"/>
      <c r="BA73" s="3434"/>
      <c r="BB73" s="3432"/>
      <c r="BC73" s="3433"/>
      <c r="BD73" s="3433"/>
      <c r="BE73" s="3433"/>
      <c r="BF73" s="3433"/>
      <c r="BG73" s="3433"/>
      <c r="BH73" s="3433"/>
      <c r="BI73" s="3434"/>
      <c r="BJ73" s="3432"/>
      <c r="BK73" s="3433"/>
      <c r="BL73" s="3433"/>
      <c r="BM73" s="3433"/>
      <c r="BN73" s="3433"/>
      <c r="BO73" s="3433"/>
      <c r="BP73" s="3433"/>
      <c r="BQ73" s="3434"/>
      <c r="BR73" s="3432"/>
      <c r="BS73" s="3433"/>
      <c r="BT73" s="3433"/>
      <c r="BU73" s="3433"/>
      <c r="BV73" s="3433"/>
      <c r="BW73" s="3433"/>
      <c r="BX73" s="3433"/>
      <c r="BY73" s="3434"/>
      <c r="BZ73" s="3432"/>
      <c r="CA73" s="3433"/>
      <c r="CB73" s="3433"/>
      <c r="CC73" s="3433"/>
      <c r="CD73" s="3433"/>
      <c r="CE73" s="3433"/>
      <c r="CF73" s="3433"/>
      <c r="CG73" s="3434"/>
      <c r="CH73" s="3432"/>
      <c r="CI73" s="3433"/>
      <c r="CJ73" s="3433"/>
      <c r="CK73" s="3433"/>
      <c r="CL73" s="3433"/>
      <c r="CM73" s="3433"/>
      <c r="CN73" s="3433"/>
      <c r="CO73" s="3434"/>
      <c r="CP73" s="3434"/>
      <c r="CQ73" s="3727" t="s">
        <v>615</v>
      </c>
      <c r="CR73" s="3581"/>
      <c r="CS73" s="3728"/>
      <c r="CT73" s="3728" t="str">
        <f>IF(T73="","",T73)</f>
        <v>Наименование системы теплоснабжения </v>
      </c>
      <c r="CU73" s="3728"/>
      <c r="CV73" s="3728"/>
    </row>
    <row s="4077" customFormat="1" customHeight="1" ht="21">
      <c r="A74" s="3716"/>
      <c r="B74" s="3716"/>
      <c r="C74" s="3716"/>
      <c r="D74" s="3716" t="s">
        <v>258</v>
      </c>
      <c r="E74" s="3717"/>
      <c r="F74" s="3717">
        <v>1</v>
      </c>
      <c r="G74" s="3717"/>
      <c r="H74" s="3718">
        <v>1</v>
      </c>
      <c r="I74" s="3716"/>
      <c r="J74" s="3716"/>
      <c r="K74" s="3716"/>
      <c r="L74" s="3719"/>
      <c r="M74" s="3720"/>
      <c r="N74" s="3720"/>
      <c r="O74" s="3720"/>
      <c r="P74" s="3721"/>
      <c r="Q74" s="3722"/>
      <c r="R74" s="3723"/>
      <c r="S74" s="3724" t="str">
        <f>INDEX(PT_DIFFERENTIATION_NUM_IST_TE,MATCH(D74,PT_DIFFERENTIATION_IST_TE_ID,0))</f>
        <v>1.2.1.1</v>
      </c>
      <c r="T74" s="3725" t="s">
        <v>616</v>
      </c>
      <c r="U74" s="3726"/>
      <c r="V74" s="3432"/>
      <c r="W74" s="3433"/>
      <c r="X74" s="3433"/>
      <c r="Y74" s="3433"/>
      <c r="Z74" s="3433"/>
      <c r="AA74" s="3433"/>
      <c r="AB74" s="3433"/>
      <c r="AC74" s="3434"/>
      <c r="AD74" s="3432" t="str">
        <f>INDEX(PT_DIFFERENTIATION_IST_TE,MATCH(D74,PT_DIFFERENTIATION_IST_TE_ID,0))</f>
        <v>без дифференциации</v>
      </c>
      <c r="AE74" s="3433"/>
      <c r="AF74" s="3433"/>
      <c r="AG74" s="3433"/>
      <c r="AH74" s="3433"/>
      <c r="AI74" s="3433"/>
      <c r="AJ74" s="3433"/>
      <c r="AK74" s="3433"/>
      <c r="AL74" s="3432"/>
      <c r="AM74" s="3433"/>
      <c r="AN74" s="3433"/>
      <c r="AO74" s="3433"/>
      <c r="AP74" s="3433"/>
      <c r="AQ74" s="3433"/>
      <c r="AR74" s="3433"/>
      <c r="AS74" s="3434"/>
      <c r="AT74" s="3432"/>
      <c r="AU74" s="3433"/>
      <c r="AV74" s="3433"/>
      <c r="AW74" s="3433"/>
      <c r="AX74" s="3433"/>
      <c r="AY74" s="3433"/>
      <c r="AZ74" s="3433"/>
      <c r="BA74" s="3434"/>
      <c r="BB74" s="3432"/>
      <c r="BC74" s="3433"/>
      <c r="BD74" s="3433"/>
      <c r="BE74" s="3433"/>
      <c r="BF74" s="3433"/>
      <c r="BG74" s="3433"/>
      <c r="BH74" s="3433"/>
      <c r="BI74" s="3434"/>
      <c r="BJ74" s="3432"/>
      <c r="BK74" s="3433"/>
      <c r="BL74" s="3433"/>
      <c r="BM74" s="3433"/>
      <c r="BN74" s="3433"/>
      <c r="BO74" s="3433"/>
      <c r="BP74" s="3433"/>
      <c r="BQ74" s="3434"/>
      <c r="BR74" s="3432"/>
      <c r="BS74" s="3433"/>
      <c r="BT74" s="3433"/>
      <c r="BU74" s="3433"/>
      <c r="BV74" s="3433"/>
      <c r="BW74" s="3433"/>
      <c r="BX74" s="3433"/>
      <c r="BY74" s="3434"/>
      <c r="BZ74" s="3432"/>
      <c r="CA74" s="3433"/>
      <c r="CB74" s="3433"/>
      <c r="CC74" s="3433"/>
      <c r="CD74" s="3433"/>
      <c r="CE74" s="3433"/>
      <c r="CF74" s="3433"/>
      <c r="CG74" s="3434"/>
      <c r="CH74" s="3432"/>
      <c r="CI74" s="3433"/>
      <c r="CJ74" s="3433"/>
      <c r="CK74" s="3433"/>
      <c r="CL74" s="3433"/>
      <c r="CM74" s="3433"/>
      <c r="CN74" s="3433"/>
      <c r="CO74" s="3434"/>
      <c r="CP74" s="3434"/>
      <c r="CQ74" s="3727" t="s">
        <v>617</v>
      </c>
      <c r="CR74" s="3581"/>
      <c r="CS74" s="3728"/>
      <c r="CT74" s="3728" t="str">
        <f>IF(T74="","",T74)</f>
        <v>Источник тепловой энергии  </v>
      </c>
      <c r="CU74" s="3728"/>
      <c r="CV74" s="3728"/>
    </row>
    <row s="4078" customFormat="1" customHeight="1" ht="14.25">
      <c r="A75" s="3716"/>
      <c r="B75" s="3716"/>
      <c r="C75" s="3716"/>
      <c r="D75" s="3716"/>
      <c r="E75" s="3717"/>
      <c r="F75" s="3717">
        <v>1</v>
      </c>
      <c r="G75" s="3717"/>
      <c r="H75" s="3717"/>
      <c r="I75" s="3730" t="str">
        <f>S74&amp;".1"</f>
        <v>1.2.1.1.1</v>
      </c>
      <c r="J75" s="3716"/>
      <c r="K75" s="3716"/>
      <c r="L75" s="3719" t="s">
        <v>618</v>
      </c>
      <c r="M75" s="3573"/>
      <c r="N75" s="3731"/>
      <c r="O75" s="3731"/>
      <c r="P75" s="3732">
        <v>1</v>
      </c>
      <c r="Q75" s="3732"/>
      <c r="R75" s="3733"/>
      <c r="S75" s="3734"/>
      <c r="T75" s="3735"/>
      <c r="U75" s="3736"/>
      <c r="V75" s="3441"/>
      <c r="W75" s="3442"/>
      <c r="X75" s="3442"/>
      <c r="Y75" s="3442"/>
      <c r="Z75" s="3442"/>
      <c r="AA75" s="3442"/>
      <c r="AB75" s="3442"/>
      <c r="AC75" s="3443"/>
      <c r="AD75" s="3441"/>
      <c r="AE75" s="3442"/>
      <c r="AF75" s="3442"/>
      <c r="AG75" s="3442"/>
      <c r="AH75" s="3442"/>
      <c r="AI75" s="3442"/>
      <c r="AJ75" s="3442"/>
      <c r="AK75" s="3442"/>
      <c r="AL75" s="3441"/>
      <c r="AM75" s="3442"/>
      <c r="AN75" s="3442"/>
      <c r="AO75" s="3442"/>
      <c r="AP75" s="3442"/>
      <c r="AQ75" s="3442"/>
      <c r="AR75" s="3442"/>
      <c r="AS75" s="3443"/>
      <c r="AT75" s="3441"/>
      <c r="AU75" s="3442"/>
      <c r="AV75" s="3442"/>
      <c r="AW75" s="3442"/>
      <c r="AX75" s="3442"/>
      <c r="AY75" s="3442"/>
      <c r="AZ75" s="3442"/>
      <c r="BA75" s="3443"/>
      <c r="BB75" s="3441"/>
      <c r="BC75" s="3442"/>
      <c r="BD75" s="3442"/>
      <c r="BE75" s="3442"/>
      <c r="BF75" s="3442"/>
      <c r="BG75" s="3442"/>
      <c r="BH75" s="3442"/>
      <c r="BI75" s="3443"/>
      <c r="BJ75" s="3441"/>
      <c r="BK75" s="3442"/>
      <c r="BL75" s="3442"/>
      <c r="BM75" s="3442"/>
      <c r="BN75" s="3442"/>
      <c r="BO75" s="3442"/>
      <c r="BP75" s="3442"/>
      <c r="BQ75" s="3443"/>
      <c r="BR75" s="3441"/>
      <c r="BS75" s="3442"/>
      <c r="BT75" s="3442"/>
      <c r="BU75" s="3442"/>
      <c r="BV75" s="3442"/>
      <c r="BW75" s="3442"/>
      <c r="BX75" s="3442"/>
      <c r="BY75" s="3443"/>
      <c r="BZ75" s="3441"/>
      <c r="CA75" s="3442"/>
      <c r="CB75" s="3442"/>
      <c r="CC75" s="3442"/>
      <c r="CD75" s="3442"/>
      <c r="CE75" s="3442"/>
      <c r="CF75" s="3442"/>
      <c r="CG75" s="3443"/>
      <c r="CH75" s="3441"/>
      <c r="CI75" s="3442"/>
      <c r="CJ75" s="3442"/>
      <c r="CK75" s="3442"/>
      <c r="CL75" s="3442"/>
      <c r="CM75" s="3442"/>
      <c r="CN75" s="3442"/>
      <c r="CO75" s="3443"/>
      <c r="CP75" s="3443"/>
      <c r="CQ75" s="3737"/>
      <c r="CR75" s="3581"/>
      <c r="CS75" s="3728"/>
      <c r="CT75" s="3728" t="str">
        <f>IF(T75="","",T75)</f>
        <v/>
      </c>
      <c r="CU75" s="3728"/>
      <c r="CV75" s="3728"/>
    </row>
    <row s="4079" customFormat="1" customHeight="1" ht="21">
      <c r="A76" s="3716"/>
      <c r="B76" s="3716"/>
      <c r="C76" s="3716"/>
      <c r="D76" s="3716"/>
      <c r="E76" s="3717"/>
      <c r="F76" s="3717">
        <v>1</v>
      </c>
      <c r="G76" s="3717"/>
      <c r="H76" s="3717"/>
      <c r="I76" s="3739"/>
      <c r="J76" s="3730" t="str">
        <f>I75&amp;".1"</f>
        <v>1.2.1.1.1.1</v>
      </c>
      <c r="K76" s="3716"/>
      <c r="L76" s="3719" t="s">
        <v>621</v>
      </c>
      <c r="M76" s="3573"/>
      <c r="N76" s="3573"/>
      <c r="O76" s="3731"/>
      <c r="P76" s="3732"/>
      <c r="Q76" s="3732">
        <v>1</v>
      </c>
      <c r="R76" s="3740"/>
      <c r="S76" s="3724" t="str">
        <f>$J76</f>
        <v>1.2.1.1.1.1</v>
      </c>
      <c r="T76" s="3741" t="s">
        <v>622</v>
      </c>
      <c r="U76" s="3726"/>
      <c r="V76" s="3445"/>
      <c r="W76" s="3446"/>
      <c r="X76" s="3446"/>
      <c r="Y76" s="3446"/>
      <c r="Z76" s="3446"/>
      <c r="AA76" s="3446"/>
      <c r="AB76" s="3446"/>
      <c r="AC76" s="3447"/>
      <c r="AD76" s="3445" t="s">
        <v>662</v>
      </c>
      <c r="AE76" s="3446"/>
      <c r="AF76" s="3446"/>
      <c r="AG76" s="3446"/>
      <c r="AH76" s="3446"/>
      <c r="AI76" s="3446"/>
      <c r="AJ76" s="3446"/>
      <c r="AK76" s="3446"/>
      <c r="AL76" s="3445"/>
      <c r="AM76" s="3446"/>
      <c r="AN76" s="3446"/>
      <c r="AO76" s="3446"/>
      <c r="AP76" s="3446"/>
      <c r="AQ76" s="3446"/>
      <c r="AR76" s="3446"/>
      <c r="AS76" s="3447"/>
      <c r="AT76" s="3445"/>
      <c r="AU76" s="3446"/>
      <c r="AV76" s="3446"/>
      <c r="AW76" s="3446"/>
      <c r="AX76" s="3446"/>
      <c r="AY76" s="3446"/>
      <c r="AZ76" s="3446"/>
      <c r="BA76" s="3447"/>
      <c r="BB76" s="3445"/>
      <c r="BC76" s="3446"/>
      <c r="BD76" s="3446"/>
      <c r="BE76" s="3446"/>
      <c r="BF76" s="3446"/>
      <c r="BG76" s="3446"/>
      <c r="BH76" s="3446"/>
      <c r="BI76" s="3447"/>
      <c r="BJ76" s="3445"/>
      <c r="BK76" s="3446"/>
      <c r="BL76" s="3446"/>
      <c r="BM76" s="3446"/>
      <c r="BN76" s="3446"/>
      <c r="BO76" s="3446"/>
      <c r="BP76" s="3446"/>
      <c r="BQ76" s="3447"/>
      <c r="BR76" s="3445"/>
      <c r="BS76" s="3446"/>
      <c r="BT76" s="3446"/>
      <c r="BU76" s="3446"/>
      <c r="BV76" s="3446"/>
      <c r="BW76" s="3446"/>
      <c r="BX76" s="3446"/>
      <c r="BY76" s="3447"/>
      <c r="BZ76" s="3445"/>
      <c r="CA76" s="3446"/>
      <c r="CB76" s="3446"/>
      <c r="CC76" s="3446"/>
      <c r="CD76" s="3446"/>
      <c r="CE76" s="3446"/>
      <c r="CF76" s="3446"/>
      <c r="CG76" s="3447"/>
      <c r="CH76" s="3445"/>
      <c r="CI76" s="3446"/>
      <c r="CJ76" s="3446"/>
      <c r="CK76" s="3446"/>
      <c r="CL76" s="3446"/>
      <c r="CM76" s="3446"/>
      <c r="CN76" s="3446"/>
      <c r="CO76" s="3447"/>
      <c r="CP76" s="3447"/>
      <c r="CQ76" s="3727" t="s">
        <v>623</v>
      </c>
      <c r="CR76" s="3581"/>
      <c r="CS76" s="3728"/>
      <c r="CT76" s="3728" t="str">
        <f>IF(T76="","",T76)</f>
        <v>Группа потребителей</v>
      </c>
      <c r="CU76" s="3728"/>
      <c r="CV76" s="3728"/>
    </row>
    <row s="4080" customFormat="1" customHeight="1" ht="21">
      <c r="A77" s="3716"/>
      <c r="B77" s="3716"/>
      <c r="C77" s="3716"/>
      <c r="D77" s="3716"/>
      <c r="E77" s="3717"/>
      <c r="F77" s="3717">
        <v>1</v>
      </c>
      <c r="G77" s="3717"/>
      <c r="H77" s="3717"/>
      <c r="I77" s="3739"/>
      <c r="J77" s="3739"/>
      <c r="K77" s="3730" t="str">
        <f>J76&amp;".1"</f>
        <v>1.2.1.1.1.1.1</v>
      </c>
      <c r="L77" s="3719" t="s">
        <v>624</v>
      </c>
      <c r="M77" s="3573"/>
      <c r="N77" s="3573"/>
      <c r="O77" s="3573"/>
      <c r="P77" s="3732"/>
      <c r="Q77" s="3732"/>
      <c r="R77" s="3740">
        <v>1</v>
      </c>
      <c r="S77" s="3724" t="str">
        <f>$K77</f>
        <v>1.2.1.1.1.1.1</v>
      </c>
      <c r="T77" s="3743" t="s">
        <v>663</v>
      </c>
      <c r="U77" s="3726"/>
      <c r="V77" s="3448"/>
      <c r="W77" s="3449"/>
      <c r="X77" s="3448"/>
      <c r="Y77" s="3450"/>
      <c r="Z77" s="3451"/>
      <c r="AA77" s="2872" t="s">
        <v>63</v>
      </c>
      <c r="AB77" s="3451"/>
      <c r="AC77" s="2872" t="s">
        <v>63</v>
      </c>
      <c r="AD77" s="3448">
        <v>28.25</v>
      </c>
      <c r="AE77" s="3449"/>
      <c r="AF77" s="3448"/>
      <c r="AG77" s="3450"/>
      <c r="AH77" s="3451">
        <v>44197</v>
      </c>
      <c r="AI77" s="2872" t="s">
        <v>63</v>
      </c>
      <c r="AJ77" s="3451">
        <v>44377</v>
      </c>
      <c r="AK77" s="2872" t="s">
        <v>63</v>
      </c>
      <c r="AL77" s="3448">
        <v>34.35</v>
      </c>
      <c r="AM77" s="3449"/>
      <c r="AN77" s="3448"/>
      <c r="AO77" s="3450"/>
      <c r="AP77" s="3451">
        <v>44378</v>
      </c>
      <c r="AQ77" s="2872" t="s">
        <v>63</v>
      </c>
      <c r="AR77" s="3451">
        <v>44561</v>
      </c>
      <c r="AS77" s="2872" t="s">
        <v>63</v>
      </c>
      <c r="AT77" s="3448">
        <v>32.45</v>
      </c>
      <c r="AU77" s="3449"/>
      <c r="AV77" s="3448"/>
      <c r="AW77" s="3450"/>
      <c r="AX77" s="3451">
        <v>44562</v>
      </c>
      <c r="AY77" s="2872" t="s">
        <v>63</v>
      </c>
      <c r="AZ77" s="3451">
        <v>44601</v>
      </c>
      <c r="BA77" s="2872" t="s">
        <v>63</v>
      </c>
      <c r="BB77" s="3448">
        <v>32.45</v>
      </c>
      <c r="BC77" s="3449"/>
      <c r="BD77" s="3448"/>
      <c r="BE77" s="3450"/>
      <c r="BF77" s="3451">
        <v>44602</v>
      </c>
      <c r="BG77" s="2872" t="s">
        <v>63</v>
      </c>
      <c r="BH77" s="3451">
        <v>44742</v>
      </c>
      <c r="BI77" s="2872" t="s">
        <v>63</v>
      </c>
      <c r="BJ77" s="3448">
        <v>32.45</v>
      </c>
      <c r="BK77" s="3449"/>
      <c r="BL77" s="3448"/>
      <c r="BM77" s="3450"/>
      <c r="BN77" s="3451">
        <v>44743</v>
      </c>
      <c r="BO77" s="2872" t="s">
        <v>63</v>
      </c>
      <c r="BP77" s="3451">
        <v>44804</v>
      </c>
      <c r="BQ77" s="2872" t="s">
        <v>63</v>
      </c>
      <c r="BR77" s="3448">
        <v>32.45</v>
      </c>
      <c r="BS77" s="3449"/>
      <c r="BT77" s="3448"/>
      <c r="BU77" s="3450"/>
      <c r="BV77" s="3451">
        <v>44805</v>
      </c>
      <c r="BW77" s="2872" t="s">
        <v>63</v>
      </c>
      <c r="BX77" s="3451">
        <v>44895</v>
      </c>
      <c r="BY77" s="2872" t="s">
        <v>63</v>
      </c>
      <c r="BZ77" s="3448">
        <v>35.07</v>
      </c>
      <c r="CA77" s="3449"/>
      <c r="CB77" s="3448"/>
      <c r="CC77" s="3450"/>
      <c r="CD77" s="3451">
        <v>44896</v>
      </c>
      <c r="CE77" s="2872" t="s">
        <v>63</v>
      </c>
      <c r="CF77" s="3451">
        <v>45174</v>
      </c>
      <c r="CG77" s="2872" t="s">
        <v>63</v>
      </c>
      <c r="CH77" s="3448">
        <v>35.07</v>
      </c>
      <c r="CI77" s="3449"/>
      <c r="CJ77" s="3448"/>
      <c r="CK77" s="3450"/>
      <c r="CL77" s="3451">
        <v>45175</v>
      </c>
      <c r="CM77" s="2872" t="s">
        <v>63</v>
      </c>
      <c r="CN77" s="3451">
        <v>45291</v>
      </c>
      <c r="CO77" s="2872" t="s">
        <v>63</v>
      </c>
      <c r="CP77" s="3449"/>
      <c r="CQ77" s="3744" t="s">
        <v>625</v>
      </c>
      <c r="CR77" s="3581">
        <f>STRCHECKDATE(V78:CP78)</f>
      </c>
      <c r="CS77" s="3728"/>
      <c r="CT77" s="3728" t="str">
        <f>IF(T77="","",T77)</f>
        <v>вода</v>
      </c>
      <c r="CU77" s="3728"/>
      <c r="CV77" s="3728"/>
    </row>
    <row s="4081" customFormat="1" customHeight="1" ht="0.75">
      <c r="A78" s="3716"/>
      <c r="B78" s="3716"/>
      <c r="C78" s="3716"/>
      <c r="D78" s="3716"/>
      <c r="E78" s="3717"/>
      <c r="F78" s="3717">
        <v>1</v>
      </c>
      <c r="G78" s="3717"/>
      <c r="H78" s="3717"/>
      <c r="I78" s="3739"/>
      <c r="J78" s="3739"/>
      <c r="K78" s="3730"/>
      <c r="L78" s="3719"/>
      <c r="M78" s="3573"/>
      <c r="N78" s="3573"/>
      <c r="O78" s="3573"/>
      <c r="P78" s="3732"/>
      <c r="Q78" s="3732"/>
      <c r="R78" s="3740"/>
      <c r="S78" s="3746"/>
      <c r="T78" s="3726"/>
      <c r="U78" s="3726"/>
      <c r="V78" s="3449"/>
      <c r="W78" s="3449"/>
      <c r="X78" s="3449"/>
      <c r="Y78" s="3452" t="str">
        <f>Z77&amp;"-"&amp;AB77</f>
        <v>-</v>
      </c>
      <c r="Z78" s="3453"/>
      <c r="AA78" s="2872"/>
      <c r="AB78" s="3453"/>
      <c r="AC78" s="2872"/>
      <c r="AD78" s="3449"/>
      <c r="AE78" s="3449"/>
      <c r="AF78" s="3449"/>
      <c r="AG78" s="3452" t="str">
        <f>AH77&amp;"-"&amp;AJ77</f>
        <v>44197-44377</v>
      </c>
      <c r="AH78" s="3453"/>
      <c r="AI78" s="2872"/>
      <c r="AJ78" s="3453"/>
      <c r="AK78" s="2872"/>
      <c r="AL78" s="3449"/>
      <c r="AM78" s="3449"/>
      <c r="AN78" s="3449"/>
      <c r="AO78" s="3452" t="str">
        <f>AP77&amp;"-"&amp;AR77</f>
        <v>44378-44561</v>
      </c>
      <c r="AP78" s="3453"/>
      <c r="AQ78" s="2872"/>
      <c r="AR78" s="3453"/>
      <c r="AS78" s="2872"/>
      <c r="AT78" s="3449"/>
      <c r="AU78" s="3449"/>
      <c r="AV78" s="3449"/>
      <c r="AW78" s="3452" t="str">
        <f>AX77&amp;"-"&amp;AZ77</f>
        <v>44562-44601</v>
      </c>
      <c r="AX78" s="3453"/>
      <c r="AY78" s="2872"/>
      <c r="AZ78" s="3453"/>
      <c r="BA78" s="2872"/>
      <c r="BB78" s="3449"/>
      <c r="BC78" s="3449"/>
      <c r="BD78" s="3449"/>
      <c r="BE78" s="3452" t="str">
        <f>BF77&amp;"-"&amp;BH77</f>
        <v>44602-44742</v>
      </c>
      <c r="BF78" s="3453"/>
      <c r="BG78" s="2872"/>
      <c r="BH78" s="3453"/>
      <c r="BI78" s="2872"/>
      <c r="BJ78" s="3449"/>
      <c r="BK78" s="3449"/>
      <c r="BL78" s="3449"/>
      <c r="BM78" s="3452" t="str">
        <f>BN77&amp;"-"&amp;BP77</f>
        <v>44743-44804</v>
      </c>
      <c r="BN78" s="3453"/>
      <c r="BO78" s="2872"/>
      <c r="BP78" s="3453"/>
      <c r="BQ78" s="2872"/>
      <c r="BR78" s="3449"/>
      <c r="BS78" s="3449"/>
      <c r="BT78" s="3449"/>
      <c r="BU78" s="3452" t="str">
        <f>BV77&amp;"-"&amp;BX77</f>
        <v>44805-44895</v>
      </c>
      <c r="BV78" s="3453"/>
      <c r="BW78" s="2872"/>
      <c r="BX78" s="3453"/>
      <c r="BY78" s="2872"/>
      <c r="BZ78" s="3449"/>
      <c r="CA78" s="3449"/>
      <c r="CB78" s="3449"/>
      <c r="CC78" s="3452" t="str">
        <f>CD77&amp;"-"&amp;CF77</f>
        <v>44896-45174</v>
      </c>
      <c r="CD78" s="3453"/>
      <c r="CE78" s="2872"/>
      <c r="CF78" s="3453"/>
      <c r="CG78" s="2872"/>
      <c r="CH78" s="3449"/>
      <c r="CI78" s="3449"/>
      <c r="CJ78" s="3449"/>
      <c r="CK78" s="3452" t="str">
        <f>CL77&amp;"-"&amp;CN77</f>
        <v>45175-45291</v>
      </c>
      <c r="CL78" s="3453"/>
      <c r="CM78" s="2872"/>
      <c r="CN78" s="3453"/>
      <c r="CO78" s="2872"/>
      <c r="CP78" s="3449"/>
      <c r="CQ78" s="3747"/>
      <c r="CR78" s="3581"/>
      <c r="CS78" s="3728"/>
      <c r="CT78" s="3728" t="str">
        <f>IF(T78="","",T78)</f>
        <v/>
      </c>
      <c r="CU78" s="3728"/>
      <c r="CV78" s="3728"/>
    </row>
    <row s="4082" customFormat="1" customHeight="1" ht="15">
      <c r="A79" s="3716"/>
      <c r="B79" s="3716"/>
      <c r="C79" s="3716"/>
      <c r="D79" s="3716"/>
      <c r="E79" s="3717"/>
      <c r="F79" s="3717">
        <v>1</v>
      </c>
      <c r="G79" s="3717"/>
      <c r="H79" s="3717"/>
      <c r="I79" s="3739"/>
      <c r="J79" s="3730"/>
      <c r="K79" s="3716"/>
      <c r="L79" s="3719"/>
      <c r="M79" s="3573"/>
      <c r="N79" s="3573"/>
      <c r="O79" s="3731"/>
      <c r="P79" s="3732"/>
      <c r="Q79" s="3732"/>
      <c r="R79" s="3733"/>
      <c r="S79" s="4083"/>
      <c r="T79" s="4084" t="s">
        <v>626</v>
      </c>
      <c r="U79" s="4085"/>
      <c r="V79" s="4086"/>
      <c r="W79" s="4087"/>
      <c r="X79" s="4088"/>
      <c r="Y79" s="4089"/>
      <c r="Z79" s="4090"/>
      <c r="AA79" s="4091"/>
      <c r="AB79" s="4092"/>
      <c r="AC79" s="4093"/>
      <c r="AD79" s="4094"/>
      <c r="AE79" s="4095"/>
      <c r="AF79" s="4096"/>
      <c r="AG79" s="4097"/>
      <c r="AH79" s="4098"/>
      <c r="AI79" s="4099"/>
      <c r="AJ79" s="4100"/>
      <c r="AK79" s="4101"/>
      <c r="AL79" s="4102"/>
      <c r="AM79" s="4103"/>
      <c r="AN79" s="4104"/>
      <c r="AO79" s="4105"/>
      <c r="AP79" s="4106"/>
      <c r="AQ79" s="4107"/>
      <c r="AR79" s="4108"/>
      <c r="AS79" s="4109"/>
      <c r="AT79" s="4110"/>
      <c r="AU79" s="4111"/>
      <c r="AV79" s="4112"/>
      <c r="AW79" s="4113"/>
      <c r="AX79" s="4114"/>
      <c r="AY79" s="4115"/>
      <c r="AZ79" s="4116"/>
      <c r="BA79" s="4117"/>
      <c r="BB79" s="4118"/>
      <c r="BC79" s="4119"/>
      <c r="BD79" s="4120"/>
      <c r="BE79" s="4121"/>
      <c r="BF79" s="4122"/>
      <c r="BG79" s="4123"/>
      <c r="BH79" s="4124"/>
      <c r="BI79" s="4125"/>
      <c r="BJ79" s="4126"/>
      <c r="BK79" s="4127"/>
      <c r="BL79" s="4128"/>
      <c r="BM79" s="4129"/>
      <c r="BN79" s="4130"/>
      <c r="BO79" s="4131"/>
      <c r="BP79" s="4132"/>
      <c r="BQ79" s="4133"/>
      <c r="BR79" s="4134"/>
      <c r="BS79" s="4135"/>
      <c r="BT79" s="4136"/>
      <c r="BU79" s="4137"/>
      <c r="BV79" s="4138"/>
      <c r="BW79" s="4139"/>
      <c r="BX79" s="4140"/>
      <c r="BY79" s="4141"/>
      <c r="BZ79" s="4142"/>
      <c r="CA79" s="4143"/>
      <c r="CB79" s="4144"/>
      <c r="CC79" s="4145"/>
      <c r="CD79" s="4146"/>
      <c r="CE79" s="4147"/>
      <c r="CF79" s="4148"/>
      <c r="CG79" s="4149"/>
      <c r="CH79" s="4150"/>
      <c r="CI79" s="4151"/>
      <c r="CJ79" s="4152"/>
      <c r="CK79" s="4153"/>
      <c r="CL79" s="4154"/>
      <c r="CM79" s="4155"/>
      <c r="CN79" s="4156"/>
      <c r="CO79" s="4157"/>
      <c r="CP79" s="4158"/>
      <c r="CQ79" s="3825"/>
      <c r="CR79" s="3581"/>
      <c r="CS79" s="3728"/>
      <c r="CT79" s="3728" t="str">
        <f>IF(T79="","",T79)</f>
        <v>Добавить вид теплоносителя (параметры теплоносителя)</v>
      </c>
      <c r="CU79" s="3728"/>
      <c r="CV79" s="3728"/>
    </row>
    <row s="4159" customFormat="1" customHeight="1" ht="15">
      <c r="A80" s="3716"/>
      <c r="B80" s="3716"/>
      <c r="C80" s="3716"/>
      <c r="D80" s="3716"/>
      <c r="E80" s="3717"/>
      <c r="F80" s="3717">
        <v>1</v>
      </c>
      <c r="G80" s="3717"/>
      <c r="H80" s="3717"/>
      <c r="I80" s="3730"/>
      <c r="J80" s="3716"/>
      <c r="K80" s="3716"/>
      <c r="L80" s="3719"/>
      <c r="M80" s="3573"/>
      <c r="N80" s="3731"/>
      <c r="O80" s="3731"/>
      <c r="P80" s="3732"/>
      <c r="Q80" s="3732"/>
      <c r="R80" s="3733"/>
      <c r="S80" s="4160"/>
      <c r="T80" s="4161" t="s">
        <v>627</v>
      </c>
      <c r="U80" s="4162"/>
      <c r="V80" s="4163"/>
      <c r="W80" s="4164"/>
      <c r="X80" s="4165"/>
      <c r="Y80" s="4166"/>
      <c r="Z80" s="4167"/>
      <c r="AA80" s="4168"/>
      <c r="AB80" s="4169"/>
      <c r="AC80" s="4170"/>
      <c r="AD80" s="4171"/>
      <c r="AE80" s="4172"/>
      <c r="AF80" s="4173"/>
      <c r="AG80" s="4174"/>
      <c r="AH80" s="4175"/>
      <c r="AI80" s="4176"/>
      <c r="AJ80" s="4177"/>
      <c r="AK80" s="4178"/>
      <c r="AL80" s="4179"/>
      <c r="AM80" s="4180"/>
      <c r="AN80" s="4181"/>
      <c r="AO80" s="4182"/>
      <c r="AP80" s="4183"/>
      <c r="AQ80" s="4184"/>
      <c r="AR80" s="4185"/>
      <c r="AS80" s="4186"/>
      <c r="AT80" s="4187"/>
      <c r="AU80" s="4188"/>
      <c r="AV80" s="4189"/>
      <c r="AW80" s="4190"/>
      <c r="AX80" s="4191"/>
      <c r="AY80" s="4192"/>
      <c r="AZ80" s="4193"/>
      <c r="BA80" s="4194"/>
      <c r="BB80" s="4195"/>
      <c r="BC80" s="4196"/>
      <c r="BD80" s="4197"/>
      <c r="BE80" s="4198"/>
      <c r="BF80" s="4199"/>
      <c r="BG80" s="4200"/>
      <c r="BH80" s="4201"/>
      <c r="BI80" s="4202"/>
      <c r="BJ80" s="4203"/>
      <c r="BK80" s="4204"/>
      <c r="BL80" s="4205"/>
      <c r="BM80" s="4206"/>
      <c r="BN80" s="4207"/>
      <c r="BO80" s="4208"/>
      <c r="BP80" s="4209"/>
      <c r="BQ80" s="4210"/>
      <c r="BR80" s="4211"/>
      <c r="BS80" s="4212"/>
      <c r="BT80" s="4213"/>
      <c r="BU80" s="4214"/>
      <c r="BV80" s="4215"/>
      <c r="BW80" s="4216"/>
      <c r="BX80" s="4217"/>
      <c r="BY80" s="4218"/>
      <c r="BZ80" s="4219"/>
      <c r="CA80" s="4220"/>
      <c r="CB80" s="4221"/>
      <c r="CC80" s="4222"/>
      <c r="CD80" s="4223"/>
      <c r="CE80" s="4224"/>
      <c r="CF80" s="4225"/>
      <c r="CG80" s="4226"/>
      <c r="CH80" s="4227"/>
      <c r="CI80" s="4228"/>
      <c r="CJ80" s="4229"/>
      <c r="CK80" s="4230"/>
      <c r="CL80" s="4231"/>
      <c r="CM80" s="4232"/>
      <c r="CN80" s="4233"/>
      <c r="CO80" s="4234"/>
      <c r="CP80" s="4235"/>
      <c r="CQ80" s="4236"/>
      <c r="CR80" s="3581"/>
      <c r="CS80" s="3728"/>
      <c r="CT80" s="3728" t="str">
        <f>IF(T80="","",T80)</f>
        <v>Добавить группу потребителей</v>
      </c>
      <c r="CU80" s="3728"/>
      <c r="CV80" s="3728"/>
    </row>
    <row s="4237" customFormat="1" customHeight="1" ht="14.25">
      <c r="A81" s="3716"/>
      <c r="B81" s="3716"/>
      <c r="C81" s="3716"/>
      <c r="D81" s="3716"/>
      <c r="E81" s="3717"/>
      <c r="F81" s="3717">
        <v>1</v>
      </c>
      <c r="G81" s="3717"/>
      <c r="H81" s="3718"/>
      <c r="I81" s="3716"/>
      <c r="J81" s="3716"/>
      <c r="K81" s="3716"/>
      <c r="L81" s="3719"/>
      <c r="M81" s="3720"/>
      <c r="N81" s="3720"/>
      <c r="O81" s="3573"/>
      <c r="P81" s="3905"/>
      <c r="Q81" s="3906"/>
      <c r="R81" s="3907"/>
      <c r="S81" s="3908"/>
      <c r="T81" s="3909"/>
      <c r="U81" s="3569"/>
      <c r="V81" s="3569"/>
      <c r="W81" s="3569"/>
      <c r="X81" s="3569"/>
      <c r="Y81" s="3569"/>
      <c r="Z81" s="3569"/>
      <c r="AA81" s="3569"/>
      <c r="AB81" s="3569"/>
      <c r="AC81" s="3569"/>
      <c r="AD81" s="3569"/>
      <c r="AE81" s="3569"/>
      <c r="AF81" s="3569"/>
      <c r="AG81" s="3569"/>
      <c r="AH81" s="3569"/>
      <c r="AI81" s="3569"/>
      <c r="AJ81" s="3569"/>
      <c r="AK81" s="3569"/>
      <c r="AL81" s="3569"/>
      <c r="AM81" s="3569"/>
      <c r="AN81" s="3569"/>
      <c r="AO81" s="3569"/>
      <c r="AP81" s="3569"/>
      <c r="AQ81" s="3569"/>
      <c r="AR81" s="3569"/>
      <c r="AS81" s="3569"/>
      <c r="AT81" s="3569"/>
      <c r="AU81" s="3569"/>
      <c r="AV81" s="3569"/>
      <c r="AW81" s="3569"/>
      <c r="AX81" s="3569"/>
      <c r="AY81" s="3569"/>
      <c r="AZ81" s="3569"/>
      <c r="BA81" s="3569"/>
      <c r="BB81" s="3569"/>
      <c r="BC81" s="3569"/>
      <c r="BD81" s="3569"/>
      <c r="BE81" s="3569"/>
      <c r="BF81" s="3569"/>
      <c r="BG81" s="3569"/>
      <c r="BH81" s="3569"/>
      <c r="BI81" s="3569"/>
      <c r="BJ81" s="3569"/>
      <c r="BK81" s="3569"/>
      <c r="BL81" s="3569"/>
      <c r="BM81" s="3569"/>
      <c r="BN81" s="3569"/>
      <c r="BO81" s="3569"/>
      <c r="BP81" s="3569"/>
      <c r="BQ81" s="3569"/>
      <c r="BR81" s="3569"/>
      <c r="BS81" s="3569"/>
      <c r="BT81" s="3569"/>
      <c r="BU81" s="3569"/>
      <c r="BV81" s="3569"/>
      <c r="BW81" s="3569"/>
      <c r="BX81" s="3569"/>
      <c r="BY81" s="3569"/>
      <c r="BZ81" s="3569"/>
      <c r="CA81" s="3569"/>
      <c r="CB81" s="3569"/>
      <c r="CC81" s="3569"/>
      <c r="CD81" s="3569"/>
      <c r="CE81" s="3569"/>
      <c r="CF81" s="3569"/>
      <c r="CG81" s="3569"/>
      <c r="CH81" s="3569"/>
      <c r="CI81" s="3569"/>
      <c r="CJ81" s="3569"/>
      <c r="CK81" s="3569"/>
      <c r="CL81" s="3569"/>
      <c r="CM81" s="3569"/>
      <c r="CN81" s="3569"/>
      <c r="CO81" s="3569"/>
      <c r="CP81" s="3569"/>
      <c r="CQ81" s="3910"/>
      <c r="CR81" s="3581"/>
      <c r="CS81" s="3728"/>
      <c r="CT81" s="3728" t="str">
        <f>IF(T81="","",T81)</f>
        <v/>
      </c>
      <c r="CU81" s="3728"/>
      <c r="CV81" s="3728"/>
    </row>
    <row s="4238" customFormat="1" customHeight="1" ht="0.75">
      <c r="A82" s="4239"/>
      <c r="B82" s="4239"/>
      <c r="C82" s="4239"/>
      <c r="D82" s="4239"/>
      <c r="E82" s="3717"/>
      <c r="F82" s="3717">
        <v>1</v>
      </c>
      <c r="G82" s="3718"/>
      <c r="H82" s="4239"/>
      <c r="I82" s="4239"/>
      <c r="J82" s="4239"/>
      <c r="K82" s="4239"/>
      <c r="L82" s="4240"/>
      <c r="M82" s="4241"/>
      <c r="N82" s="4241"/>
      <c r="O82" s="3581"/>
      <c r="P82" s="4242"/>
      <c r="Q82" s="4243"/>
      <c r="R82" s="4242"/>
      <c r="S82" s="4244"/>
      <c r="T82" s="4245" t="s">
        <v>254</v>
      </c>
      <c r="U82" s="3571"/>
      <c r="V82" s="3571"/>
      <c r="W82" s="3571"/>
      <c r="X82" s="3571"/>
      <c r="Y82" s="3571"/>
      <c r="Z82" s="3571"/>
      <c r="AA82" s="3571"/>
      <c r="AB82" s="3571"/>
      <c r="AC82" s="3571"/>
      <c r="AD82" s="3571"/>
      <c r="AE82" s="3571"/>
      <c r="AF82" s="3571"/>
      <c r="AG82" s="3571"/>
      <c r="AH82" s="3571"/>
      <c r="AI82" s="3571"/>
      <c r="AJ82" s="3571"/>
      <c r="AK82" s="3571"/>
      <c r="AL82" s="3571"/>
      <c r="AM82" s="3571"/>
      <c r="AN82" s="3571"/>
      <c r="AO82" s="3571"/>
      <c r="AP82" s="3571"/>
      <c r="AQ82" s="3571"/>
      <c r="AR82" s="3571"/>
      <c r="AS82" s="3571"/>
      <c r="AT82" s="3571"/>
      <c r="AU82" s="3571"/>
      <c r="AV82" s="3571"/>
      <c r="AW82" s="3571"/>
      <c r="AX82" s="3571"/>
      <c r="AY82" s="3571"/>
      <c r="AZ82" s="3571"/>
      <c r="BA82" s="3571"/>
      <c r="BB82" s="3571"/>
      <c r="BC82" s="3571"/>
      <c r="BD82" s="3571"/>
      <c r="BE82" s="3571"/>
      <c r="BF82" s="3571"/>
      <c r="BG82" s="3571"/>
      <c r="BH82" s="3571"/>
      <c r="BI82" s="3571"/>
      <c r="BJ82" s="3571"/>
      <c r="BK82" s="3571"/>
      <c r="BL82" s="3571"/>
      <c r="BM82" s="3571"/>
      <c r="BN82" s="3571"/>
      <c r="BO82" s="3571"/>
      <c r="BP82" s="3571"/>
      <c r="BQ82" s="3571"/>
      <c r="BR82" s="3571"/>
      <c r="BS82" s="3571"/>
      <c r="BT82" s="3571"/>
      <c r="BU82" s="3571"/>
      <c r="BV82" s="3571"/>
      <c r="BW82" s="3571"/>
      <c r="BX82" s="3571"/>
      <c r="BY82" s="3571"/>
      <c r="BZ82" s="3571"/>
      <c r="CA82" s="3571"/>
      <c r="CB82" s="3571"/>
      <c r="CC82" s="3571"/>
      <c r="CD82" s="3571"/>
      <c r="CE82" s="3571"/>
      <c r="CF82" s="3571"/>
      <c r="CG82" s="3571"/>
      <c r="CH82" s="3571"/>
      <c r="CI82" s="3571"/>
      <c r="CJ82" s="3571"/>
      <c r="CK82" s="3571"/>
      <c r="CL82" s="3571"/>
      <c r="CM82" s="3571"/>
      <c r="CN82" s="3571"/>
      <c r="CO82" s="3571"/>
      <c r="CP82" s="3571"/>
      <c r="CQ82" s="3571"/>
      <c r="CR82" s="3581"/>
      <c r="CS82" s="3728"/>
      <c r="CT82" s="3728" t="str">
        <f>IF(T82="","",T82)</f>
        <v>Добавить источник для дифференциации</v>
      </c>
      <c r="CU82" s="3728"/>
      <c r="CV82" s="3728"/>
    </row>
    <row s="4246" customFormat="1" customHeight="1" ht="0.75">
      <c r="A83" s="4239"/>
      <c r="B83" s="4239"/>
      <c r="C83" s="4239"/>
      <c r="D83" s="4239"/>
      <c r="E83" s="3717"/>
      <c r="F83" s="3718">
        <v>1</v>
      </c>
      <c r="G83" s="4239"/>
      <c r="H83" s="4239"/>
      <c r="I83" s="4239"/>
      <c r="J83" s="4239"/>
      <c r="K83" s="4239"/>
      <c r="L83" s="4240"/>
      <c r="M83" s="4247"/>
      <c r="N83" s="4247"/>
      <c r="O83" s="3581"/>
      <c r="P83" s="4242"/>
      <c r="Q83" s="4243"/>
      <c r="R83" s="4242"/>
      <c r="S83" s="4248"/>
      <c r="T83" s="4249" t="s">
        <v>255</v>
      </c>
      <c r="U83" s="3572"/>
      <c r="V83" s="3572"/>
      <c r="W83" s="3572"/>
      <c r="X83" s="3572"/>
      <c r="Y83" s="3572"/>
      <c r="Z83" s="3572"/>
      <c r="AA83" s="3572"/>
      <c r="AB83" s="3572"/>
      <c r="AC83" s="3572"/>
      <c r="AD83" s="3572"/>
      <c r="AE83" s="3572"/>
      <c r="AF83" s="3572"/>
      <c r="AG83" s="3572"/>
      <c r="AH83" s="3572"/>
      <c r="AI83" s="3572"/>
      <c r="AJ83" s="3572"/>
      <c r="AK83" s="3572"/>
      <c r="AL83" s="3572"/>
      <c r="AM83" s="3572"/>
      <c r="AN83" s="3572"/>
      <c r="AO83" s="3572"/>
      <c r="AP83" s="3572"/>
      <c r="AQ83" s="3572"/>
      <c r="AR83" s="3572"/>
      <c r="AS83" s="3572"/>
      <c r="AT83" s="3572"/>
      <c r="AU83" s="3572"/>
      <c r="AV83" s="3572"/>
      <c r="AW83" s="3572"/>
      <c r="AX83" s="3572"/>
      <c r="AY83" s="3572"/>
      <c r="AZ83" s="3572"/>
      <c r="BA83" s="3572"/>
      <c r="BB83" s="3572"/>
      <c r="BC83" s="3572"/>
      <c r="BD83" s="3572"/>
      <c r="BE83" s="3572"/>
      <c r="BF83" s="3572"/>
      <c r="BG83" s="3572"/>
      <c r="BH83" s="3572"/>
      <c r="BI83" s="3572"/>
      <c r="BJ83" s="3572"/>
      <c r="BK83" s="3572"/>
      <c r="BL83" s="3572"/>
      <c r="BM83" s="3572"/>
      <c r="BN83" s="3572"/>
      <c r="BO83" s="3572"/>
      <c r="BP83" s="3572"/>
      <c r="BQ83" s="3572"/>
      <c r="BR83" s="3572"/>
      <c r="BS83" s="3572"/>
      <c r="BT83" s="3572"/>
      <c r="BU83" s="3572"/>
      <c r="BV83" s="3572"/>
      <c r="BW83" s="3572"/>
      <c r="BX83" s="3572"/>
      <c r="BY83" s="3572"/>
      <c r="BZ83" s="3572"/>
      <c r="CA83" s="3572"/>
      <c r="CB83" s="3572"/>
      <c r="CC83" s="3572"/>
      <c r="CD83" s="3572"/>
      <c r="CE83" s="3572"/>
      <c r="CF83" s="3572"/>
      <c r="CG83" s="3572"/>
      <c r="CH83" s="3572"/>
      <c r="CI83" s="3572"/>
      <c r="CJ83" s="3572"/>
      <c r="CK83" s="3572"/>
      <c r="CL83" s="3572"/>
      <c r="CM83" s="3572"/>
      <c r="CN83" s="3572"/>
      <c r="CO83" s="3572"/>
      <c r="CP83" s="3572"/>
      <c r="CQ83" s="3572"/>
      <c r="CR83" s="3581"/>
      <c r="CS83" s="3728"/>
      <c r="CT83" s="3728" t="str">
        <f>IF(T83="","",T83)</f>
        <v>Добавить централизованную систему для дифференциации</v>
      </c>
      <c r="CU83" s="3728"/>
      <c r="CV83" s="3728"/>
    </row>
    <row s="4250" customFormat="1" customHeight="1" ht="21">
      <c r="A84" s="3716"/>
      <c r="B84" s="3716" t="s">
        <v>259</v>
      </c>
      <c r="C84" s="3716"/>
      <c r="D84" s="3716"/>
      <c r="E84" s="3717"/>
      <c r="F84" s="3718" t="s">
        <v>91</v>
      </c>
      <c r="G84" s="3716"/>
      <c r="H84" s="3716"/>
      <c r="I84" s="3716"/>
      <c r="J84" s="3716"/>
      <c r="K84" s="3716"/>
      <c r="L84" s="3719"/>
      <c r="M84" s="3720"/>
      <c r="N84" s="3720"/>
      <c r="O84" s="3720"/>
      <c r="P84" s="4073"/>
      <c r="Q84" s="3722"/>
      <c r="R84" s="3723"/>
      <c r="S84" s="3724" t="str">
        <f>INDEX(PT_DIFFERENTIATION_NUM_TER,MATCH(B84,PT_DIFFERENTIATION_TER_ID,0))</f>
        <v>1.3</v>
      </c>
      <c r="T84" s="4074" t="s">
        <v>612</v>
      </c>
      <c r="U84" s="3726"/>
      <c r="V84" s="3432"/>
      <c r="W84" s="3433"/>
      <c r="X84" s="3433"/>
      <c r="Y84" s="3433"/>
      <c r="Z84" s="3433"/>
      <c r="AA84" s="3433"/>
      <c r="AB84" s="3433"/>
      <c r="AC84" s="3434"/>
      <c r="AD84" s="3432" t="str">
        <f>INDEX(PT_DIFFERENTIATION_TER,MATCH(B84,PT_DIFFERENTIATION_TER_ID,0))</f>
        <v>Территория 3</v>
      </c>
      <c r="AE84" s="3433"/>
      <c r="AF84" s="3433"/>
      <c r="AG84" s="3433"/>
      <c r="AH84" s="3433"/>
      <c r="AI84" s="3433"/>
      <c r="AJ84" s="3433"/>
      <c r="AK84" s="3433"/>
      <c r="AL84" s="3432"/>
      <c r="AM84" s="3433"/>
      <c r="AN84" s="3433"/>
      <c r="AO84" s="3433"/>
      <c r="AP84" s="3433"/>
      <c r="AQ84" s="3433"/>
      <c r="AR84" s="3433"/>
      <c r="AS84" s="3434"/>
      <c r="AT84" s="3432"/>
      <c r="AU84" s="3433"/>
      <c r="AV84" s="3433"/>
      <c r="AW84" s="3433"/>
      <c r="AX84" s="3433"/>
      <c r="AY84" s="3433"/>
      <c r="AZ84" s="3433"/>
      <c r="BA84" s="3434"/>
      <c r="BB84" s="3432"/>
      <c r="BC84" s="3433"/>
      <c r="BD84" s="3433"/>
      <c r="BE84" s="3433"/>
      <c r="BF84" s="3433"/>
      <c r="BG84" s="3433"/>
      <c r="BH84" s="3433"/>
      <c r="BI84" s="3434"/>
      <c r="BJ84" s="3432"/>
      <c r="BK84" s="3433"/>
      <c r="BL84" s="3433"/>
      <c r="BM84" s="3433"/>
      <c r="BN84" s="3433"/>
      <c r="BO84" s="3433"/>
      <c r="BP84" s="3433"/>
      <c r="BQ84" s="3434"/>
      <c r="BR84" s="3432"/>
      <c r="BS84" s="3433"/>
      <c r="BT84" s="3433"/>
      <c r="BU84" s="3433"/>
      <c r="BV84" s="3433"/>
      <c r="BW84" s="3433"/>
      <c r="BX84" s="3433"/>
      <c r="BY84" s="3434"/>
      <c r="BZ84" s="3432"/>
      <c r="CA84" s="3433"/>
      <c r="CB84" s="3433"/>
      <c r="CC84" s="3433"/>
      <c r="CD84" s="3433"/>
      <c r="CE84" s="3433"/>
      <c r="CF84" s="3433"/>
      <c r="CG84" s="3434"/>
      <c r="CH84" s="3432"/>
      <c r="CI84" s="3433"/>
      <c r="CJ84" s="3433"/>
      <c r="CK84" s="3433"/>
      <c r="CL84" s="3433"/>
      <c r="CM84" s="3433"/>
      <c r="CN84" s="3433"/>
      <c r="CO84" s="3434"/>
      <c r="CP84" s="3434"/>
      <c r="CQ84" s="3727" t="s">
        <v>613</v>
      </c>
      <c r="CR84" s="3581"/>
      <c r="CS84" s="3728"/>
      <c r="CT84" s="3728" t="str">
        <f>IF(T84="","",T84)</f>
        <v>Территория действия тарифа</v>
      </c>
      <c r="CU84" s="3728"/>
      <c r="CV84" s="3728"/>
    </row>
    <row s="4251" customFormat="1" customHeight="1" ht="23.25">
      <c r="A85" s="3716"/>
      <c r="B85" s="3716"/>
      <c r="C85" s="3716" t="s">
        <v>260</v>
      </c>
      <c r="D85" s="3716"/>
      <c r="E85" s="3717"/>
      <c r="F85" s="3717" t="s">
        <v>104</v>
      </c>
      <c r="G85" s="3718">
        <v>1</v>
      </c>
      <c r="H85" s="3716"/>
      <c r="I85" s="3716"/>
      <c r="J85" s="3716"/>
      <c r="K85" s="3716"/>
      <c r="L85" s="3719"/>
      <c r="M85" s="3720"/>
      <c r="N85" s="3720"/>
      <c r="O85" s="3720"/>
      <c r="P85" s="3721"/>
      <c r="Q85" s="3722"/>
      <c r="R85" s="3723"/>
      <c r="S85" s="3724" t="str">
        <f>INDEX(PT_DIFFERENTIATION_NUM_CS,MATCH(C85,PT_DIFFERENTIATION_CS_ID,0))</f>
        <v>1.3.1</v>
      </c>
      <c r="T85" s="4076" t="s">
        <v>614</v>
      </c>
      <c r="U85" s="3726"/>
      <c r="V85" s="3432"/>
      <c r="W85" s="3433"/>
      <c r="X85" s="3433"/>
      <c r="Y85" s="3433"/>
      <c r="Z85" s="3433"/>
      <c r="AA85" s="3433"/>
      <c r="AB85" s="3433"/>
      <c r="AC85" s="3434"/>
      <c r="AD85" s="3432" t="str">
        <f>INDEX(PT_DIFFERENTIATION_CS,MATCH(C85,PT_DIFFERENTIATION_CS_ID,0))</f>
        <v>без дифференциации</v>
      </c>
      <c r="AE85" s="3433"/>
      <c r="AF85" s="3433"/>
      <c r="AG85" s="3433"/>
      <c r="AH85" s="3433"/>
      <c r="AI85" s="3433"/>
      <c r="AJ85" s="3433"/>
      <c r="AK85" s="3433"/>
      <c r="AL85" s="3432"/>
      <c r="AM85" s="3433"/>
      <c r="AN85" s="3433"/>
      <c r="AO85" s="3433"/>
      <c r="AP85" s="3433"/>
      <c r="AQ85" s="3433"/>
      <c r="AR85" s="3433"/>
      <c r="AS85" s="3434"/>
      <c r="AT85" s="3432"/>
      <c r="AU85" s="3433"/>
      <c r="AV85" s="3433"/>
      <c r="AW85" s="3433"/>
      <c r="AX85" s="3433"/>
      <c r="AY85" s="3433"/>
      <c r="AZ85" s="3433"/>
      <c r="BA85" s="3434"/>
      <c r="BB85" s="3432"/>
      <c r="BC85" s="3433"/>
      <c r="BD85" s="3433"/>
      <c r="BE85" s="3433"/>
      <c r="BF85" s="3433"/>
      <c r="BG85" s="3433"/>
      <c r="BH85" s="3433"/>
      <c r="BI85" s="3434"/>
      <c r="BJ85" s="3432"/>
      <c r="BK85" s="3433"/>
      <c r="BL85" s="3433"/>
      <c r="BM85" s="3433"/>
      <c r="BN85" s="3433"/>
      <c r="BO85" s="3433"/>
      <c r="BP85" s="3433"/>
      <c r="BQ85" s="3434"/>
      <c r="BR85" s="3432"/>
      <c r="BS85" s="3433"/>
      <c r="BT85" s="3433"/>
      <c r="BU85" s="3433"/>
      <c r="BV85" s="3433"/>
      <c r="BW85" s="3433"/>
      <c r="BX85" s="3433"/>
      <c r="BY85" s="3434"/>
      <c r="BZ85" s="3432"/>
      <c r="CA85" s="3433"/>
      <c r="CB85" s="3433"/>
      <c r="CC85" s="3433"/>
      <c r="CD85" s="3433"/>
      <c r="CE85" s="3433"/>
      <c r="CF85" s="3433"/>
      <c r="CG85" s="3434"/>
      <c r="CH85" s="3432"/>
      <c r="CI85" s="3433"/>
      <c r="CJ85" s="3433"/>
      <c r="CK85" s="3433"/>
      <c r="CL85" s="3433"/>
      <c r="CM85" s="3433"/>
      <c r="CN85" s="3433"/>
      <c r="CO85" s="3434"/>
      <c r="CP85" s="3434"/>
      <c r="CQ85" s="3727" t="s">
        <v>615</v>
      </c>
      <c r="CR85" s="3581"/>
      <c r="CS85" s="3728"/>
      <c r="CT85" s="3728" t="str">
        <f>IF(T85="","",T85)</f>
        <v>Наименование системы теплоснабжения </v>
      </c>
      <c r="CU85" s="3728"/>
      <c r="CV85" s="3728"/>
    </row>
    <row s="4252" customFormat="1" customHeight="1" ht="21">
      <c r="A86" s="3716"/>
      <c r="B86" s="3716"/>
      <c r="C86" s="3716"/>
      <c r="D86" s="3716" t="s">
        <v>261</v>
      </c>
      <c r="E86" s="3717"/>
      <c r="F86" s="3717" t="s">
        <v>104</v>
      </c>
      <c r="G86" s="3717"/>
      <c r="H86" s="3718">
        <v>1</v>
      </c>
      <c r="I86" s="3716"/>
      <c r="J86" s="3716"/>
      <c r="K86" s="3716"/>
      <c r="L86" s="3719"/>
      <c r="M86" s="3720"/>
      <c r="N86" s="3720"/>
      <c r="O86" s="3720"/>
      <c r="P86" s="3721"/>
      <c r="Q86" s="3722"/>
      <c r="R86" s="3723"/>
      <c r="S86" s="3724" t="str">
        <f>INDEX(PT_DIFFERENTIATION_NUM_IST_TE,MATCH(D86,PT_DIFFERENTIATION_IST_TE_ID,0))</f>
        <v>1.3.1.1</v>
      </c>
      <c r="T86" s="3725" t="s">
        <v>616</v>
      </c>
      <c r="U86" s="3726"/>
      <c r="V86" s="3432"/>
      <c r="W86" s="3433"/>
      <c r="X86" s="3433"/>
      <c r="Y86" s="3433"/>
      <c r="Z86" s="3433"/>
      <c r="AA86" s="3433"/>
      <c r="AB86" s="3433"/>
      <c r="AC86" s="3434"/>
      <c r="AD86" s="3432" t="str">
        <f>INDEX(PT_DIFFERENTIATION_IST_TE,MATCH(D86,PT_DIFFERENTIATION_IST_TE_ID,0))</f>
        <v>без дифференциации</v>
      </c>
      <c r="AE86" s="3433"/>
      <c r="AF86" s="3433"/>
      <c r="AG86" s="3433"/>
      <c r="AH86" s="3433"/>
      <c r="AI86" s="3433"/>
      <c r="AJ86" s="3433"/>
      <c r="AK86" s="3433"/>
      <c r="AL86" s="3432"/>
      <c r="AM86" s="3433"/>
      <c r="AN86" s="3433"/>
      <c r="AO86" s="3433"/>
      <c r="AP86" s="3433"/>
      <c r="AQ86" s="3433"/>
      <c r="AR86" s="3433"/>
      <c r="AS86" s="3434"/>
      <c r="AT86" s="3432"/>
      <c r="AU86" s="3433"/>
      <c r="AV86" s="3433"/>
      <c r="AW86" s="3433"/>
      <c r="AX86" s="3433"/>
      <c r="AY86" s="3433"/>
      <c r="AZ86" s="3433"/>
      <c r="BA86" s="3434"/>
      <c r="BB86" s="3432"/>
      <c r="BC86" s="3433"/>
      <c r="BD86" s="3433"/>
      <c r="BE86" s="3433"/>
      <c r="BF86" s="3433"/>
      <c r="BG86" s="3433"/>
      <c r="BH86" s="3433"/>
      <c r="BI86" s="3434"/>
      <c r="BJ86" s="3432"/>
      <c r="BK86" s="3433"/>
      <c r="BL86" s="3433"/>
      <c r="BM86" s="3433"/>
      <c r="BN86" s="3433"/>
      <c r="BO86" s="3433"/>
      <c r="BP86" s="3433"/>
      <c r="BQ86" s="3434"/>
      <c r="BR86" s="3432"/>
      <c r="BS86" s="3433"/>
      <c r="BT86" s="3433"/>
      <c r="BU86" s="3433"/>
      <c r="BV86" s="3433"/>
      <c r="BW86" s="3433"/>
      <c r="BX86" s="3433"/>
      <c r="BY86" s="3434"/>
      <c r="BZ86" s="3432"/>
      <c r="CA86" s="3433"/>
      <c r="CB86" s="3433"/>
      <c r="CC86" s="3433"/>
      <c r="CD86" s="3433"/>
      <c r="CE86" s="3433"/>
      <c r="CF86" s="3433"/>
      <c r="CG86" s="3434"/>
      <c r="CH86" s="3432"/>
      <c r="CI86" s="3433"/>
      <c r="CJ86" s="3433"/>
      <c r="CK86" s="3433"/>
      <c r="CL86" s="3433"/>
      <c r="CM86" s="3433"/>
      <c r="CN86" s="3433"/>
      <c r="CO86" s="3434"/>
      <c r="CP86" s="3434"/>
      <c r="CQ86" s="3727" t="s">
        <v>617</v>
      </c>
      <c r="CR86" s="3581"/>
      <c r="CS86" s="3728"/>
      <c r="CT86" s="3728" t="str">
        <f>IF(T86="","",T86)</f>
        <v>Источник тепловой энергии  </v>
      </c>
      <c r="CU86" s="3728"/>
      <c r="CV86" s="3728"/>
    </row>
    <row s="4253" customFormat="1" customHeight="1" ht="14.25">
      <c r="A87" s="3716"/>
      <c r="B87" s="3716"/>
      <c r="C87" s="3716"/>
      <c r="D87" s="3716"/>
      <c r="E87" s="3717"/>
      <c r="F87" s="3717" t="s">
        <v>104</v>
      </c>
      <c r="G87" s="3717"/>
      <c r="H87" s="3717"/>
      <c r="I87" s="3730" t="str">
        <f>S86&amp;".1"</f>
        <v>1.3.1.1.1</v>
      </c>
      <c r="J87" s="3716"/>
      <c r="K87" s="3716"/>
      <c r="L87" s="3719" t="s">
        <v>618</v>
      </c>
      <c r="M87" s="3573"/>
      <c r="N87" s="3731"/>
      <c r="O87" s="3731"/>
      <c r="P87" s="3732">
        <v>1</v>
      </c>
      <c r="Q87" s="3732"/>
      <c r="R87" s="3733"/>
      <c r="S87" s="3734"/>
      <c r="T87" s="3735"/>
      <c r="U87" s="3736"/>
      <c r="V87" s="3441"/>
      <c r="W87" s="3442"/>
      <c r="X87" s="3442"/>
      <c r="Y87" s="3442"/>
      <c r="Z87" s="3442"/>
      <c r="AA87" s="3442"/>
      <c r="AB87" s="3442"/>
      <c r="AC87" s="3443"/>
      <c r="AD87" s="3441"/>
      <c r="AE87" s="3442"/>
      <c r="AF87" s="3442"/>
      <c r="AG87" s="3442"/>
      <c r="AH87" s="3442"/>
      <c r="AI87" s="3442"/>
      <c r="AJ87" s="3442"/>
      <c r="AK87" s="3442"/>
      <c r="AL87" s="3441"/>
      <c r="AM87" s="3442"/>
      <c r="AN87" s="3442"/>
      <c r="AO87" s="3442"/>
      <c r="AP87" s="3442"/>
      <c r="AQ87" s="3442"/>
      <c r="AR87" s="3442"/>
      <c r="AS87" s="3443"/>
      <c r="AT87" s="3441"/>
      <c r="AU87" s="3442"/>
      <c r="AV87" s="3442"/>
      <c r="AW87" s="3442"/>
      <c r="AX87" s="3442"/>
      <c r="AY87" s="3442"/>
      <c r="AZ87" s="3442"/>
      <c r="BA87" s="3443"/>
      <c r="BB87" s="3441"/>
      <c r="BC87" s="3442"/>
      <c r="BD87" s="3442"/>
      <c r="BE87" s="3442"/>
      <c r="BF87" s="3442"/>
      <c r="BG87" s="3442"/>
      <c r="BH87" s="3442"/>
      <c r="BI87" s="3443"/>
      <c r="BJ87" s="3441"/>
      <c r="BK87" s="3442"/>
      <c r="BL87" s="3442"/>
      <c r="BM87" s="3442"/>
      <c r="BN87" s="3442"/>
      <c r="BO87" s="3442"/>
      <c r="BP87" s="3442"/>
      <c r="BQ87" s="3443"/>
      <c r="BR87" s="3441"/>
      <c r="BS87" s="3442"/>
      <c r="BT87" s="3442"/>
      <c r="BU87" s="3442"/>
      <c r="BV87" s="3442"/>
      <c r="BW87" s="3442"/>
      <c r="BX87" s="3442"/>
      <c r="BY87" s="3443"/>
      <c r="BZ87" s="3441"/>
      <c r="CA87" s="3442"/>
      <c r="CB87" s="3442"/>
      <c r="CC87" s="3442"/>
      <c r="CD87" s="3442"/>
      <c r="CE87" s="3442"/>
      <c r="CF87" s="3442"/>
      <c r="CG87" s="3443"/>
      <c r="CH87" s="3441"/>
      <c r="CI87" s="3442"/>
      <c r="CJ87" s="3442"/>
      <c r="CK87" s="3442"/>
      <c r="CL87" s="3442"/>
      <c r="CM87" s="3442"/>
      <c r="CN87" s="3442"/>
      <c r="CO87" s="3443"/>
      <c r="CP87" s="3443"/>
      <c r="CQ87" s="3737"/>
      <c r="CR87" s="3581"/>
      <c r="CS87" s="3728"/>
      <c r="CT87" s="3728" t="str">
        <f>IF(T87="","",T87)</f>
        <v/>
      </c>
      <c r="CU87" s="3728"/>
      <c r="CV87" s="3728"/>
    </row>
    <row s="4254" customFormat="1" customHeight="1" ht="21">
      <c r="A88" s="3716"/>
      <c r="B88" s="3716"/>
      <c r="C88" s="3716"/>
      <c r="D88" s="3716"/>
      <c r="E88" s="3717"/>
      <c r="F88" s="3717" t="s">
        <v>104</v>
      </c>
      <c r="G88" s="3717"/>
      <c r="H88" s="3717"/>
      <c r="I88" s="3739"/>
      <c r="J88" s="3730" t="str">
        <f>I87&amp;".1"</f>
        <v>1.3.1.1.1.1</v>
      </c>
      <c r="K88" s="3716"/>
      <c r="L88" s="3719" t="s">
        <v>621</v>
      </c>
      <c r="M88" s="3573"/>
      <c r="N88" s="3573"/>
      <c r="O88" s="3731"/>
      <c r="P88" s="3732"/>
      <c r="Q88" s="3732">
        <v>1</v>
      </c>
      <c r="R88" s="3740"/>
      <c r="S88" s="3724" t="str">
        <f>$J88</f>
        <v>1.3.1.1.1.1</v>
      </c>
      <c r="T88" s="3741" t="s">
        <v>622</v>
      </c>
      <c r="U88" s="3726"/>
      <c r="V88" s="3445"/>
      <c r="W88" s="3446"/>
      <c r="X88" s="3446"/>
      <c r="Y88" s="3446"/>
      <c r="Z88" s="3446"/>
      <c r="AA88" s="3446"/>
      <c r="AB88" s="3446"/>
      <c r="AC88" s="3447"/>
      <c r="AD88" s="3445" t="s">
        <v>662</v>
      </c>
      <c r="AE88" s="3446"/>
      <c r="AF88" s="3446"/>
      <c r="AG88" s="3446"/>
      <c r="AH88" s="3446"/>
      <c r="AI88" s="3446"/>
      <c r="AJ88" s="3446"/>
      <c r="AK88" s="3446"/>
      <c r="AL88" s="3445"/>
      <c r="AM88" s="3446"/>
      <c r="AN88" s="3446"/>
      <c r="AO88" s="3446"/>
      <c r="AP88" s="3446"/>
      <c r="AQ88" s="3446"/>
      <c r="AR88" s="3446"/>
      <c r="AS88" s="3447"/>
      <c r="AT88" s="3445"/>
      <c r="AU88" s="3446"/>
      <c r="AV88" s="3446"/>
      <c r="AW88" s="3446"/>
      <c r="AX88" s="3446"/>
      <c r="AY88" s="3446"/>
      <c r="AZ88" s="3446"/>
      <c r="BA88" s="3447"/>
      <c r="BB88" s="3445"/>
      <c r="BC88" s="3446"/>
      <c r="BD88" s="3446"/>
      <c r="BE88" s="3446"/>
      <c r="BF88" s="3446"/>
      <c r="BG88" s="3446"/>
      <c r="BH88" s="3446"/>
      <c r="BI88" s="3447"/>
      <c r="BJ88" s="3445"/>
      <c r="BK88" s="3446"/>
      <c r="BL88" s="3446"/>
      <c r="BM88" s="3446"/>
      <c r="BN88" s="3446"/>
      <c r="BO88" s="3446"/>
      <c r="BP88" s="3446"/>
      <c r="BQ88" s="3447"/>
      <c r="BR88" s="3445"/>
      <c r="BS88" s="3446"/>
      <c r="BT88" s="3446"/>
      <c r="BU88" s="3446"/>
      <c r="BV88" s="3446"/>
      <c r="BW88" s="3446"/>
      <c r="BX88" s="3446"/>
      <c r="BY88" s="3447"/>
      <c r="BZ88" s="3445"/>
      <c r="CA88" s="3446"/>
      <c r="CB88" s="3446"/>
      <c r="CC88" s="3446"/>
      <c r="CD88" s="3446"/>
      <c r="CE88" s="3446"/>
      <c r="CF88" s="3446"/>
      <c r="CG88" s="3447"/>
      <c r="CH88" s="3445"/>
      <c r="CI88" s="3446"/>
      <c r="CJ88" s="3446"/>
      <c r="CK88" s="3446"/>
      <c r="CL88" s="3446"/>
      <c r="CM88" s="3446"/>
      <c r="CN88" s="3446"/>
      <c r="CO88" s="3447"/>
      <c r="CP88" s="3447"/>
      <c r="CQ88" s="3727" t="s">
        <v>623</v>
      </c>
      <c r="CR88" s="3581"/>
      <c r="CS88" s="3728"/>
      <c r="CT88" s="3728" t="str">
        <f>IF(T88="","",T88)</f>
        <v>Группа потребителей</v>
      </c>
      <c r="CU88" s="3728"/>
      <c r="CV88" s="3728"/>
    </row>
    <row s="4255" customFormat="1" customHeight="1" ht="21">
      <c r="A89" s="3716"/>
      <c r="B89" s="3716"/>
      <c r="C89" s="3716"/>
      <c r="D89" s="3716"/>
      <c r="E89" s="3717"/>
      <c r="F89" s="3717" t="s">
        <v>104</v>
      </c>
      <c r="G89" s="3717"/>
      <c r="H89" s="3717"/>
      <c r="I89" s="3739"/>
      <c r="J89" s="3739"/>
      <c r="K89" s="3730" t="str">
        <f>J88&amp;".1"</f>
        <v>1.3.1.1.1.1.1</v>
      </c>
      <c r="L89" s="3719" t="s">
        <v>624</v>
      </c>
      <c r="M89" s="3573"/>
      <c r="N89" s="3573"/>
      <c r="O89" s="3573"/>
      <c r="P89" s="3732"/>
      <c r="Q89" s="3732"/>
      <c r="R89" s="3740">
        <v>1</v>
      </c>
      <c r="S89" s="3724" t="str">
        <f>$K89</f>
        <v>1.3.1.1.1.1.1</v>
      </c>
      <c r="T89" s="3743" t="s">
        <v>663</v>
      </c>
      <c r="U89" s="3726"/>
      <c r="V89" s="3448"/>
      <c r="W89" s="3449"/>
      <c r="X89" s="3448"/>
      <c r="Y89" s="3450"/>
      <c r="Z89" s="3451"/>
      <c r="AA89" s="2872" t="s">
        <v>63</v>
      </c>
      <c r="AB89" s="3451"/>
      <c r="AC89" s="2872" t="s">
        <v>63</v>
      </c>
      <c r="AD89" s="3448">
        <v>28.25</v>
      </c>
      <c r="AE89" s="3449"/>
      <c r="AF89" s="3448"/>
      <c r="AG89" s="3450"/>
      <c r="AH89" s="3451">
        <v>44197</v>
      </c>
      <c r="AI89" s="2872" t="s">
        <v>63</v>
      </c>
      <c r="AJ89" s="3451">
        <v>44377</v>
      </c>
      <c r="AK89" s="2872" t="s">
        <v>63</v>
      </c>
      <c r="AL89" s="3448">
        <v>34.35</v>
      </c>
      <c r="AM89" s="3449"/>
      <c r="AN89" s="3448"/>
      <c r="AO89" s="3450"/>
      <c r="AP89" s="3451">
        <v>44378</v>
      </c>
      <c r="AQ89" s="2872" t="s">
        <v>63</v>
      </c>
      <c r="AR89" s="3451">
        <v>44561</v>
      </c>
      <c r="AS89" s="2872" t="s">
        <v>63</v>
      </c>
      <c r="AT89" s="3448">
        <v>32.45</v>
      </c>
      <c r="AU89" s="3449"/>
      <c r="AV89" s="3448"/>
      <c r="AW89" s="3450"/>
      <c r="AX89" s="3451">
        <v>44562</v>
      </c>
      <c r="AY89" s="2872" t="s">
        <v>63</v>
      </c>
      <c r="AZ89" s="3451">
        <v>44601</v>
      </c>
      <c r="BA89" s="2872" t="s">
        <v>63</v>
      </c>
      <c r="BB89" s="3448">
        <v>32.45</v>
      </c>
      <c r="BC89" s="3449"/>
      <c r="BD89" s="3448"/>
      <c r="BE89" s="3450"/>
      <c r="BF89" s="3451">
        <v>44602</v>
      </c>
      <c r="BG89" s="2872" t="s">
        <v>63</v>
      </c>
      <c r="BH89" s="3451">
        <v>44742</v>
      </c>
      <c r="BI89" s="2872" t="s">
        <v>63</v>
      </c>
      <c r="BJ89" s="3448">
        <v>32.45</v>
      </c>
      <c r="BK89" s="3449"/>
      <c r="BL89" s="3448"/>
      <c r="BM89" s="3450"/>
      <c r="BN89" s="3451">
        <v>44743</v>
      </c>
      <c r="BO89" s="2872" t="s">
        <v>63</v>
      </c>
      <c r="BP89" s="3451">
        <v>44804</v>
      </c>
      <c r="BQ89" s="2872" t="s">
        <v>63</v>
      </c>
      <c r="BR89" s="3448">
        <v>32.45</v>
      </c>
      <c r="BS89" s="3449"/>
      <c r="BT89" s="3448"/>
      <c r="BU89" s="3450"/>
      <c r="BV89" s="3451">
        <v>44805</v>
      </c>
      <c r="BW89" s="2872" t="s">
        <v>63</v>
      </c>
      <c r="BX89" s="3451">
        <v>44895</v>
      </c>
      <c r="BY89" s="2872" t="s">
        <v>63</v>
      </c>
      <c r="BZ89" s="3448">
        <v>35.07</v>
      </c>
      <c r="CA89" s="3449"/>
      <c r="CB89" s="3448"/>
      <c r="CC89" s="3450"/>
      <c r="CD89" s="3451">
        <v>44896</v>
      </c>
      <c r="CE89" s="2872" t="s">
        <v>63</v>
      </c>
      <c r="CF89" s="3451">
        <v>45174</v>
      </c>
      <c r="CG89" s="2872" t="s">
        <v>63</v>
      </c>
      <c r="CH89" s="3448">
        <v>35.07</v>
      </c>
      <c r="CI89" s="3449"/>
      <c r="CJ89" s="3448"/>
      <c r="CK89" s="3450"/>
      <c r="CL89" s="3451">
        <v>45175</v>
      </c>
      <c r="CM89" s="2872" t="s">
        <v>63</v>
      </c>
      <c r="CN89" s="3451">
        <v>45291</v>
      </c>
      <c r="CO89" s="2872" t="s">
        <v>63</v>
      </c>
      <c r="CP89" s="3449"/>
      <c r="CQ89" s="3744" t="s">
        <v>625</v>
      </c>
      <c r="CR89" s="3581">
        <f>STRCHECKDATE(V90:CP90)</f>
      </c>
      <c r="CS89" s="3728"/>
      <c r="CT89" s="3728" t="str">
        <f>IF(T89="","",T89)</f>
        <v>вода</v>
      </c>
      <c r="CU89" s="3728"/>
      <c r="CV89" s="3728"/>
    </row>
    <row s="4256" customFormat="1" customHeight="1" ht="0.75">
      <c r="A90" s="3716"/>
      <c r="B90" s="3716"/>
      <c r="C90" s="3716"/>
      <c r="D90" s="3716"/>
      <c r="E90" s="3717"/>
      <c r="F90" s="3717" t="s">
        <v>104</v>
      </c>
      <c r="G90" s="3717"/>
      <c r="H90" s="3717"/>
      <c r="I90" s="3739"/>
      <c r="J90" s="3739"/>
      <c r="K90" s="3730"/>
      <c r="L90" s="3719"/>
      <c r="M90" s="3573"/>
      <c r="N90" s="3573"/>
      <c r="O90" s="3573"/>
      <c r="P90" s="3732"/>
      <c r="Q90" s="3732"/>
      <c r="R90" s="3740"/>
      <c r="S90" s="3746"/>
      <c r="T90" s="3726"/>
      <c r="U90" s="3726"/>
      <c r="V90" s="3449"/>
      <c r="W90" s="3449"/>
      <c r="X90" s="3449"/>
      <c r="Y90" s="3452" t="str">
        <f>Z89&amp;"-"&amp;AB89</f>
        <v>-</v>
      </c>
      <c r="Z90" s="3453"/>
      <c r="AA90" s="2872"/>
      <c r="AB90" s="3453"/>
      <c r="AC90" s="2872"/>
      <c r="AD90" s="3449"/>
      <c r="AE90" s="3449"/>
      <c r="AF90" s="3449"/>
      <c r="AG90" s="3452" t="str">
        <f>AH89&amp;"-"&amp;AJ89</f>
        <v>44197-44377</v>
      </c>
      <c r="AH90" s="3453"/>
      <c r="AI90" s="2872"/>
      <c r="AJ90" s="3453"/>
      <c r="AK90" s="2872"/>
      <c r="AL90" s="3449"/>
      <c r="AM90" s="3449"/>
      <c r="AN90" s="3449"/>
      <c r="AO90" s="3452" t="str">
        <f>AP89&amp;"-"&amp;AR89</f>
        <v>44378-44561</v>
      </c>
      <c r="AP90" s="3453"/>
      <c r="AQ90" s="2872"/>
      <c r="AR90" s="3453"/>
      <c r="AS90" s="2872"/>
      <c r="AT90" s="3449"/>
      <c r="AU90" s="3449"/>
      <c r="AV90" s="3449"/>
      <c r="AW90" s="3452" t="str">
        <f>AX89&amp;"-"&amp;AZ89</f>
        <v>44562-44601</v>
      </c>
      <c r="AX90" s="3453"/>
      <c r="AY90" s="2872"/>
      <c r="AZ90" s="3453"/>
      <c r="BA90" s="2872"/>
      <c r="BB90" s="3449"/>
      <c r="BC90" s="3449"/>
      <c r="BD90" s="3449"/>
      <c r="BE90" s="3452" t="str">
        <f>BF89&amp;"-"&amp;BH89</f>
        <v>44602-44742</v>
      </c>
      <c r="BF90" s="3453"/>
      <c r="BG90" s="2872"/>
      <c r="BH90" s="3453"/>
      <c r="BI90" s="2872"/>
      <c r="BJ90" s="3449"/>
      <c r="BK90" s="3449"/>
      <c r="BL90" s="3449"/>
      <c r="BM90" s="3452" t="str">
        <f>BN89&amp;"-"&amp;BP89</f>
        <v>44743-44804</v>
      </c>
      <c r="BN90" s="3453"/>
      <c r="BO90" s="2872"/>
      <c r="BP90" s="3453"/>
      <c r="BQ90" s="2872"/>
      <c r="BR90" s="3449"/>
      <c r="BS90" s="3449"/>
      <c r="BT90" s="3449"/>
      <c r="BU90" s="3452" t="str">
        <f>BV89&amp;"-"&amp;BX89</f>
        <v>44805-44895</v>
      </c>
      <c r="BV90" s="3453"/>
      <c r="BW90" s="2872"/>
      <c r="BX90" s="3453"/>
      <c r="BY90" s="2872"/>
      <c r="BZ90" s="3449"/>
      <c r="CA90" s="3449"/>
      <c r="CB90" s="3449"/>
      <c r="CC90" s="3452" t="str">
        <f>CD89&amp;"-"&amp;CF89</f>
        <v>44896-45174</v>
      </c>
      <c r="CD90" s="3453"/>
      <c r="CE90" s="2872"/>
      <c r="CF90" s="3453"/>
      <c r="CG90" s="2872"/>
      <c r="CH90" s="3449"/>
      <c r="CI90" s="3449"/>
      <c r="CJ90" s="3449"/>
      <c r="CK90" s="3452" t="str">
        <f>CL89&amp;"-"&amp;CN89</f>
        <v>45175-45291</v>
      </c>
      <c r="CL90" s="3453"/>
      <c r="CM90" s="2872"/>
      <c r="CN90" s="3453"/>
      <c r="CO90" s="2872"/>
      <c r="CP90" s="3449"/>
      <c r="CQ90" s="3747"/>
      <c r="CR90" s="3581"/>
      <c r="CS90" s="3728"/>
      <c r="CT90" s="3728" t="str">
        <f>IF(T90="","",T90)</f>
        <v/>
      </c>
      <c r="CU90" s="3728"/>
      <c r="CV90" s="3728"/>
    </row>
    <row s="4257" customFormat="1" customHeight="1" ht="15">
      <c r="A91" s="3716"/>
      <c r="B91" s="3716"/>
      <c r="C91" s="3716"/>
      <c r="D91" s="3716"/>
      <c r="E91" s="3717"/>
      <c r="F91" s="3717" t="s">
        <v>104</v>
      </c>
      <c r="G91" s="3717"/>
      <c r="H91" s="3717"/>
      <c r="I91" s="3739"/>
      <c r="J91" s="3730"/>
      <c r="K91" s="3716"/>
      <c r="L91" s="3719"/>
      <c r="M91" s="3573"/>
      <c r="N91" s="3573"/>
      <c r="O91" s="3731"/>
      <c r="P91" s="3732"/>
      <c r="Q91" s="3732"/>
      <c r="R91" s="3733"/>
      <c r="S91" s="4258"/>
      <c r="T91" s="4259" t="s">
        <v>626</v>
      </c>
      <c r="U91" s="4260"/>
      <c r="V91" s="4261"/>
      <c r="W91" s="4262"/>
      <c r="X91" s="4263"/>
      <c r="Y91" s="4264"/>
      <c r="Z91" s="4265"/>
      <c r="AA91" s="4266"/>
      <c r="AB91" s="4267"/>
      <c r="AC91" s="4268"/>
      <c r="AD91" s="4269"/>
      <c r="AE91" s="4270"/>
      <c r="AF91" s="4271"/>
      <c r="AG91" s="4272"/>
      <c r="AH91" s="4273"/>
      <c r="AI91" s="4274"/>
      <c r="AJ91" s="4275"/>
      <c r="AK91" s="4276"/>
      <c r="AL91" s="4277"/>
      <c r="AM91" s="4278"/>
      <c r="AN91" s="4279"/>
      <c r="AO91" s="4280"/>
      <c r="AP91" s="4281"/>
      <c r="AQ91" s="4282"/>
      <c r="AR91" s="4283"/>
      <c r="AS91" s="4284"/>
      <c r="AT91" s="4285"/>
      <c r="AU91" s="4286"/>
      <c r="AV91" s="4287"/>
      <c r="AW91" s="4288"/>
      <c r="AX91" s="4289"/>
      <c r="AY91" s="4290"/>
      <c r="AZ91" s="4291"/>
      <c r="BA91" s="4292"/>
      <c r="BB91" s="4293"/>
      <c r="BC91" s="4294"/>
      <c r="BD91" s="4295"/>
      <c r="BE91" s="4296"/>
      <c r="BF91" s="4297"/>
      <c r="BG91" s="4298"/>
      <c r="BH91" s="4299"/>
      <c r="BI91" s="4300"/>
      <c r="BJ91" s="4301"/>
      <c r="BK91" s="4302"/>
      <c r="BL91" s="4303"/>
      <c r="BM91" s="4304"/>
      <c r="BN91" s="4305"/>
      <c r="BO91" s="4306"/>
      <c r="BP91" s="4307"/>
      <c r="BQ91" s="4308"/>
      <c r="BR91" s="4309"/>
      <c r="BS91" s="4310"/>
      <c r="BT91" s="4311"/>
      <c r="BU91" s="4312"/>
      <c r="BV91" s="4313"/>
      <c r="BW91" s="4314"/>
      <c r="BX91" s="4315"/>
      <c r="BY91" s="4316"/>
      <c r="BZ91" s="4317"/>
      <c r="CA91" s="4318"/>
      <c r="CB91" s="4319"/>
      <c r="CC91" s="4320"/>
      <c r="CD91" s="4321"/>
      <c r="CE91" s="4322"/>
      <c r="CF91" s="4323"/>
      <c r="CG91" s="4324"/>
      <c r="CH91" s="4325"/>
      <c r="CI91" s="4326"/>
      <c r="CJ91" s="4327"/>
      <c r="CK91" s="4328"/>
      <c r="CL91" s="4329"/>
      <c r="CM91" s="4330"/>
      <c r="CN91" s="4331"/>
      <c r="CO91" s="4332"/>
      <c r="CP91" s="4333"/>
      <c r="CQ91" s="3825"/>
      <c r="CR91" s="3581"/>
      <c r="CS91" s="3728"/>
      <c r="CT91" s="3728" t="str">
        <f>IF(T91="","",T91)</f>
        <v>Добавить вид теплоносителя (параметры теплоносителя)</v>
      </c>
      <c r="CU91" s="3728"/>
      <c r="CV91" s="3728"/>
    </row>
    <row s="4334" customFormat="1" customHeight="1" ht="15">
      <c r="A92" s="3716"/>
      <c r="B92" s="3716"/>
      <c r="C92" s="3716"/>
      <c r="D92" s="3716"/>
      <c r="E92" s="3717"/>
      <c r="F92" s="3717" t="s">
        <v>104</v>
      </c>
      <c r="G92" s="3717"/>
      <c r="H92" s="3717"/>
      <c r="I92" s="3730"/>
      <c r="J92" s="3716"/>
      <c r="K92" s="3716"/>
      <c r="L92" s="3719"/>
      <c r="M92" s="3573"/>
      <c r="N92" s="3731"/>
      <c r="O92" s="3731"/>
      <c r="P92" s="3732"/>
      <c r="Q92" s="3732"/>
      <c r="R92" s="3733"/>
      <c r="S92" s="4335"/>
      <c r="T92" s="4336" t="s">
        <v>627</v>
      </c>
      <c r="U92" s="4337"/>
      <c r="V92" s="4338"/>
      <c r="W92" s="4339"/>
      <c r="X92" s="4340"/>
      <c r="Y92" s="4341"/>
      <c r="Z92" s="4342"/>
      <c r="AA92" s="4343"/>
      <c r="AB92" s="4344"/>
      <c r="AC92" s="4345"/>
      <c r="AD92" s="4346"/>
      <c r="AE92" s="4347"/>
      <c r="AF92" s="4348"/>
      <c r="AG92" s="4349"/>
      <c r="AH92" s="4350"/>
      <c r="AI92" s="4351"/>
      <c r="AJ92" s="4352"/>
      <c r="AK92" s="4353"/>
      <c r="AL92" s="4354"/>
      <c r="AM92" s="4355"/>
      <c r="AN92" s="4356"/>
      <c r="AO92" s="4357"/>
      <c r="AP92" s="4358"/>
      <c r="AQ92" s="4359"/>
      <c r="AR92" s="4360"/>
      <c r="AS92" s="4361"/>
      <c r="AT92" s="4362"/>
      <c r="AU92" s="4363"/>
      <c r="AV92" s="4364"/>
      <c r="AW92" s="4365"/>
      <c r="AX92" s="4366"/>
      <c r="AY92" s="4367"/>
      <c r="AZ92" s="4368"/>
      <c r="BA92" s="4369"/>
      <c r="BB92" s="4370"/>
      <c r="BC92" s="4371"/>
      <c r="BD92" s="4372"/>
      <c r="BE92" s="4373"/>
      <c r="BF92" s="4374"/>
      <c r="BG92" s="4375"/>
      <c r="BH92" s="4376"/>
      <c r="BI92" s="4377"/>
      <c r="BJ92" s="4378"/>
      <c r="BK92" s="4379"/>
      <c r="BL92" s="4380"/>
      <c r="BM92" s="4381"/>
      <c r="BN92" s="4382"/>
      <c r="BO92" s="4383"/>
      <c r="BP92" s="4384"/>
      <c r="BQ92" s="4385"/>
      <c r="BR92" s="4386"/>
      <c r="BS92" s="4387"/>
      <c r="BT92" s="4388"/>
      <c r="BU92" s="4389"/>
      <c r="BV92" s="4390"/>
      <c r="BW92" s="4391"/>
      <c r="BX92" s="4392"/>
      <c r="BY92" s="4393"/>
      <c r="BZ92" s="4394"/>
      <c r="CA92" s="4395"/>
      <c r="CB92" s="4396"/>
      <c r="CC92" s="4397"/>
      <c r="CD92" s="4398"/>
      <c r="CE92" s="4399"/>
      <c r="CF92" s="4400"/>
      <c r="CG92" s="4401"/>
      <c r="CH92" s="4402"/>
      <c r="CI92" s="4403"/>
      <c r="CJ92" s="4404"/>
      <c r="CK92" s="4405"/>
      <c r="CL92" s="4406"/>
      <c r="CM92" s="4407"/>
      <c r="CN92" s="4408"/>
      <c r="CO92" s="4409"/>
      <c r="CP92" s="4410"/>
      <c r="CQ92" s="4411"/>
      <c r="CR92" s="3581"/>
      <c r="CS92" s="3728"/>
      <c r="CT92" s="3728" t="str">
        <f>IF(T92="","",T92)</f>
        <v>Добавить группу потребителей</v>
      </c>
      <c r="CU92" s="3728"/>
      <c r="CV92" s="3728"/>
    </row>
    <row s="4412" customFormat="1" customHeight="1" ht="14.25">
      <c r="A93" s="3716"/>
      <c r="B93" s="3716"/>
      <c r="C93" s="3716"/>
      <c r="D93" s="3716"/>
      <c r="E93" s="3717"/>
      <c r="F93" s="3717" t="s">
        <v>104</v>
      </c>
      <c r="G93" s="3717"/>
      <c r="H93" s="3718"/>
      <c r="I93" s="3716"/>
      <c r="J93" s="3716"/>
      <c r="K93" s="3716"/>
      <c r="L93" s="3719"/>
      <c r="M93" s="3720"/>
      <c r="N93" s="3720"/>
      <c r="O93" s="3573"/>
      <c r="P93" s="3905"/>
      <c r="Q93" s="3906"/>
      <c r="R93" s="3907"/>
      <c r="S93" s="3908"/>
      <c r="T93" s="3909"/>
      <c r="U93" s="3569"/>
      <c r="V93" s="3569"/>
      <c r="W93" s="3569"/>
      <c r="X93" s="3569"/>
      <c r="Y93" s="3569"/>
      <c r="Z93" s="3569"/>
      <c r="AA93" s="3569"/>
      <c r="AB93" s="3569"/>
      <c r="AC93" s="3569"/>
      <c r="AD93" s="3569"/>
      <c r="AE93" s="3569"/>
      <c r="AF93" s="3569"/>
      <c r="AG93" s="3569"/>
      <c r="AH93" s="3569"/>
      <c r="AI93" s="3569"/>
      <c r="AJ93" s="3569"/>
      <c r="AK93" s="3569"/>
      <c r="AL93" s="3569"/>
      <c r="AM93" s="3569"/>
      <c r="AN93" s="3569"/>
      <c r="AO93" s="3569"/>
      <c r="AP93" s="3569"/>
      <c r="AQ93" s="3569"/>
      <c r="AR93" s="3569"/>
      <c r="AS93" s="3569"/>
      <c r="AT93" s="3569"/>
      <c r="AU93" s="3569"/>
      <c r="AV93" s="3569"/>
      <c r="AW93" s="3569"/>
      <c r="AX93" s="3569"/>
      <c r="AY93" s="3569"/>
      <c r="AZ93" s="3569"/>
      <c r="BA93" s="3569"/>
      <c r="BB93" s="3569"/>
      <c r="BC93" s="3569"/>
      <c r="BD93" s="3569"/>
      <c r="BE93" s="3569"/>
      <c r="BF93" s="3569"/>
      <c r="BG93" s="3569"/>
      <c r="BH93" s="3569"/>
      <c r="BI93" s="3569"/>
      <c r="BJ93" s="3569"/>
      <c r="BK93" s="3569"/>
      <c r="BL93" s="3569"/>
      <c r="BM93" s="3569"/>
      <c r="BN93" s="3569"/>
      <c r="BO93" s="3569"/>
      <c r="BP93" s="3569"/>
      <c r="BQ93" s="3569"/>
      <c r="BR93" s="3569"/>
      <c r="BS93" s="3569"/>
      <c r="BT93" s="3569"/>
      <c r="BU93" s="3569"/>
      <c r="BV93" s="3569"/>
      <c r="BW93" s="3569"/>
      <c r="BX93" s="3569"/>
      <c r="BY93" s="3569"/>
      <c r="BZ93" s="3569"/>
      <c r="CA93" s="3569"/>
      <c r="CB93" s="3569"/>
      <c r="CC93" s="3569"/>
      <c r="CD93" s="3569"/>
      <c r="CE93" s="3569"/>
      <c r="CF93" s="3569"/>
      <c r="CG93" s="3569"/>
      <c r="CH93" s="3569"/>
      <c r="CI93" s="3569"/>
      <c r="CJ93" s="3569"/>
      <c r="CK93" s="3569"/>
      <c r="CL93" s="3569"/>
      <c r="CM93" s="3569"/>
      <c r="CN93" s="3569"/>
      <c r="CO93" s="3569"/>
      <c r="CP93" s="3569"/>
      <c r="CQ93" s="3910"/>
      <c r="CR93" s="3581"/>
      <c r="CS93" s="3728"/>
      <c r="CT93" s="3728" t="str">
        <f>IF(T93="","",T93)</f>
        <v/>
      </c>
      <c r="CU93" s="3728"/>
      <c r="CV93" s="3728"/>
    </row>
    <row s="4413" customFormat="1" customHeight="1" ht="0.75">
      <c r="A94" s="4239"/>
      <c r="B94" s="4239"/>
      <c r="C94" s="4239"/>
      <c r="D94" s="4239"/>
      <c r="E94" s="3717"/>
      <c r="F94" s="3717" t="s">
        <v>104</v>
      </c>
      <c r="G94" s="3718"/>
      <c r="H94" s="4239"/>
      <c r="I94" s="4239"/>
      <c r="J94" s="4239"/>
      <c r="K94" s="4239"/>
      <c r="L94" s="4240"/>
      <c r="M94" s="4241"/>
      <c r="N94" s="4241"/>
      <c r="O94" s="3581"/>
      <c r="P94" s="4242"/>
      <c r="Q94" s="4243"/>
      <c r="R94" s="4242"/>
      <c r="S94" s="4244"/>
      <c r="T94" s="4245" t="s">
        <v>254</v>
      </c>
      <c r="U94" s="3571"/>
      <c r="V94" s="3571"/>
      <c r="W94" s="3571"/>
      <c r="X94" s="3571"/>
      <c r="Y94" s="3571"/>
      <c r="Z94" s="3571"/>
      <c r="AA94" s="3571"/>
      <c r="AB94" s="3571"/>
      <c r="AC94" s="3571"/>
      <c r="AD94" s="3571"/>
      <c r="AE94" s="3571"/>
      <c r="AF94" s="3571"/>
      <c r="AG94" s="3571"/>
      <c r="AH94" s="3571"/>
      <c r="AI94" s="3571"/>
      <c r="AJ94" s="3571"/>
      <c r="AK94" s="3571"/>
      <c r="AL94" s="3571"/>
      <c r="AM94" s="3571"/>
      <c r="AN94" s="3571"/>
      <c r="AO94" s="3571"/>
      <c r="AP94" s="3571"/>
      <c r="AQ94" s="3571"/>
      <c r="AR94" s="3571"/>
      <c r="AS94" s="3571"/>
      <c r="AT94" s="3571"/>
      <c r="AU94" s="3571"/>
      <c r="AV94" s="3571"/>
      <c r="AW94" s="3571"/>
      <c r="AX94" s="3571"/>
      <c r="AY94" s="3571"/>
      <c r="AZ94" s="3571"/>
      <c r="BA94" s="3571"/>
      <c r="BB94" s="3571"/>
      <c r="BC94" s="3571"/>
      <c r="BD94" s="3571"/>
      <c r="BE94" s="3571"/>
      <c r="BF94" s="3571"/>
      <c r="BG94" s="3571"/>
      <c r="BH94" s="3571"/>
      <c r="BI94" s="3571"/>
      <c r="BJ94" s="3571"/>
      <c r="BK94" s="3571"/>
      <c r="BL94" s="3571"/>
      <c r="BM94" s="3571"/>
      <c r="BN94" s="3571"/>
      <c r="BO94" s="3571"/>
      <c r="BP94" s="3571"/>
      <c r="BQ94" s="3571"/>
      <c r="BR94" s="3571"/>
      <c r="BS94" s="3571"/>
      <c r="BT94" s="3571"/>
      <c r="BU94" s="3571"/>
      <c r="BV94" s="3571"/>
      <c r="BW94" s="3571"/>
      <c r="BX94" s="3571"/>
      <c r="BY94" s="3571"/>
      <c r="BZ94" s="3571"/>
      <c r="CA94" s="3571"/>
      <c r="CB94" s="3571"/>
      <c r="CC94" s="3571"/>
      <c r="CD94" s="3571"/>
      <c r="CE94" s="3571"/>
      <c r="CF94" s="3571"/>
      <c r="CG94" s="3571"/>
      <c r="CH94" s="3571"/>
      <c r="CI94" s="3571"/>
      <c r="CJ94" s="3571"/>
      <c r="CK94" s="3571"/>
      <c r="CL94" s="3571"/>
      <c r="CM94" s="3571"/>
      <c r="CN94" s="3571"/>
      <c r="CO94" s="3571"/>
      <c r="CP94" s="3571"/>
      <c r="CQ94" s="3571"/>
      <c r="CR94" s="3581"/>
      <c r="CS94" s="3728"/>
      <c r="CT94" s="3728" t="str">
        <f>IF(T94="","",T94)</f>
        <v>Добавить источник для дифференциации</v>
      </c>
      <c r="CU94" s="3728"/>
      <c r="CV94" s="3728"/>
    </row>
    <row s="4414" customFormat="1" customHeight="1" ht="0.75">
      <c r="A95" s="4239"/>
      <c r="B95" s="4239"/>
      <c r="C95" s="4239"/>
      <c r="D95" s="4239"/>
      <c r="E95" s="3717"/>
      <c r="F95" s="3718" t="s">
        <v>104</v>
      </c>
      <c r="G95" s="4239"/>
      <c r="H95" s="4239"/>
      <c r="I95" s="4239"/>
      <c r="J95" s="4239"/>
      <c r="K95" s="4239"/>
      <c r="L95" s="4240"/>
      <c r="M95" s="4247"/>
      <c r="N95" s="4247"/>
      <c r="O95" s="3581"/>
      <c r="P95" s="4242"/>
      <c r="Q95" s="4243"/>
      <c r="R95" s="4242"/>
      <c r="S95" s="4248"/>
      <c r="T95" s="4249" t="s">
        <v>255</v>
      </c>
      <c r="U95" s="3572"/>
      <c r="V95" s="3572"/>
      <c r="W95" s="3572"/>
      <c r="X95" s="3572"/>
      <c r="Y95" s="3572"/>
      <c r="Z95" s="3572"/>
      <c r="AA95" s="3572"/>
      <c r="AB95" s="3572"/>
      <c r="AC95" s="3572"/>
      <c r="AD95" s="3572"/>
      <c r="AE95" s="3572"/>
      <c r="AF95" s="3572"/>
      <c r="AG95" s="3572"/>
      <c r="AH95" s="3572"/>
      <c r="AI95" s="3572"/>
      <c r="AJ95" s="3572"/>
      <c r="AK95" s="3572"/>
      <c r="AL95" s="3572"/>
      <c r="AM95" s="3572"/>
      <c r="AN95" s="3572"/>
      <c r="AO95" s="3572"/>
      <c r="AP95" s="3572"/>
      <c r="AQ95" s="3572"/>
      <c r="AR95" s="3572"/>
      <c r="AS95" s="3572"/>
      <c r="AT95" s="3572"/>
      <c r="AU95" s="3572"/>
      <c r="AV95" s="3572"/>
      <c r="AW95" s="3572"/>
      <c r="AX95" s="3572"/>
      <c r="AY95" s="3572"/>
      <c r="AZ95" s="3572"/>
      <c r="BA95" s="3572"/>
      <c r="BB95" s="3572"/>
      <c r="BC95" s="3572"/>
      <c r="BD95" s="3572"/>
      <c r="BE95" s="3572"/>
      <c r="BF95" s="3572"/>
      <c r="BG95" s="3572"/>
      <c r="BH95" s="3572"/>
      <c r="BI95" s="3572"/>
      <c r="BJ95" s="3572"/>
      <c r="BK95" s="3572"/>
      <c r="BL95" s="3572"/>
      <c r="BM95" s="3572"/>
      <c r="BN95" s="3572"/>
      <c r="BO95" s="3572"/>
      <c r="BP95" s="3572"/>
      <c r="BQ95" s="3572"/>
      <c r="BR95" s="3572"/>
      <c r="BS95" s="3572"/>
      <c r="BT95" s="3572"/>
      <c r="BU95" s="3572"/>
      <c r="BV95" s="3572"/>
      <c r="BW95" s="3572"/>
      <c r="BX95" s="3572"/>
      <c r="BY95" s="3572"/>
      <c r="BZ95" s="3572"/>
      <c r="CA95" s="3572"/>
      <c r="CB95" s="3572"/>
      <c r="CC95" s="3572"/>
      <c r="CD95" s="3572"/>
      <c r="CE95" s="3572"/>
      <c r="CF95" s="3572"/>
      <c r="CG95" s="3572"/>
      <c r="CH95" s="3572"/>
      <c r="CI95" s="3572"/>
      <c r="CJ95" s="3572"/>
      <c r="CK95" s="3572"/>
      <c r="CL95" s="3572"/>
      <c r="CM95" s="3572"/>
      <c r="CN95" s="3572"/>
      <c r="CO95" s="3572"/>
      <c r="CP95" s="3572"/>
      <c r="CQ95" s="3572"/>
      <c r="CR95" s="3581"/>
      <c r="CS95" s="3728"/>
      <c r="CT95" s="3728" t="str">
        <f>IF(T95="","",T95)</f>
        <v>Добавить централизованную систему для дифференциации</v>
      </c>
      <c r="CU95" s="3728"/>
      <c r="CV95" s="3728"/>
    </row>
    <row s="4415" customFormat="1" customHeight="1" ht="21">
      <c r="A96" s="3716"/>
      <c r="B96" s="3716" t="s">
        <v>262</v>
      </c>
      <c r="C96" s="3716"/>
      <c r="D96" s="3716"/>
      <c r="E96" s="3717"/>
      <c r="F96" s="3718" t="s">
        <v>92</v>
      </c>
      <c r="G96" s="3716"/>
      <c r="H96" s="3716"/>
      <c r="I96" s="3716"/>
      <c r="J96" s="3716"/>
      <c r="K96" s="3716"/>
      <c r="L96" s="3719"/>
      <c r="M96" s="3720"/>
      <c r="N96" s="3720"/>
      <c r="O96" s="3720"/>
      <c r="P96" s="4073"/>
      <c r="Q96" s="3722"/>
      <c r="R96" s="3723"/>
      <c r="S96" s="3724" t="str">
        <f>INDEX(PT_DIFFERENTIATION_NUM_TER,MATCH(B96,PT_DIFFERENTIATION_TER_ID,0))</f>
        <v>1.4</v>
      </c>
      <c r="T96" s="4074" t="s">
        <v>612</v>
      </c>
      <c r="U96" s="3726"/>
      <c r="V96" s="3432"/>
      <c r="W96" s="3433"/>
      <c r="X96" s="3433"/>
      <c r="Y96" s="3433"/>
      <c r="Z96" s="3433"/>
      <c r="AA96" s="3433"/>
      <c r="AB96" s="3433"/>
      <c r="AC96" s="3434"/>
      <c r="AD96" s="3432" t="str">
        <f>INDEX(PT_DIFFERENTIATION_TER,MATCH(B96,PT_DIFFERENTIATION_TER_ID,0))</f>
        <v>Территория 4</v>
      </c>
      <c r="AE96" s="3433"/>
      <c r="AF96" s="3433"/>
      <c r="AG96" s="3433"/>
      <c r="AH96" s="3433"/>
      <c r="AI96" s="3433"/>
      <c r="AJ96" s="3433"/>
      <c r="AK96" s="3433"/>
      <c r="AL96" s="3432"/>
      <c r="AM96" s="3433"/>
      <c r="AN96" s="3433"/>
      <c r="AO96" s="3433"/>
      <c r="AP96" s="3433"/>
      <c r="AQ96" s="3433"/>
      <c r="AR96" s="3433"/>
      <c r="AS96" s="3434"/>
      <c r="AT96" s="3432"/>
      <c r="AU96" s="3433"/>
      <c r="AV96" s="3433"/>
      <c r="AW96" s="3433"/>
      <c r="AX96" s="3433"/>
      <c r="AY96" s="3433"/>
      <c r="AZ96" s="3433"/>
      <c r="BA96" s="3434"/>
      <c r="BB96" s="3432"/>
      <c r="BC96" s="3433"/>
      <c r="BD96" s="3433"/>
      <c r="BE96" s="3433"/>
      <c r="BF96" s="3433"/>
      <c r="BG96" s="3433"/>
      <c r="BH96" s="3433"/>
      <c r="BI96" s="3434"/>
      <c r="BJ96" s="3432"/>
      <c r="BK96" s="3433"/>
      <c r="BL96" s="3433"/>
      <c r="BM96" s="3433"/>
      <c r="BN96" s="3433"/>
      <c r="BO96" s="3433"/>
      <c r="BP96" s="3433"/>
      <c r="BQ96" s="3434"/>
      <c r="BR96" s="3432"/>
      <c r="BS96" s="3433"/>
      <c r="BT96" s="3433"/>
      <c r="BU96" s="3433"/>
      <c r="BV96" s="3433"/>
      <c r="BW96" s="3433"/>
      <c r="BX96" s="3433"/>
      <c r="BY96" s="3434"/>
      <c r="BZ96" s="3432"/>
      <c r="CA96" s="3433"/>
      <c r="CB96" s="3433"/>
      <c r="CC96" s="3433"/>
      <c r="CD96" s="3433"/>
      <c r="CE96" s="3433"/>
      <c r="CF96" s="3433"/>
      <c r="CG96" s="3434"/>
      <c r="CH96" s="3432"/>
      <c r="CI96" s="3433"/>
      <c r="CJ96" s="3433"/>
      <c r="CK96" s="3433"/>
      <c r="CL96" s="3433"/>
      <c r="CM96" s="3433"/>
      <c r="CN96" s="3433"/>
      <c r="CO96" s="3434"/>
      <c r="CP96" s="3434"/>
      <c r="CQ96" s="3727" t="s">
        <v>613</v>
      </c>
      <c r="CR96" s="3581"/>
      <c r="CS96" s="3728"/>
      <c r="CT96" s="3728" t="str">
        <f>IF(T96="","",T96)</f>
        <v>Территория действия тарифа</v>
      </c>
      <c r="CU96" s="3728"/>
      <c r="CV96" s="3728"/>
    </row>
    <row s="4416" customFormat="1" customHeight="1" ht="23.25">
      <c r="A97" s="3716"/>
      <c r="B97" s="3716"/>
      <c r="C97" s="3716" t="s">
        <v>263</v>
      </c>
      <c r="D97" s="3716"/>
      <c r="E97" s="3717"/>
      <c r="F97" s="3717" t="s">
        <v>91</v>
      </c>
      <c r="G97" s="3718">
        <v>1</v>
      </c>
      <c r="H97" s="3716"/>
      <c r="I97" s="3716"/>
      <c r="J97" s="3716"/>
      <c r="K97" s="3716"/>
      <c r="L97" s="3719"/>
      <c r="M97" s="3720"/>
      <c r="N97" s="3720"/>
      <c r="O97" s="3720"/>
      <c r="P97" s="3721"/>
      <c r="Q97" s="3722"/>
      <c r="R97" s="3723"/>
      <c r="S97" s="3724" t="str">
        <f>INDEX(PT_DIFFERENTIATION_NUM_CS,MATCH(C97,PT_DIFFERENTIATION_CS_ID,0))</f>
        <v>1.4.1</v>
      </c>
      <c r="T97" s="4076" t="s">
        <v>614</v>
      </c>
      <c r="U97" s="3726"/>
      <c r="V97" s="3432"/>
      <c r="W97" s="3433"/>
      <c r="X97" s="3433"/>
      <c r="Y97" s="3433"/>
      <c r="Z97" s="3433"/>
      <c r="AA97" s="3433"/>
      <c r="AB97" s="3433"/>
      <c r="AC97" s="3434"/>
      <c r="AD97" s="3432" t="str">
        <f>INDEX(PT_DIFFERENTIATION_CS,MATCH(C97,PT_DIFFERENTIATION_CS_ID,0))</f>
        <v>без дифференциации</v>
      </c>
      <c r="AE97" s="3433"/>
      <c r="AF97" s="3433"/>
      <c r="AG97" s="3433"/>
      <c r="AH97" s="3433"/>
      <c r="AI97" s="3433"/>
      <c r="AJ97" s="3433"/>
      <c r="AK97" s="3433"/>
      <c r="AL97" s="3432"/>
      <c r="AM97" s="3433"/>
      <c r="AN97" s="3433"/>
      <c r="AO97" s="3433"/>
      <c r="AP97" s="3433"/>
      <c r="AQ97" s="3433"/>
      <c r="AR97" s="3433"/>
      <c r="AS97" s="3434"/>
      <c r="AT97" s="3432"/>
      <c r="AU97" s="3433"/>
      <c r="AV97" s="3433"/>
      <c r="AW97" s="3433"/>
      <c r="AX97" s="3433"/>
      <c r="AY97" s="3433"/>
      <c r="AZ97" s="3433"/>
      <c r="BA97" s="3434"/>
      <c r="BB97" s="3432"/>
      <c r="BC97" s="3433"/>
      <c r="BD97" s="3433"/>
      <c r="BE97" s="3433"/>
      <c r="BF97" s="3433"/>
      <c r="BG97" s="3433"/>
      <c r="BH97" s="3433"/>
      <c r="BI97" s="3434"/>
      <c r="BJ97" s="3432"/>
      <c r="BK97" s="3433"/>
      <c r="BL97" s="3433"/>
      <c r="BM97" s="3433"/>
      <c r="BN97" s="3433"/>
      <c r="BO97" s="3433"/>
      <c r="BP97" s="3433"/>
      <c r="BQ97" s="3434"/>
      <c r="BR97" s="3432"/>
      <c r="BS97" s="3433"/>
      <c r="BT97" s="3433"/>
      <c r="BU97" s="3433"/>
      <c r="BV97" s="3433"/>
      <c r="BW97" s="3433"/>
      <c r="BX97" s="3433"/>
      <c r="BY97" s="3434"/>
      <c r="BZ97" s="3432"/>
      <c r="CA97" s="3433"/>
      <c r="CB97" s="3433"/>
      <c r="CC97" s="3433"/>
      <c r="CD97" s="3433"/>
      <c r="CE97" s="3433"/>
      <c r="CF97" s="3433"/>
      <c r="CG97" s="3434"/>
      <c r="CH97" s="3432"/>
      <c r="CI97" s="3433"/>
      <c r="CJ97" s="3433"/>
      <c r="CK97" s="3433"/>
      <c r="CL97" s="3433"/>
      <c r="CM97" s="3433"/>
      <c r="CN97" s="3433"/>
      <c r="CO97" s="3434"/>
      <c r="CP97" s="3434"/>
      <c r="CQ97" s="3727" t="s">
        <v>615</v>
      </c>
      <c r="CR97" s="3581"/>
      <c r="CS97" s="3728"/>
      <c r="CT97" s="3728" t="str">
        <f>IF(T97="","",T97)</f>
        <v>Наименование системы теплоснабжения </v>
      </c>
      <c r="CU97" s="3728"/>
      <c r="CV97" s="3728"/>
    </row>
    <row s="4417" customFormat="1" customHeight="1" ht="21">
      <c r="A98" s="3716"/>
      <c r="B98" s="3716"/>
      <c r="C98" s="3716"/>
      <c r="D98" s="3716" t="s">
        <v>264</v>
      </c>
      <c r="E98" s="3717"/>
      <c r="F98" s="3717" t="s">
        <v>91</v>
      </c>
      <c r="G98" s="3717"/>
      <c r="H98" s="3718">
        <v>1</v>
      </c>
      <c r="I98" s="3716"/>
      <c r="J98" s="3716"/>
      <c r="K98" s="3716"/>
      <c r="L98" s="3719"/>
      <c r="M98" s="3720"/>
      <c r="N98" s="3720"/>
      <c r="O98" s="3720"/>
      <c r="P98" s="3721"/>
      <c r="Q98" s="3722"/>
      <c r="R98" s="3723"/>
      <c r="S98" s="3724" t="str">
        <f>INDEX(PT_DIFFERENTIATION_NUM_IST_TE,MATCH(D98,PT_DIFFERENTIATION_IST_TE_ID,0))</f>
        <v>1.4.1.1</v>
      </c>
      <c r="T98" s="3725" t="s">
        <v>616</v>
      </c>
      <c r="U98" s="3726"/>
      <c r="V98" s="3432"/>
      <c r="W98" s="3433"/>
      <c r="X98" s="3433"/>
      <c r="Y98" s="3433"/>
      <c r="Z98" s="3433"/>
      <c r="AA98" s="3433"/>
      <c r="AB98" s="3433"/>
      <c r="AC98" s="3434"/>
      <c r="AD98" s="3432" t="str">
        <f>INDEX(PT_DIFFERENTIATION_IST_TE,MATCH(D98,PT_DIFFERENTIATION_IST_TE_ID,0))</f>
        <v>без дифференциации</v>
      </c>
      <c r="AE98" s="3433"/>
      <c r="AF98" s="3433"/>
      <c r="AG98" s="3433"/>
      <c r="AH98" s="3433"/>
      <c r="AI98" s="3433"/>
      <c r="AJ98" s="3433"/>
      <c r="AK98" s="3433"/>
      <c r="AL98" s="3432"/>
      <c r="AM98" s="3433"/>
      <c r="AN98" s="3433"/>
      <c r="AO98" s="3433"/>
      <c r="AP98" s="3433"/>
      <c r="AQ98" s="3433"/>
      <c r="AR98" s="3433"/>
      <c r="AS98" s="3434"/>
      <c r="AT98" s="3432"/>
      <c r="AU98" s="3433"/>
      <c r="AV98" s="3433"/>
      <c r="AW98" s="3433"/>
      <c r="AX98" s="3433"/>
      <c r="AY98" s="3433"/>
      <c r="AZ98" s="3433"/>
      <c r="BA98" s="3434"/>
      <c r="BB98" s="3432"/>
      <c r="BC98" s="3433"/>
      <c r="BD98" s="3433"/>
      <c r="BE98" s="3433"/>
      <c r="BF98" s="3433"/>
      <c r="BG98" s="3433"/>
      <c r="BH98" s="3433"/>
      <c r="BI98" s="3434"/>
      <c r="BJ98" s="3432"/>
      <c r="BK98" s="3433"/>
      <c r="BL98" s="3433"/>
      <c r="BM98" s="3433"/>
      <c r="BN98" s="3433"/>
      <c r="BO98" s="3433"/>
      <c r="BP98" s="3433"/>
      <c r="BQ98" s="3434"/>
      <c r="BR98" s="3432"/>
      <c r="BS98" s="3433"/>
      <c r="BT98" s="3433"/>
      <c r="BU98" s="3433"/>
      <c r="BV98" s="3433"/>
      <c r="BW98" s="3433"/>
      <c r="BX98" s="3433"/>
      <c r="BY98" s="3434"/>
      <c r="BZ98" s="3432"/>
      <c r="CA98" s="3433"/>
      <c r="CB98" s="3433"/>
      <c r="CC98" s="3433"/>
      <c r="CD98" s="3433"/>
      <c r="CE98" s="3433"/>
      <c r="CF98" s="3433"/>
      <c r="CG98" s="3434"/>
      <c r="CH98" s="3432"/>
      <c r="CI98" s="3433"/>
      <c r="CJ98" s="3433"/>
      <c r="CK98" s="3433"/>
      <c r="CL98" s="3433"/>
      <c r="CM98" s="3433"/>
      <c r="CN98" s="3433"/>
      <c r="CO98" s="3434"/>
      <c r="CP98" s="3434"/>
      <c r="CQ98" s="3727" t="s">
        <v>617</v>
      </c>
      <c r="CR98" s="3581"/>
      <c r="CS98" s="3728"/>
      <c r="CT98" s="3728" t="str">
        <f>IF(T98="","",T98)</f>
        <v>Источник тепловой энергии  </v>
      </c>
      <c r="CU98" s="3728"/>
      <c r="CV98" s="3728"/>
    </row>
    <row s="4418" customFormat="1" customHeight="1" ht="14.25">
      <c r="A99" s="3716"/>
      <c r="B99" s="3716"/>
      <c r="C99" s="3716"/>
      <c r="D99" s="3716"/>
      <c r="E99" s="3717"/>
      <c r="F99" s="3717" t="s">
        <v>91</v>
      </c>
      <c r="G99" s="3717"/>
      <c r="H99" s="3717"/>
      <c r="I99" s="3730" t="str">
        <f>S98&amp;".1"</f>
        <v>1.4.1.1.1</v>
      </c>
      <c r="J99" s="3716"/>
      <c r="K99" s="3716"/>
      <c r="L99" s="3719" t="s">
        <v>618</v>
      </c>
      <c r="M99" s="3573"/>
      <c r="N99" s="3731"/>
      <c r="O99" s="3731"/>
      <c r="P99" s="3732">
        <v>1</v>
      </c>
      <c r="Q99" s="3732"/>
      <c r="R99" s="3733"/>
      <c r="S99" s="3734"/>
      <c r="T99" s="3735"/>
      <c r="U99" s="3736"/>
      <c r="V99" s="3441"/>
      <c r="W99" s="3442"/>
      <c r="X99" s="3442"/>
      <c r="Y99" s="3442"/>
      <c r="Z99" s="3442"/>
      <c r="AA99" s="3442"/>
      <c r="AB99" s="3442"/>
      <c r="AC99" s="3443"/>
      <c r="AD99" s="3441"/>
      <c r="AE99" s="3442"/>
      <c r="AF99" s="3442"/>
      <c r="AG99" s="3442"/>
      <c r="AH99" s="3442"/>
      <c r="AI99" s="3442"/>
      <c r="AJ99" s="3442"/>
      <c r="AK99" s="3442"/>
      <c r="AL99" s="3441"/>
      <c r="AM99" s="3442"/>
      <c r="AN99" s="3442"/>
      <c r="AO99" s="3442"/>
      <c r="AP99" s="3442"/>
      <c r="AQ99" s="3442"/>
      <c r="AR99" s="3442"/>
      <c r="AS99" s="3443"/>
      <c r="AT99" s="3441"/>
      <c r="AU99" s="3442"/>
      <c r="AV99" s="3442"/>
      <c r="AW99" s="3442"/>
      <c r="AX99" s="3442"/>
      <c r="AY99" s="3442"/>
      <c r="AZ99" s="3442"/>
      <c r="BA99" s="3443"/>
      <c r="BB99" s="3441"/>
      <c r="BC99" s="3442"/>
      <c r="BD99" s="3442"/>
      <c r="BE99" s="3442"/>
      <c r="BF99" s="3442"/>
      <c r="BG99" s="3442"/>
      <c r="BH99" s="3442"/>
      <c r="BI99" s="3443"/>
      <c r="BJ99" s="3441"/>
      <c r="BK99" s="3442"/>
      <c r="BL99" s="3442"/>
      <c r="BM99" s="3442"/>
      <c r="BN99" s="3442"/>
      <c r="BO99" s="3442"/>
      <c r="BP99" s="3442"/>
      <c r="BQ99" s="3443"/>
      <c r="BR99" s="3441"/>
      <c r="BS99" s="3442"/>
      <c r="BT99" s="3442"/>
      <c r="BU99" s="3442"/>
      <c r="BV99" s="3442"/>
      <c r="BW99" s="3442"/>
      <c r="BX99" s="3442"/>
      <c r="BY99" s="3443"/>
      <c r="BZ99" s="3441"/>
      <c r="CA99" s="3442"/>
      <c r="CB99" s="3442"/>
      <c r="CC99" s="3442"/>
      <c r="CD99" s="3442"/>
      <c r="CE99" s="3442"/>
      <c r="CF99" s="3442"/>
      <c r="CG99" s="3443"/>
      <c r="CH99" s="3441"/>
      <c r="CI99" s="3442"/>
      <c r="CJ99" s="3442"/>
      <c r="CK99" s="3442"/>
      <c r="CL99" s="3442"/>
      <c r="CM99" s="3442"/>
      <c r="CN99" s="3442"/>
      <c r="CO99" s="3443"/>
      <c r="CP99" s="3443"/>
      <c r="CQ99" s="3737"/>
      <c r="CR99" s="3581"/>
      <c r="CS99" s="3728"/>
      <c r="CT99" s="3728" t="str">
        <f>IF(T99="","",T99)</f>
        <v/>
      </c>
      <c r="CU99" s="3728"/>
      <c r="CV99" s="3728"/>
    </row>
    <row s="4419" customFormat="1" customHeight="1" ht="21">
      <c r="A100" s="3716"/>
      <c r="B100" s="3716"/>
      <c r="C100" s="3716"/>
      <c r="D100" s="3716"/>
      <c r="E100" s="3717"/>
      <c r="F100" s="3717" t="s">
        <v>91</v>
      </c>
      <c r="G100" s="3717"/>
      <c r="H100" s="3717"/>
      <c r="I100" s="3739"/>
      <c r="J100" s="3730" t="str">
        <f>I99&amp;".1"</f>
        <v>1.4.1.1.1.1</v>
      </c>
      <c r="K100" s="3716"/>
      <c r="L100" s="3719" t="s">
        <v>621</v>
      </c>
      <c r="M100" s="3573"/>
      <c r="N100" s="3573"/>
      <c r="O100" s="3731"/>
      <c r="P100" s="3732"/>
      <c r="Q100" s="3732">
        <v>1</v>
      </c>
      <c r="R100" s="3740"/>
      <c r="S100" s="3724" t="str">
        <f>$J100</f>
        <v>1.4.1.1.1.1</v>
      </c>
      <c r="T100" s="3741" t="s">
        <v>622</v>
      </c>
      <c r="U100" s="3726"/>
      <c r="V100" s="3445"/>
      <c r="W100" s="3446"/>
      <c r="X100" s="3446"/>
      <c r="Y100" s="3446"/>
      <c r="Z100" s="3446"/>
      <c r="AA100" s="3446"/>
      <c r="AB100" s="3446"/>
      <c r="AC100" s="3447"/>
      <c r="AD100" s="3445" t="s">
        <v>662</v>
      </c>
      <c r="AE100" s="3446"/>
      <c r="AF100" s="3446"/>
      <c r="AG100" s="3446"/>
      <c r="AH100" s="3446"/>
      <c r="AI100" s="3446"/>
      <c r="AJ100" s="3446"/>
      <c r="AK100" s="3446"/>
      <c r="AL100" s="3445"/>
      <c r="AM100" s="3446"/>
      <c r="AN100" s="3446"/>
      <c r="AO100" s="3446"/>
      <c r="AP100" s="3446"/>
      <c r="AQ100" s="3446"/>
      <c r="AR100" s="3446"/>
      <c r="AS100" s="3447"/>
      <c r="AT100" s="3445"/>
      <c r="AU100" s="3446"/>
      <c r="AV100" s="3446"/>
      <c r="AW100" s="3446"/>
      <c r="AX100" s="3446"/>
      <c r="AY100" s="3446"/>
      <c r="AZ100" s="3446"/>
      <c r="BA100" s="3447"/>
      <c r="BB100" s="3445"/>
      <c r="BC100" s="3446"/>
      <c r="BD100" s="3446"/>
      <c r="BE100" s="3446"/>
      <c r="BF100" s="3446"/>
      <c r="BG100" s="3446"/>
      <c r="BH100" s="3446"/>
      <c r="BI100" s="3447"/>
      <c r="BJ100" s="3445"/>
      <c r="BK100" s="3446"/>
      <c r="BL100" s="3446"/>
      <c r="BM100" s="3446"/>
      <c r="BN100" s="3446"/>
      <c r="BO100" s="3446"/>
      <c r="BP100" s="3446"/>
      <c r="BQ100" s="3447"/>
      <c r="BR100" s="3445"/>
      <c r="BS100" s="3446"/>
      <c r="BT100" s="3446"/>
      <c r="BU100" s="3446"/>
      <c r="BV100" s="3446"/>
      <c r="BW100" s="3446"/>
      <c r="BX100" s="3446"/>
      <c r="BY100" s="3447"/>
      <c r="BZ100" s="3445"/>
      <c r="CA100" s="3446"/>
      <c r="CB100" s="3446"/>
      <c r="CC100" s="3446"/>
      <c r="CD100" s="3446"/>
      <c r="CE100" s="3446"/>
      <c r="CF100" s="3446"/>
      <c r="CG100" s="3447"/>
      <c r="CH100" s="3445"/>
      <c r="CI100" s="3446"/>
      <c r="CJ100" s="3446"/>
      <c r="CK100" s="3446"/>
      <c r="CL100" s="3446"/>
      <c r="CM100" s="3446"/>
      <c r="CN100" s="3446"/>
      <c r="CO100" s="3447"/>
      <c r="CP100" s="3447"/>
      <c r="CQ100" s="3727" t="s">
        <v>623</v>
      </c>
      <c r="CR100" s="3581"/>
      <c r="CS100" s="3728"/>
      <c r="CT100" s="3728" t="str">
        <f>IF(T100="","",T100)</f>
        <v>Группа потребителей</v>
      </c>
      <c r="CU100" s="3728"/>
      <c r="CV100" s="3728"/>
    </row>
    <row s="4420" customFormat="1" customHeight="1" ht="21">
      <c r="A101" s="3716"/>
      <c r="B101" s="3716"/>
      <c r="C101" s="3716"/>
      <c r="D101" s="3716"/>
      <c r="E101" s="3717"/>
      <c r="F101" s="3717" t="s">
        <v>91</v>
      </c>
      <c r="G101" s="3717"/>
      <c r="H101" s="3717"/>
      <c r="I101" s="3739"/>
      <c r="J101" s="3739"/>
      <c r="K101" s="3730" t="str">
        <f>J100&amp;".1"</f>
        <v>1.4.1.1.1.1.1</v>
      </c>
      <c r="L101" s="3719" t="s">
        <v>624</v>
      </c>
      <c r="M101" s="3573"/>
      <c r="N101" s="3573"/>
      <c r="O101" s="3573"/>
      <c r="P101" s="3732"/>
      <c r="Q101" s="3732"/>
      <c r="R101" s="3740">
        <v>1</v>
      </c>
      <c r="S101" s="3724" t="str">
        <f>$K101</f>
        <v>1.4.1.1.1.1.1</v>
      </c>
      <c r="T101" s="3743" t="s">
        <v>663</v>
      </c>
      <c r="U101" s="3726"/>
      <c r="V101" s="3448"/>
      <c r="W101" s="3449"/>
      <c r="X101" s="3448"/>
      <c r="Y101" s="3450"/>
      <c r="Z101" s="3451"/>
      <c r="AA101" s="2872" t="s">
        <v>63</v>
      </c>
      <c r="AB101" s="3451"/>
      <c r="AC101" s="2872" t="s">
        <v>63</v>
      </c>
      <c r="AD101" s="3448">
        <v>28.25</v>
      </c>
      <c r="AE101" s="3449"/>
      <c r="AF101" s="3448"/>
      <c r="AG101" s="3450"/>
      <c r="AH101" s="3451">
        <v>44197</v>
      </c>
      <c r="AI101" s="2872" t="s">
        <v>63</v>
      </c>
      <c r="AJ101" s="3451">
        <v>44377</v>
      </c>
      <c r="AK101" s="2872" t="s">
        <v>63</v>
      </c>
      <c r="AL101" s="3448">
        <v>34.35</v>
      </c>
      <c r="AM101" s="3449"/>
      <c r="AN101" s="3448"/>
      <c r="AO101" s="3450"/>
      <c r="AP101" s="3451">
        <v>44378</v>
      </c>
      <c r="AQ101" s="2872" t="s">
        <v>63</v>
      </c>
      <c r="AR101" s="3451">
        <v>44561</v>
      </c>
      <c r="AS101" s="2872" t="s">
        <v>63</v>
      </c>
      <c r="AT101" s="3448">
        <v>32.45</v>
      </c>
      <c r="AU101" s="3449"/>
      <c r="AV101" s="3448"/>
      <c r="AW101" s="3450"/>
      <c r="AX101" s="3451">
        <v>44562</v>
      </c>
      <c r="AY101" s="2872" t="s">
        <v>63</v>
      </c>
      <c r="AZ101" s="3451">
        <v>44601</v>
      </c>
      <c r="BA101" s="2872" t="s">
        <v>63</v>
      </c>
      <c r="BB101" s="3448">
        <v>32.45</v>
      </c>
      <c r="BC101" s="3449"/>
      <c r="BD101" s="3448"/>
      <c r="BE101" s="3450"/>
      <c r="BF101" s="3451">
        <v>44602</v>
      </c>
      <c r="BG101" s="2872" t="s">
        <v>63</v>
      </c>
      <c r="BH101" s="3451">
        <v>44742</v>
      </c>
      <c r="BI101" s="2872" t="s">
        <v>63</v>
      </c>
      <c r="BJ101" s="3448">
        <v>32.45</v>
      </c>
      <c r="BK101" s="3449"/>
      <c r="BL101" s="3448"/>
      <c r="BM101" s="3450"/>
      <c r="BN101" s="3451">
        <v>44743</v>
      </c>
      <c r="BO101" s="2872" t="s">
        <v>63</v>
      </c>
      <c r="BP101" s="3451">
        <v>44804</v>
      </c>
      <c r="BQ101" s="2872" t="s">
        <v>63</v>
      </c>
      <c r="BR101" s="3448">
        <v>32.45</v>
      </c>
      <c r="BS101" s="3449"/>
      <c r="BT101" s="3448"/>
      <c r="BU101" s="3450"/>
      <c r="BV101" s="3451">
        <v>44805</v>
      </c>
      <c r="BW101" s="2872" t="s">
        <v>63</v>
      </c>
      <c r="BX101" s="3451">
        <v>44895</v>
      </c>
      <c r="BY101" s="2872" t="s">
        <v>63</v>
      </c>
      <c r="BZ101" s="3448">
        <v>35.07</v>
      </c>
      <c r="CA101" s="3449"/>
      <c r="CB101" s="3448"/>
      <c r="CC101" s="3450"/>
      <c r="CD101" s="3451">
        <v>44896</v>
      </c>
      <c r="CE101" s="2872" t="s">
        <v>63</v>
      </c>
      <c r="CF101" s="3451">
        <v>45174</v>
      </c>
      <c r="CG101" s="2872" t="s">
        <v>63</v>
      </c>
      <c r="CH101" s="3448">
        <v>35.07</v>
      </c>
      <c r="CI101" s="3449"/>
      <c r="CJ101" s="3448"/>
      <c r="CK101" s="3450"/>
      <c r="CL101" s="3451">
        <v>45175</v>
      </c>
      <c r="CM101" s="2872" t="s">
        <v>63</v>
      </c>
      <c r="CN101" s="3451">
        <v>45291</v>
      </c>
      <c r="CO101" s="2872" t="s">
        <v>63</v>
      </c>
      <c r="CP101" s="3449"/>
      <c r="CQ101" s="3744" t="s">
        <v>625</v>
      </c>
      <c r="CR101" s="3581">
        <f>STRCHECKDATE(V102:CP102)</f>
      </c>
      <c r="CS101" s="3728"/>
      <c r="CT101" s="3728" t="str">
        <f>IF(T101="","",T101)</f>
        <v>вода</v>
      </c>
      <c r="CU101" s="3728"/>
      <c r="CV101" s="3728"/>
    </row>
    <row s="4421" customFormat="1" customHeight="1" ht="0.75">
      <c r="A102" s="3716"/>
      <c r="B102" s="3716"/>
      <c r="C102" s="3716"/>
      <c r="D102" s="3716"/>
      <c r="E102" s="3717"/>
      <c r="F102" s="3717" t="s">
        <v>91</v>
      </c>
      <c r="G102" s="3717"/>
      <c r="H102" s="3717"/>
      <c r="I102" s="3739"/>
      <c r="J102" s="3739"/>
      <c r="K102" s="3730"/>
      <c r="L102" s="3719"/>
      <c r="M102" s="3573"/>
      <c r="N102" s="3573"/>
      <c r="O102" s="3573"/>
      <c r="P102" s="3732"/>
      <c r="Q102" s="3732"/>
      <c r="R102" s="3740"/>
      <c r="S102" s="3746"/>
      <c r="T102" s="3726"/>
      <c r="U102" s="3726"/>
      <c r="V102" s="3449"/>
      <c r="W102" s="3449"/>
      <c r="X102" s="3449"/>
      <c r="Y102" s="3452" t="str">
        <f>Z101&amp;"-"&amp;AB101</f>
        <v>-</v>
      </c>
      <c r="Z102" s="3453"/>
      <c r="AA102" s="2872"/>
      <c r="AB102" s="3453"/>
      <c r="AC102" s="2872"/>
      <c r="AD102" s="3449"/>
      <c r="AE102" s="3449"/>
      <c r="AF102" s="3449"/>
      <c r="AG102" s="3452" t="str">
        <f>AH101&amp;"-"&amp;AJ101</f>
        <v>44197-44377</v>
      </c>
      <c r="AH102" s="3453"/>
      <c r="AI102" s="2872"/>
      <c r="AJ102" s="3453"/>
      <c r="AK102" s="2872"/>
      <c r="AL102" s="3449"/>
      <c r="AM102" s="3449"/>
      <c r="AN102" s="3449"/>
      <c r="AO102" s="3452" t="str">
        <f>AP101&amp;"-"&amp;AR101</f>
        <v>44378-44561</v>
      </c>
      <c r="AP102" s="3453"/>
      <c r="AQ102" s="2872"/>
      <c r="AR102" s="3453"/>
      <c r="AS102" s="2872"/>
      <c r="AT102" s="3449"/>
      <c r="AU102" s="3449"/>
      <c r="AV102" s="3449"/>
      <c r="AW102" s="3452" t="str">
        <f>AX101&amp;"-"&amp;AZ101</f>
        <v>44562-44601</v>
      </c>
      <c r="AX102" s="3453"/>
      <c r="AY102" s="2872"/>
      <c r="AZ102" s="3453"/>
      <c r="BA102" s="2872"/>
      <c r="BB102" s="3449"/>
      <c r="BC102" s="3449"/>
      <c r="BD102" s="3449"/>
      <c r="BE102" s="3452" t="str">
        <f>BF101&amp;"-"&amp;BH101</f>
        <v>44602-44742</v>
      </c>
      <c r="BF102" s="3453"/>
      <c r="BG102" s="2872"/>
      <c r="BH102" s="3453"/>
      <c r="BI102" s="2872"/>
      <c r="BJ102" s="3449"/>
      <c r="BK102" s="3449"/>
      <c r="BL102" s="3449"/>
      <c r="BM102" s="3452" t="str">
        <f>BN101&amp;"-"&amp;BP101</f>
        <v>44743-44804</v>
      </c>
      <c r="BN102" s="3453"/>
      <c r="BO102" s="2872"/>
      <c r="BP102" s="3453"/>
      <c r="BQ102" s="2872"/>
      <c r="BR102" s="3449"/>
      <c r="BS102" s="3449"/>
      <c r="BT102" s="3449"/>
      <c r="BU102" s="3452" t="str">
        <f>BV101&amp;"-"&amp;BX101</f>
        <v>44805-44895</v>
      </c>
      <c r="BV102" s="3453"/>
      <c r="BW102" s="2872"/>
      <c r="BX102" s="3453"/>
      <c r="BY102" s="2872"/>
      <c r="BZ102" s="3449"/>
      <c r="CA102" s="3449"/>
      <c r="CB102" s="3449"/>
      <c r="CC102" s="3452" t="str">
        <f>CD101&amp;"-"&amp;CF101</f>
        <v>44896-45174</v>
      </c>
      <c r="CD102" s="3453"/>
      <c r="CE102" s="2872"/>
      <c r="CF102" s="3453"/>
      <c r="CG102" s="2872"/>
      <c r="CH102" s="3449"/>
      <c r="CI102" s="3449"/>
      <c r="CJ102" s="3449"/>
      <c r="CK102" s="3452" t="str">
        <f>CL101&amp;"-"&amp;CN101</f>
        <v>45175-45291</v>
      </c>
      <c r="CL102" s="3453"/>
      <c r="CM102" s="2872"/>
      <c r="CN102" s="3453"/>
      <c r="CO102" s="2872"/>
      <c r="CP102" s="3449"/>
      <c r="CQ102" s="3747"/>
      <c r="CR102" s="3581"/>
      <c r="CS102" s="3728"/>
      <c r="CT102" s="3728" t="str">
        <f>IF(T102="","",T102)</f>
        <v/>
      </c>
      <c r="CU102" s="3728"/>
      <c r="CV102" s="3728"/>
    </row>
    <row s="4422" customFormat="1" customHeight="1" ht="15">
      <c r="A103" s="3716"/>
      <c r="B103" s="3716"/>
      <c r="C103" s="3716"/>
      <c r="D103" s="3716"/>
      <c r="E103" s="3717"/>
      <c r="F103" s="3717" t="s">
        <v>91</v>
      </c>
      <c r="G103" s="3717"/>
      <c r="H103" s="3717"/>
      <c r="I103" s="3739"/>
      <c r="J103" s="3730"/>
      <c r="K103" s="3716"/>
      <c r="L103" s="3719"/>
      <c r="M103" s="3573"/>
      <c r="N103" s="3573"/>
      <c r="O103" s="3731"/>
      <c r="P103" s="3732"/>
      <c r="Q103" s="3732"/>
      <c r="R103" s="3733"/>
      <c r="S103" s="4423"/>
      <c r="T103" s="4424" t="s">
        <v>626</v>
      </c>
      <c r="U103" s="4425"/>
      <c r="V103" s="4426"/>
      <c r="W103" s="4427"/>
      <c r="X103" s="4428"/>
      <c r="Y103" s="4429"/>
      <c r="Z103" s="4430"/>
      <c r="AA103" s="4431"/>
      <c r="AB103" s="4432"/>
      <c r="AC103" s="4433"/>
      <c r="AD103" s="4434"/>
      <c r="AE103" s="4435"/>
      <c r="AF103" s="4436"/>
      <c r="AG103" s="4437"/>
      <c r="AH103" s="4438"/>
      <c r="AI103" s="4439"/>
      <c r="AJ103" s="4440"/>
      <c r="AK103" s="4441"/>
      <c r="AL103" s="4442"/>
      <c r="AM103" s="4443"/>
      <c r="AN103" s="4444"/>
      <c r="AO103" s="4445"/>
      <c r="AP103" s="4446"/>
      <c r="AQ103" s="4447"/>
      <c r="AR103" s="4448"/>
      <c r="AS103" s="4449"/>
      <c r="AT103" s="4450"/>
      <c r="AU103" s="4451"/>
      <c r="AV103" s="4452"/>
      <c r="AW103" s="4453"/>
      <c r="AX103" s="4454"/>
      <c r="AY103" s="4455"/>
      <c r="AZ103" s="4456"/>
      <c r="BA103" s="4457"/>
      <c r="BB103" s="4458"/>
      <c r="BC103" s="4459"/>
      <c r="BD103" s="4460"/>
      <c r="BE103" s="4461"/>
      <c r="BF103" s="4462"/>
      <c r="BG103" s="4463"/>
      <c r="BH103" s="4464"/>
      <c r="BI103" s="4465"/>
      <c r="BJ103" s="4466"/>
      <c r="BK103" s="4467"/>
      <c r="BL103" s="4468"/>
      <c r="BM103" s="4469"/>
      <c r="BN103" s="4470"/>
      <c r="BO103" s="4471"/>
      <c r="BP103" s="4472"/>
      <c r="BQ103" s="4473"/>
      <c r="BR103" s="4474"/>
      <c r="BS103" s="4475"/>
      <c r="BT103" s="4476"/>
      <c r="BU103" s="4477"/>
      <c r="BV103" s="4478"/>
      <c r="BW103" s="4479"/>
      <c r="BX103" s="4480"/>
      <c r="BY103" s="4481"/>
      <c r="BZ103" s="4482"/>
      <c r="CA103" s="4483"/>
      <c r="CB103" s="4484"/>
      <c r="CC103" s="4485"/>
      <c r="CD103" s="4486"/>
      <c r="CE103" s="4487"/>
      <c r="CF103" s="4488"/>
      <c r="CG103" s="4489"/>
      <c r="CH103" s="4490"/>
      <c r="CI103" s="4491"/>
      <c r="CJ103" s="4492"/>
      <c r="CK103" s="4493"/>
      <c r="CL103" s="4494"/>
      <c r="CM103" s="4495"/>
      <c r="CN103" s="4496"/>
      <c r="CO103" s="4497"/>
      <c r="CP103" s="4498"/>
      <c r="CQ103" s="3825"/>
      <c r="CR103" s="3581"/>
      <c r="CS103" s="3728"/>
      <c r="CT103" s="3728" t="str">
        <f>IF(T103="","",T103)</f>
        <v>Добавить вид теплоносителя (параметры теплоносителя)</v>
      </c>
      <c r="CU103" s="3728"/>
      <c r="CV103" s="3728"/>
    </row>
    <row s="4499" customFormat="1" customHeight="1" ht="15">
      <c r="A104" s="3716"/>
      <c r="B104" s="3716"/>
      <c r="C104" s="3716"/>
      <c r="D104" s="3716"/>
      <c r="E104" s="3717"/>
      <c r="F104" s="3717" t="s">
        <v>91</v>
      </c>
      <c r="G104" s="3717"/>
      <c r="H104" s="3717"/>
      <c r="I104" s="3730"/>
      <c r="J104" s="3716"/>
      <c r="K104" s="3716"/>
      <c r="L104" s="3719"/>
      <c r="M104" s="3573"/>
      <c r="N104" s="3731"/>
      <c r="O104" s="3731"/>
      <c r="P104" s="3732"/>
      <c r="Q104" s="3732"/>
      <c r="R104" s="3733"/>
      <c r="S104" s="4500"/>
      <c r="T104" s="4501" t="s">
        <v>627</v>
      </c>
      <c r="U104" s="4502"/>
      <c r="V104" s="4503"/>
      <c r="W104" s="4504"/>
      <c r="X104" s="4505"/>
      <c r="Y104" s="4506"/>
      <c r="Z104" s="4507"/>
      <c r="AA104" s="4508"/>
      <c r="AB104" s="4509"/>
      <c r="AC104" s="4510"/>
      <c r="AD104" s="4511"/>
      <c r="AE104" s="4512"/>
      <c r="AF104" s="4513"/>
      <c r="AG104" s="4514"/>
      <c r="AH104" s="4515"/>
      <c r="AI104" s="4516"/>
      <c r="AJ104" s="4517"/>
      <c r="AK104" s="4518"/>
      <c r="AL104" s="4519"/>
      <c r="AM104" s="4520"/>
      <c r="AN104" s="4521"/>
      <c r="AO104" s="4522"/>
      <c r="AP104" s="4523"/>
      <c r="AQ104" s="4524"/>
      <c r="AR104" s="4525"/>
      <c r="AS104" s="4526"/>
      <c r="AT104" s="4527"/>
      <c r="AU104" s="4528"/>
      <c r="AV104" s="4529"/>
      <c r="AW104" s="4530"/>
      <c r="AX104" s="4531"/>
      <c r="AY104" s="4532"/>
      <c r="AZ104" s="4533"/>
      <c r="BA104" s="4534"/>
      <c r="BB104" s="4535"/>
      <c r="BC104" s="4536"/>
      <c r="BD104" s="4537"/>
      <c r="BE104" s="4538"/>
      <c r="BF104" s="4539"/>
      <c r="BG104" s="4540"/>
      <c r="BH104" s="4541"/>
      <c r="BI104" s="4542"/>
      <c r="BJ104" s="4543"/>
      <c r="BK104" s="4544"/>
      <c r="BL104" s="4545"/>
      <c r="BM104" s="4546"/>
      <c r="BN104" s="4547"/>
      <c r="BO104" s="4548"/>
      <c r="BP104" s="4549"/>
      <c r="BQ104" s="4550"/>
      <c r="BR104" s="4551"/>
      <c r="BS104" s="4552"/>
      <c r="BT104" s="4553"/>
      <c r="BU104" s="4554"/>
      <c r="BV104" s="4555"/>
      <c r="BW104" s="4556"/>
      <c r="BX104" s="4557"/>
      <c r="BY104" s="4558"/>
      <c r="BZ104" s="4559"/>
      <c r="CA104" s="4560"/>
      <c r="CB104" s="4561"/>
      <c r="CC104" s="4562"/>
      <c r="CD104" s="4563"/>
      <c r="CE104" s="4564"/>
      <c r="CF104" s="4565"/>
      <c r="CG104" s="4566"/>
      <c r="CH104" s="4567"/>
      <c r="CI104" s="4568"/>
      <c r="CJ104" s="4569"/>
      <c r="CK104" s="4570"/>
      <c r="CL104" s="4571"/>
      <c r="CM104" s="4572"/>
      <c r="CN104" s="4573"/>
      <c r="CO104" s="4574"/>
      <c r="CP104" s="4575"/>
      <c r="CQ104" s="4576"/>
      <c r="CR104" s="3581"/>
      <c r="CS104" s="3728"/>
      <c r="CT104" s="3728" t="str">
        <f>IF(T104="","",T104)</f>
        <v>Добавить группу потребителей</v>
      </c>
      <c r="CU104" s="3728"/>
      <c r="CV104" s="3728"/>
    </row>
    <row s="4577" customFormat="1" customHeight="1" ht="14.25">
      <c r="A105" s="3716"/>
      <c r="B105" s="3716"/>
      <c r="C105" s="3716"/>
      <c r="D105" s="3716"/>
      <c r="E105" s="3717"/>
      <c r="F105" s="3717" t="s">
        <v>91</v>
      </c>
      <c r="G105" s="3717"/>
      <c r="H105" s="3718"/>
      <c r="I105" s="3716"/>
      <c r="J105" s="3716"/>
      <c r="K105" s="3716"/>
      <c r="L105" s="3719"/>
      <c r="M105" s="3720"/>
      <c r="N105" s="3720"/>
      <c r="O105" s="3573"/>
      <c r="P105" s="3905"/>
      <c r="Q105" s="3906"/>
      <c r="R105" s="3907"/>
      <c r="S105" s="3908"/>
      <c r="T105" s="3909"/>
      <c r="U105" s="3569"/>
      <c r="V105" s="3569"/>
      <c r="W105" s="3569"/>
      <c r="X105" s="3569"/>
      <c r="Y105" s="3569"/>
      <c r="Z105" s="3569"/>
      <c r="AA105" s="3569"/>
      <c r="AB105" s="3569"/>
      <c r="AC105" s="3569"/>
      <c r="AD105" s="3569"/>
      <c r="AE105" s="3569"/>
      <c r="AF105" s="3569"/>
      <c r="AG105" s="3569"/>
      <c r="AH105" s="3569"/>
      <c r="AI105" s="3569"/>
      <c r="AJ105" s="3569"/>
      <c r="AK105" s="3569"/>
      <c r="AL105" s="3569"/>
      <c r="AM105" s="3569"/>
      <c r="AN105" s="3569"/>
      <c r="AO105" s="3569"/>
      <c r="AP105" s="3569"/>
      <c r="AQ105" s="3569"/>
      <c r="AR105" s="3569"/>
      <c r="AS105" s="3569"/>
      <c r="AT105" s="3569"/>
      <c r="AU105" s="3569"/>
      <c r="AV105" s="3569"/>
      <c r="AW105" s="3569"/>
      <c r="AX105" s="3569"/>
      <c r="AY105" s="3569"/>
      <c r="AZ105" s="3569"/>
      <c r="BA105" s="3569"/>
      <c r="BB105" s="3569"/>
      <c r="BC105" s="3569"/>
      <c r="BD105" s="3569"/>
      <c r="BE105" s="3569"/>
      <c r="BF105" s="3569"/>
      <c r="BG105" s="3569"/>
      <c r="BH105" s="3569"/>
      <c r="BI105" s="3569"/>
      <c r="BJ105" s="3569"/>
      <c r="BK105" s="3569"/>
      <c r="BL105" s="3569"/>
      <c r="BM105" s="3569"/>
      <c r="BN105" s="3569"/>
      <c r="BO105" s="3569"/>
      <c r="BP105" s="3569"/>
      <c r="BQ105" s="3569"/>
      <c r="BR105" s="3569"/>
      <c r="BS105" s="3569"/>
      <c r="BT105" s="3569"/>
      <c r="BU105" s="3569"/>
      <c r="BV105" s="3569"/>
      <c r="BW105" s="3569"/>
      <c r="BX105" s="3569"/>
      <c r="BY105" s="3569"/>
      <c r="BZ105" s="3569"/>
      <c r="CA105" s="3569"/>
      <c r="CB105" s="3569"/>
      <c r="CC105" s="3569"/>
      <c r="CD105" s="3569"/>
      <c r="CE105" s="3569"/>
      <c r="CF105" s="3569"/>
      <c r="CG105" s="3569"/>
      <c r="CH105" s="3569"/>
      <c r="CI105" s="3569"/>
      <c r="CJ105" s="3569"/>
      <c r="CK105" s="3569"/>
      <c r="CL105" s="3569"/>
      <c r="CM105" s="3569"/>
      <c r="CN105" s="3569"/>
      <c r="CO105" s="3569"/>
      <c r="CP105" s="3569"/>
      <c r="CQ105" s="3910"/>
      <c r="CR105" s="3581"/>
      <c r="CS105" s="3728"/>
      <c r="CT105" s="3728" t="str">
        <f>IF(T105="","",T105)</f>
        <v/>
      </c>
      <c r="CU105" s="3728"/>
      <c r="CV105" s="3728"/>
    </row>
    <row s="4578" customFormat="1" customHeight="1" ht="0.75">
      <c r="A106" s="4239"/>
      <c r="B106" s="4239"/>
      <c r="C106" s="4239"/>
      <c r="D106" s="4239"/>
      <c r="E106" s="3717"/>
      <c r="F106" s="3717" t="s">
        <v>91</v>
      </c>
      <c r="G106" s="3718"/>
      <c r="H106" s="4239"/>
      <c r="I106" s="4239"/>
      <c r="J106" s="4239"/>
      <c r="K106" s="4239"/>
      <c r="L106" s="4240"/>
      <c r="M106" s="4241"/>
      <c r="N106" s="4241"/>
      <c r="O106" s="3581"/>
      <c r="P106" s="4242"/>
      <c r="Q106" s="4243"/>
      <c r="R106" s="4242"/>
      <c r="S106" s="4244"/>
      <c r="T106" s="4245" t="s">
        <v>254</v>
      </c>
      <c r="U106" s="3571"/>
      <c r="V106" s="3571"/>
      <c r="W106" s="3571"/>
      <c r="X106" s="3571"/>
      <c r="Y106" s="3571"/>
      <c r="Z106" s="3571"/>
      <c r="AA106" s="3571"/>
      <c r="AB106" s="3571"/>
      <c r="AC106" s="3571"/>
      <c r="AD106" s="3571"/>
      <c r="AE106" s="3571"/>
      <c r="AF106" s="3571"/>
      <c r="AG106" s="3571"/>
      <c r="AH106" s="3571"/>
      <c r="AI106" s="3571"/>
      <c r="AJ106" s="3571"/>
      <c r="AK106" s="3571"/>
      <c r="AL106" s="3571"/>
      <c r="AM106" s="3571"/>
      <c r="AN106" s="3571"/>
      <c r="AO106" s="3571"/>
      <c r="AP106" s="3571"/>
      <c r="AQ106" s="3571"/>
      <c r="AR106" s="3571"/>
      <c r="AS106" s="3571"/>
      <c r="AT106" s="3571"/>
      <c r="AU106" s="3571"/>
      <c r="AV106" s="3571"/>
      <c r="AW106" s="3571"/>
      <c r="AX106" s="3571"/>
      <c r="AY106" s="3571"/>
      <c r="AZ106" s="3571"/>
      <c r="BA106" s="3571"/>
      <c r="BB106" s="3571"/>
      <c r="BC106" s="3571"/>
      <c r="BD106" s="3571"/>
      <c r="BE106" s="3571"/>
      <c r="BF106" s="3571"/>
      <c r="BG106" s="3571"/>
      <c r="BH106" s="3571"/>
      <c r="BI106" s="3571"/>
      <c r="BJ106" s="3571"/>
      <c r="BK106" s="3571"/>
      <c r="BL106" s="3571"/>
      <c r="BM106" s="3571"/>
      <c r="BN106" s="3571"/>
      <c r="BO106" s="3571"/>
      <c r="BP106" s="3571"/>
      <c r="BQ106" s="3571"/>
      <c r="BR106" s="3571"/>
      <c r="BS106" s="3571"/>
      <c r="BT106" s="3571"/>
      <c r="BU106" s="3571"/>
      <c r="BV106" s="3571"/>
      <c r="BW106" s="3571"/>
      <c r="BX106" s="3571"/>
      <c r="BY106" s="3571"/>
      <c r="BZ106" s="3571"/>
      <c r="CA106" s="3571"/>
      <c r="CB106" s="3571"/>
      <c r="CC106" s="3571"/>
      <c r="CD106" s="3571"/>
      <c r="CE106" s="3571"/>
      <c r="CF106" s="3571"/>
      <c r="CG106" s="3571"/>
      <c r="CH106" s="3571"/>
      <c r="CI106" s="3571"/>
      <c r="CJ106" s="3571"/>
      <c r="CK106" s="3571"/>
      <c r="CL106" s="3571"/>
      <c r="CM106" s="3571"/>
      <c r="CN106" s="3571"/>
      <c r="CO106" s="3571"/>
      <c r="CP106" s="3571"/>
      <c r="CQ106" s="3571"/>
      <c r="CR106" s="3581"/>
      <c r="CS106" s="3728"/>
      <c r="CT106" s="3728" t="str">
        <f>IF(T106="","",T106)</f>
        <v>Добавить источник для дифференциации</v>
      </c>
      <c r="CU106" s="3728"/>
      <c r="CV106" s="3728"/>
    </row>
    <row s="4579" customFormat="1" customHeight="1" ht="0.75">
      <c r="A107" s="4239"/>
      <c r="B107" s="4239"/>
      <c r="C107" s="4239"/>
      <c r="D107" s="4239"/>
      <c r="E107" s="3717"/>
      <c r="F107" s="3718" t="s">
        <v>91</v>
      </c>
      <c r="G107" s="4239"/>
      <c r="H107" s="4239"/>
      <c r="I107" s="4239"/>
      <c r="J107" s="4239"/>
      <c r="K107" s="4239"/>
      <c r="L107" s="4240"/>
      <c r="M107" s="4247"/>
      <c r="N107" s="4247"/>
      <c r="O107" s="3581"/>
      <c r="P107" s="4242"/>
      <c r="Q107" s="4243"/>
      <c r="R107" s="4242"/>
      <c r="S107" s="4248"/>
      <c r="T107" s="4249" t="s">
        <v>255</v>
      </c>
      <c r="U107" s="3572"/>
      <c r="V107" s="3572"/>
      <c r="W107" s="3572"/>
      <c r="X107" s="3572"/>
      <c r="Y107" s="3572"/>
      <c r="Z107" s="3572"/>
      <c r="AA107" s="3572"/>
      <c r="AB107" s="3572"/>
      <c r="AC107" s="3572"/>
      <c r="AD107" s="3572"/>
      <c r="AE107" s="3572"/>
      <c r="AF107" s="3572"/>
      <c r="AG107" s="3572"/>
      <c r="AH107" s="3572"/>
      <c r="AI107" s="3572"/>
      <c r="AJ107" s="3572"/>
      <c r="AK107" s="3572"/>
      <c r="AL107" s="3572"/>
      <c r="AM107" s="3572"/>
      <c r="AN107" s="3572"/>
      <c r="AO107" s="3572"/>
      <c r="AP107" s="3572"/>
      <c r="AQ107" s="3572"/>
      <c r="AR107" s="3572"/>
      <c r="AS107" s="3572"/>
      <c r="AT107" s="3572"/>
      <c r="AU107" s="3572"/>
      <c r="AV107" s="3572"/>
      <c r="AW107" s="3572"/>
      <c r="AX107" s="3572"/>
      <c r="AY107" s="3572"/>
      <c r="AZ107" s="3572"/>
      <c r="BA107" s="3572"/>
      <c r="BB107" s="3572"/>
      <c r="BC107" s="3572"/>
      <c r="BD107" s="3572"/>
      <c r="BE107" s="3572"/>
      <c r="BF107" s="3572"/>
      <c r="BG107" s="3572"/>
      <c r="BH107" s="3572"/>
      <c r="BI107" s="3572"/>
      <c r="BJ107" s="3572"/>
      <c r="BK107" s="3572"/>
      <c r="BL107" s="3572"/>
      <c r="BM107" s="3572"/>
      <c r="BN107" s="3572"/>
      <c r="BO107" s="3572"/>
      <c r="BP107" s="3572"/>
      <c r="BQ107" s="3572"/>
      <c r="BR107" s="3572"/>
      <c r="BS107" s="3572"/>
      <c r="BT107" s="3572"/>
      <c r="BU107" s="3572"/>
      <c r="BV107" s="3572"/>
      <c r="BW107" s="3572"/>
      <c r="BX107" s="3572"/>
      <c r="BY107" s="3572"/>
      <c r="BZ107" s="3572"/>
      <c r="CA107" s="3572"/>
      <c r="CB107" s="3572"/>
      <c r="CC107" s="3572"/>
      <c r="CD107" s="3572"/>
      <c r="CE107" s="3572"/>
      <c r="CF107" s="3572"/>
      <c r="CG107" s="3572"/>
      <c r="CH107" s="3572"/>
      <c r="CI107" s="3572"/>
      <c r="CJ107" s="3572"/>
      <c r="CK107" s="3572"/>
      <c r="CL107" s="3572"/>
      <c r="CM107" s="3572"/>
      <c r="CN107" s="3572"/>
      <c r="CO107" s="3572"/>
      <c r="CP107" s="3572"/>
      <c r="CQ107" s="3572"/>
      <c r="CR107" s="3581"/>
      <c r="CS107" s="3728"/>
      <c r="CT107" s="3728" t="str">
        <f>IF(T107="","",T107)</f>
        <v>Добавить централизованную систему для дифференциации</v>
      </c>
      <c r="CU107" s="3728"/>
      <c r="CV107" s="3728"/>
    </row>
    <row s="4580" customFormat="1" customHeight="1" ht="21">
      <c r="A108" s="3716"/>
      <c r="B108" s="3716" t="s">
        <v>265</v>
      </c>
      <c r="C108" s="3716"/>
      <c r="D108" s="3716"/>
      <c r="E108" s="3717"/>
      <c r="F108" s="3718" t="s">
        <v>116</v>
      </c>
      <c r="G108" s="3716"/>
      <c r="H108" s="3716"/>
      <c r="I108" s="3716"/>
      <c r="J108" s="3716"/>
      <c r="K108" s="3716"/>
      <c r="L108" s="3719"/>
      <c r="M108" s="3720"/>
      <c r="N108" s="3720"/>
      <c r="O108" s="3720"/>
      <c r="P108" s="4073"/>
      <c r="Q108" s="3722"/>
      <c r="R108" s="3723"/>
      <c r="S108" s="3724" t="str">
        <f>INDEX(PT_DIFFERENTIATION_NUM_TER,MATCH(B108,PT_DIFFERENTIATION_TER_ID,0))</f>
        <v>1.5</v>
      </c>
      <c r="T108" s="4074" t="s">
        <v>612</v>
      </c>
      <c r="U108" s="3726"/>
      <c r="V108" s="3432"/>
      <c r="W108" s="3433"/>
      <c r="X108" s="3433"/>
      <c r="Y108" s="3433"/>
      <c r="Z108" s="3433"/>
      <c r="AA108" s="3433"/>
      <c r="AB108" s="3433"/>
      <c r="AC108" s="3434"/>
      <c r="AD108" s="3432" t="str">
        <f>INDEX(PT_DIFFERENTIATION_TER,MATCH(B108,PT_DIFFERENTIATION_TER_ID,0))</f>
        <v>Территория 5</v>
      </c>
      <c r="AE108" s="3433"/>
      <c r="AF108" s="3433"/>
      <c r="AG108" s="3433"/>
      <c r="AH108" s="3433"/>
      <c r="AI108" s="3433"/>
      <c r="AJ108" s="3433"/>
      <c r="AK108" s="3433"/>
      <c r="AL108" s="3432"/>
      <c r="AM108" s="3433"/>
      <c r="AN108" s="3433"/>
      <c r="AO108" s="3433"/>
      <c r="AP108" s="3433"/>
      <c r="AQ108" s="3433"/>
      <c r="AR108" s="3433"/>
      <c r="AS108" s="3434"/>
      <c r="AT108" s="3432"/>
      <c r="AU108" s="3433"/>
      <c r="AV108" s="3433"/>
      <c r="AW108" s="3433"/>
      <c r="AX108" s="3433"/>
      <c r="AY108" s="3433"/>
      <c r="AZ108" s="3433"/>
      <c r="BA108" s="3434"/>
      <c r="BB108" s="3432"/>
      <c r="BC108" s="3433"/>
      <c r="BD108" s="3433"/>
      <c r="BE108" s="3433"/>
      <c r="BF108" s="3433"/>
      <c r="BG108" s="3433"/>
      <c r="BH108" s="3433"/>
      <c r="BI108" s="3434"/>
      <c r="BJ108" s="3432"/>
      <c r="BK108" s="3433"/>
      <c r="BL108" s="3433"/>
      <c r="BM108" s="3433"/>
      <c r="BN108" s="3433"/>
      <c r="BO108" s="3433"/>
      <c r="BP108" s="3433"/>
      <c r="BQ108" s="3434"/>
      <c r="BR108" s="3432"/>
      <c r="BS108" s="3433"/>
      <c r="BT108" s="3433"/>
      <c r="BU108" s="3433"/>
      <c r="BV108" s="3433"/>
      <c r="BW108" s="3433"/>
      <c r="BX108" s="3433"/>
      <c r="BY108" s="3434"/>
      <c r="BZ108" s="3432"/>
      <c r="CA108" s="3433"/>
      <c r="CB108" s="3433"/>
      <c r="CC108" s="3433"/>
      <c r="CD108" s="3433"/>
      <c r="CE108" s="3433"/>
      <c r="CF108" s="3433"/>
      <c r="CG108" s="3434"/>
      <c r="CH108" s="3432"/>
      <c r="CI108" s="3433"/>
      <c r="CJ108" s="3433"/>
      <c r="CK108" s="3433"/>
      <c r="CL108" s="3433"/>
      <c r="CM108" s="3433"/>
      <c r="CN108" s="3433"/>
      <c r="CO108" s="3434"/>
      <c r="CP108" s="3434"/>
      <c r="CQ108" s="3727" t="s">
        <v>613</v>
      </c>
      <c r="CR108" s="3581"/>
      <c r="CS108" s="3728"/>
      <c r="CT108" s="3728" t="str">
        <f>IF(T108="","",T108)</f>
        <v>Территория действия тарифа</v>
      </c>
      <c r="CU108" s="3728"/>
      <c r="CV108" s="3728"/>
    </row>
    <row s="4581" customFormat="1" customHeight="1" ht="23.25">
      <c r="A109" s="3716"/>
      <c r="B109" s="3716"/>
      <c r="C109" s="3716" t="s">
        <v>266</v>
      </c>
      <c r="D109" s="3716"/>
      <c r="E109" s="3717"/>
      <c r="F109" s="3717" t="s">
        <v>92</v>
      </c>
      <c r="G109" s="3718">
        <v>1</v>
      </c>
      <c r="H109" s="3716"/>
      <c r="I109" s="3716"/>
      <c r="J109" s="3716"/>
      <c r="K109" s="3716"/>
      <c r="L109" s="3719"/>
      <c r="M109" s="3720"/>
      <c r="N109" s="3720"/>
      <c r="O109" s="3720"/>
      <c r="P109" s="3721"/>
      <c r="Q109" s="3722"/>
      <c r="R109" s="3723"/>
      <c r="S109" s="3724" t="str">
        <f>INDEX(PT_DIFFERENTIATION_NUM_CS,MATCH(C109,PT_DIFFERENTIATION_CS_ID,0))</f>
        <v>1.5.1</v>
      </c>
      <c r="T109" s="4076" t="s">
        <v>614</v>
      </c>
      <c r="U109" s="3726"/>
      <c r="V109" s="3432"/>
      <c r="W109" s="3433"/>
      <c r="X109" s="3433"/>
      <c r="Y109" s="3433"/>
      <c r="Z109" s="3433"/>
      <c r="AA109" s="3433"/>
      <c r="AB109" s="3433"/>
      <c r="AC109" s="3434"/>
      <c r="AD109" s="3432" t="str">
        <f>INDEX(PT_DIFFERENTIATION_CS,MATCH(C109,PT_DIFFERENTIATION_CS_ID,0))</f>
        <v>без дифференциации</v>
      </c>
      <c r="AE109" s="3433"/>
      <c r="AF109" s="3433"/>
      <c r="AG109" s="3433"/>
      <c r="AH109" s="3433"/>
      <c r="AI109" s="3433"/>
      <c r="AJ109" s="3433"/>
      <c r="AK109" s="3433"/>
      <c r="AL109" s="3432"/>
      <c r="AM109" s="3433"/>
      <c r="AN109" s="3433"/>
      <c r="AO109" s="3433"/>
      <c r="AP109" s="3433"/>
      <c r="AQ109" s="3433"/>
      <c r="AR109" s="3433"/>
      <c r="AS109" s="3434"/>
      <c r="AT109" s="3432"/>
      <c r="AU109" s="3433"/>
      <c r="AV109" s="3433"/>
      <c r="AW109" s="3433"/>
      <c r="AX109" s="3433"/>
      <c r="AY109" s="3433"/>
      <c r="AZ109" s="3433"/>
      <c r="BA109" s="3434"/>
      <c r="BB109" s="3432"/>
      <c r="BC109" s="3433"/>
      <c r="BD109" s="3433"/>
      <c r="BE109" s="3433"/>
      <c r="BF109" s="3433"/>
      <c r="BG109" s="3433"/>
      <c r="BH109" s="3433"/>
      <c r="BI109" s="3434"/>
      <c r="BJ109" s="3432"/>
      <c r="BK109" s="3433"/>
      <c r="BL109" s="3433"/>
      <c r="BM109" s="3433"/>
      <c r="BN109" s="3433"/>
      <c r="BO109" s="3433"/>
      <c r="BP109" s="3433"/>
      <c r="BQ109" s="3434"/>
      <c r="BR109" s="3432"/>
      <c r="BS109" s="3433"/>
      <c r="BT109" s="3433"/>
      <c r="BU109" s="3433"/>
      <c r="BV109" s="3433"/>
      <c r="BW109" s="3433"/>
      <c r="BX109" s="3433"/>
      <c r="BY109" s="3434"/>
      <c r="BZ109" s="3432"/>
      <c r="CA109" s="3433"/>
      <c r="CB109" s="3433"/>
      <c r="CC109" s="3433"/>
      <c r="CD109" s="3433"/>
      <c r="CE109" s="3433"/>
      <c r="CF109" s="3433"/>
      <c r="CG109" s="3434"/>
      <c r="CH109" s="3432"/>
      <c r="CI109" s="3433"/>
      <c r="CJ109" s="3433"/>
      <c r="CK109" s="3433"/>
      <c r="CL109" s="3433"/>
      <c r="CM109" s="3433"/>
      <c r="CN109" s="3433"/>
      <c r="CO109" s="3434"/>
      <c r="CP109" s="3434"/>
      <c r="CQ109" s="3727" t="s">
        <v>615</v>
      </c>
      <c r="CR109" s="3581"/>
      <c r="CS109" s="3728"/>
      <c r="CT109" s="3728" t="str">
        <f>IF(T109="","",T109)</f>
        <v>Наименование системы теплоснабжения </v>
      </c>
      <c r="CU109" s="3728"/>
      <c r="CV109" s="3728"/>
    </row>
    <row s="4582" customFormat="1" customHeight="1" ht="21">
      <c r="A110" s="3716"/>
      <c r="B110" s="3716"/>
      <c r="C110" s="3716"/>
      <c r="D110" s="3716" t="s">
        <v>267</v>
      </c>
      <c r="E110" s="3717"/>
      <c r="F110" s="3717" t="s">
        <v>92</v>
      </c>
      <c r="G110" s="3717"/>
      <c r="H110" s="3718">
        <v>1</v>
      </c>
      <c r="I110" s="3716"/>
      <c r="J110" s="3716"/>
      <c r="K110" s="3716"/>
      <c r="L110" s="3719"/>
      <c r="M110" s="3720"/>
      <c r="N110" s="3720"/>
      <c r="O110" s="3720"/>
      <c r="P110" s="3721"/>
      <c r="Q110" s="3722"/>
      <c r="R110" s="3723"/>
      <c r="S110" s="3724" t="str">
        <f>INDEX(PT_DIFFERENTIATION_NUM_IST_TE,MATCH(D110,PT_DIFFERENTIATION_IST_TE_ID,0))</f>
        <v>1.5.1.1</v>
      </c>
      <c r="T110" s="3725" t="s">
        <v>616</v>
      </c>
      <c r="U110" s="3726"/>
      <c r="V110" s="3432"/>
      <c r="W110" s="3433"/>
      <c r="X110" s="3433"/>
      <c r="Y110" s="3433"/>
      <c r="Z110" s="3433"/>
      <c r="AA110" s="3433"/>
      <c r="AB110" s="3433"/>
      <c r="AC110" s="3434"/>
      <c r="AD110" s="3432" t="str">
        <f>INDEX(PT_DIFFERENTIATION_IST_TE,MATCH(D110,PT_DIFFERENTIATION_IST_TE_ID,0))</f>
        <v>без дифференциации</v>
      </c>
      <c r="AE110" s="3433"/>
      <c r="AF110" s="3433"/>
      <c r="AG110" s="3433"/>
      <c r="AH110" s="3433"/>
      <c r="AI110" s="3433"/>
      <c r="AJ110" s="3433"/>
      <c r="AK110" s="3433"/>
      <c r="AL110" s="3432"/>
      <c r="AM110" s="3433"/>
      <c r="AN110" s="3433"/>
      <c r="AO110" s="3433"/>
      <c r="AP110" s="3433"/>
      <c r="AQ110" s="3433"/>
      <c r="AR110" s="3433"/>
      <c r="AS110" s="3434"/>
      <c r="AT110" s="3432"/>
      <c r="AU110" s="3433"/>
      <c r="AV110" s="3433"/>
      <c r="AW110" s="3433"/>
      <c r="AX110" s="3433"/>
      <c r="AY110" s="3433"/>
      <c r="AZ110" s="3433"/>
      <c r="BA110" s="3434"/>
      <c r="BB110" s="3432"/>
      <c r="BC110" s="3433"/>
      <c r="BD110" s="3433"/>
      <c r="BE110" s="3433"/>
      <c r="BF110" s="3433"/>
      <c r="BG110" s="3433"/>
      <c r="BH110" s="3433"/>
      <c r="BI110" s="3434"/>
      <c r="BJ110" s="3432"/>
      <c r="BK110" s="3433"/>
      <c r="BL110" s="3433"/>
      <c r="BM110" s="3433"/>
      <c r="BN110" s="3433"/>
      <c r="BO110" s="3433"/>
      <c r="BP110" s="3433"/>
      <c r="BQ110" s="3434"/>
      <c r="BR110" s="3432"/>
      <c r="BS110" s="3433"/>
      <c r="BT110" s="3433"/>
      <c r="BU110" s="3433"/>
      <c r="BV110" s="3433"/>
      <c r="BW110" s="3433"/>
      <c r="BX110" s="3433"/>
      <c r="BY110" s="3434"/>
      <c r="BZ110" s="3432"/>
      <c r="CA110" s="3433"/>
      <c r="CB110" s="3433"/>
      <c r="CC110" s="3433"/>
      <c r="CD110" s="3433"/>
      <c r="CE110" s="3433"/>
      <c r="CF110" s="3433"/>
      <c r="CG110" s="3434"/>
      <c r="CH110" s="3432"/>
      <c r="CI110" s="3433"/>
      <c r="CJ110" s="3433"/>
      <c r="CK110" s="3433"/>
      <c r="CL110" s="3433"/>
      <c r="CM110" s="3433"/>
      <c r="CN110" s="3433"/>
      <c r="CO110" s="3434"/>
      <c r="CP110" s="3434"/>
      <c r="CQ110" s="3727" t="s">
        <v>617</v>
      </c>
      <c r="CR110" s="3581"/>
      <c r="CS110" s="3728"/>
      <c r="CT110" s="3728" t="str">
        <f>IF(T110="","",T110)</f>
        <v>Источник тепловой энергии  </v>
      </c>
      <c r="CU110" s="3728"/>
      <c r="CV110" s="3728"/>
    </row>
    <row s="4583" customFormat="1" customHeight="1" ht="14.25">
      <c r="A111" s="3716"/>
      <c r="B111" s="3716"/>
      <c r="C111" s="3716"/>
      <c r="D111" s="3716"/>
      <c r="E111" s="3717"/>
      <c r="F111" s="3717" t="s">
        <v>92</v>
      </c>
      <c r="G111" s="3717"/>
      <c r="H111" s="3717"/>
      <c r="I111" s="3730" t="str">
        <f>S110&amp;".1"</f>
        <v>1.5.1.1.1</v>
      </c>
      <c r="J111" s="3716"/>
      <c r="K111" s="3716"/>
      <c r="L111" s="3719" t="s">
        <v>618</v>
      </c>
      <c r="M111" s="3573"/>
      <c r="N111" s="3731"/>
      <c r="O111" s="3731"/>
      <c r="P111" s="3732">
        <v>1</v>
      </c>
      <c r="Q111" s="3732"/>
      <c r="R111" s="3733"/>
      <c r="S111" s="3734"/>
      <c r="T111" s="3735"/>
      <c r="U111" s="3736"/>
      <c r="V111" s="3441"/>
      <c r="W111" s="3442"/>
      <c r="X111" s="3442"/>
      <c r="Y111" s="3442"/>
      <c r="Z111" s="3442"/>
      <c r="AA111" s="3442"/>
      <c r="AB111" s="3442"/>
      <c r="AC111" s="3443"/>
      <c r="AD111" s="3441"/>
      <c r="AE111" s="3442"/>
      <c r="AF111" s="3442"/>
      <c r="AG111" s="3442"/>
      <c r="AH111" s="3442"/>
      <c r="AI111" s="3442"/>
      <c r="AJ111" s="3442"/>
      <c r="AK111" s="3442"/>
      <c r="AL111" s="3441"/>
      <c r="AM111" s="3442"/>
      <c r="AN111" s="3442"/>
      <c r="AO111" s="3442"/>
      <c r="AP111" s="3442"/>
      <c r="AQ111" s="3442"/>
      <c r="AR111" s="3442"/>
      <c r="AS111" s="3443"/>
      <c r="AT111" s="3441"/>
      <c r="AU111" s="3442"/>
      <c r="AV111" s="3442"/>
      <c r="AW111" s="3442"/>
      <c r="AX111" s="3442"/>
      <c r="AY111" s="3442"/>
      <c r="AZ111" s="3442"/>
      <c r="BA111" s="3443"/>
      <c r="BB111" s="3441"/>
      <c r="BC111" s="3442"/>
      <c r="BD111" s="3442"/>
      <c r="BE111" s="3442"/>
      <c r="BF111" s="3442"/>
      <c r="BG111" s="3442"/>
      <c r="BH111" s="3442"/>
      <c r="BI111" s="3443"/>
      <c r="BJ111" s="3441"/>
      <c r="BK111" s="3442"/>
      <c r="BL111" s="3442"/>
      <c r="BM111" s="3442"/>
      <c r="BN111" s="3442"/>
      <c r="BO111" s="3442"/>
      <c r="BP111" s="3442"/>
      <c r="BQ111" s="3443"/>
      <c r="BR111" s="3441"/>
      <c r="BS111" s="3442"/>
      <c r="BT111" s="3442"/>
      <c r="BU111" s="3442"/>
      <c r="BV111" s="3442"/>
      <c r="BW111" s="3442"/>
      <c r="BX111" s="3442"/>
      <c r="BY111" s="3443"/>
      <c r="BZ111" s="3441"/>
      <c r="CA111" s="3442"/>
      <c r="CB111" s="3442"/>
      <c r="CC111" s="3442"/>
      <c r="CD111" s="3442"/>
      <c r="CE111" s="3442"/>
      <c r="CF111" s="3442"/>
      <c r="CG111" s="3443"/>
      <c r="CH111" s="3441"/>
      <c r="CI111" s="3442"/>
      <c r="CJ111" s="3442"/>
      <c r="CK111" s="3442"/>
      <c r="CL111" s="3442"/>
      <c r="CM111" s="3442"/>
      <c r="CN111" s="3442"/>
      <c r="CO111" s="3443"/>
      <c r="CP111" s="3443"/>
      <c r="CQ111" s="3737"/>
      <c r="CR111" s="3581"/>
      <c r="CS111" s="3728"/>
      <c r="CT111" s="3728" t="str">
        <f>IF(T111="","",T111)</f>
        <v/>
      </c>
      <c r="CU111" s="3728"/>
      <c r="CV111" s="3728"/>
    </row>
    <row s="4584" customFormat="1" customHeight="1" ht="21">
      <c r="A112" s="3716"/>
      <c r="B112" s="3716"/>
      <c r="C112" s="3716"/>
      <c r="D112" s="3716"/>
      <c r="E112" s="3717"/>
      <c r="F112" s="3717" t="s">
        <v>92</v>
      </c>
      <c r="G112" s="3717"/>
      <c r="H112" s="3717"/>
      <c r="I112" s="3739"/>
      <c r="J112" s="3730" t="str">
        <f>I111&amp;".1"</f>
        <v>1.5.1.1.1.1</v>
      </c>
      <c r="K112" s="3716"/>
      <c r="L112" s="3719" t="s">
        <v>621</v>
      </c>
      <c r="M112" s="3573"/>
      <c r="N112" s="3573"/>
      <c r="O112" s="3731"/>
      <c r="P112" s="3732"/>
      <c r="Q112" s="3732">
        <v>1</v>
      </c>
      <c r="R112" s="3740"/>
      <c r="S112" s="3724" t="str">
        <f>$J112</f>
        <v>1.5.1.1.1.1</v>
      </c>
      <c r="T112" s="3741" t="s">
        <v>622</v>
      </c>
      <c r="U112" s="3726"/>
      <c r="V112" s="3445"/>
      <c r="W112" s="3446"/>
      <c r="X112" s="3446"/>
      <c r="Y112" s="3446"/>
      <c r="Z112" s="3446"/>
      <c r="AA112" s="3446"/>
      <c r="AB112" s="3446"/>
      <c r="AC112" s="3447"/>
      <c r="AD112" s="3445" t="s">
        <v>662</v>
      </c>
      <c r="AE112" s="3446"/>
      <c r="AF112" s="3446"/>
      <c r="AG112" s="3446"/>
      <c r="AH112" s="3446"/>
      <c r="AI112" s="3446"/>
      <c r="AJ112" s="3446"/>
      <c r="AK112" s="3446"/>
      <c r="AL112" s="3445"/>
      <c r="AM112" s="3446"/>
      <c r="AN112" s="3446"/>
      <c r="AO112" s="3446"/>
      <c r="AP112" s="3446"/>
      <c r="AQ112" s="3446"/>
      <c r="AR112" s="3446"/>
      <c r="AS112" s="3447"/>
      <c r="AT112" s="3445"/>
      <c r="AU112" s="3446"/>
      <c r="AV112" s="3446"/>
      <c r="AW112" s="3446"/>
      <c r="AX112" s="3446"/>
      <c r="AY112" s="3446"/>
      <c r="AZ112" s="3446"/>
      <c r="BA112" s="3447"/>
      <c r="BB112" s="3445"/>
      <c r="BC112" s="3446"/>
      <c r="BD112" s="3446"/>
      <c r="BE112" s="3446"/>
      <c r="BF112" s="3446"/>
      <c r="BG112" s="3446"/>
      <c r="BH112" s="3446"/>
      <c r="BI112" s="3447"/>
      <c r="BJ112" s="3445"/>
      <c r="BK112" s="3446"/>
      <c r="BL112" s="3446"/>
      <c r="BM112" s="3446"/>
      <c r="BN112" s="3446"/>
      <c r="BO112" s="3446"/>
      <c r="BP112" s="3446"/>
      <c r="BQ112" s="3447"/>
      <c r="BR112" s="3445"/>
      <c r="BS112" s="3446"/>
      <c r="BT112" s="3446"/>
      <c r="BU112" s="3446"/>
      <c r="BV112" s="3446"/>
      <c r="BW112" s="3446"/>
      <c r="BX112" s="3446"/>
      <c r="BY112" s="3447"/>
      <c r="BZ112" s="3445"/>
      <c r="CA112" s="3446"/>
      <c r="CB112" s="3446"/>
      <c r="CC112" s="3446"/>
      <c r="CD112" s="3446"/>
      <c r="CE112" s="3446"/>
      <c r="CF112" s="3446"/>
      <c r="CG112" s="3447"/>
      <c r="CH112" s="3445"/>
      <c r="CI112" s="3446"/>
      <c r="CJ112" s="3446"/>
      <c r="CK112" s="3446"/>
      <c r="CL112" s="3446"/>
      <c r="CM112" s="3446"/>
      <c r="CN112" s="3446"/>
      <c r="CO112" s="3447"/>
      <c r="CP112" s="3447"/>
      <c r="CQ112" s="3727" t="s">
        <v>623</v>
      </c>
      <c r="CR112" s="3581"/>
      <c r="CS112" s="3728"/>
      <c r="CT112" s="3728" t="str">
        <f>IF(T112="","",T112)</f>
        <v>Группа потребителей</v>
      </c>
      <c r="CU112" s="3728"/>
      <c r="CV112" s="3728"/>
    </row>
    <row s="4585" customFormat="1" customHeight="1" ht="21">
      <c r="A113" s="3716"/>
      <c r="B113" s="3716"/>
      <c r="C113" s="3716"/>
      <c r="D113" s="3716"/>
      <c r="E113" s="3717"/>
      <c r="F113" s="3717" t="s">
        <v>92</v>
      </c>
      <c r="G113" s="3717"/>
      <c r="H113" s="3717"/>
      <c r="I113" s="3739"/>
      <c r="J113" s="3739"/>
      <c r="K113" s="3730" t="str">
        <f>J112&amp;".1"</f>
        <v>1.5.1.1.1.1.1</v>
      </c>
      <c r="L113" s="3719" t="s">
        <v>624</v>
      </c>
      <c r="M113" s="3573"/>
      <c r="N113" s="3573"/>
      <c r="O113" s="3573"/>
      <c r="P113" s="3732"/>
      <c r="Q113" s="3732"/>
      <c r="R113" s="3740">
        <v>1</v>
      </c>
      <c r="S113" s="3724" t="str">
        <f>$K113</f>
        <v>1.5.1.1.1.1.1</v>
      </c>
      <c r="T113" s="3743" t="s">
        <v>663</v>
      </c>
      <c r="U113" s="3726"/>
      <c r="V113" s="3448"/>
      <c r="W113" s="3449"/>
      <c r="X113" s="3448"/>
      <c r="Y113" s="3450"/>
      <c r="Z113" s="3451"/>
      <c r="AA113" s="2872" t="s">
        <v>63</v>
      </c>
      <c r="AB113" s="3451"/>
      <c r="AC113" s="2872" t="s">
        <v>63</v>
      </c>
      <c r="AD113" s="3448">
        <v>28.25</v>
      </c>
      <c r="AE113" s="3449"/>
      <c r="AF113" s="3448"/>
      <c r="AG113" s="3450"/>
      <c r="AH113" s="3451">
        <v>44197</v>
      </c>
      <c r="AI113" s="2872" t="s">
        <v>63</v>
      </c>
      <c r="AJ113" s="3451">
        <v>44377</v>
      </c>
      <c r="AK113" s="2872" t="s">
        <v>63</v>
      </c>
      <c r="AL113" s="3448">
        <v>34.35</v>
      </c>
      <c r="AM113" s="3449"/>
      <c r="AN113" s="3448"/>
      <c r="AO113" s="3450"/>
      <c r="AP113" s="3451">
        <v>44378</v>
      </c>
      <c r="AQ113" s="2872" t="s">
        <v>63</v>
      </c>
      <c r="AR113" s="3451">
        <v>44561</v>
      </c>
      <c r="AS113" s="2872" t="s">
        <v>63</v>
      </c>
      <c r="AT113" s="3448">
        <v>32.45</v>
      </c>
      <c r="AU113" s="3449"/>
      <c r="AV113" s="3448"/>
      <c r="AW113" s="3450"/>
      <c r="AX113" s="3451">
        <v>44562</v>
      </c>
      <c r="AY113" s="2872" t="s">
        <v>63</v>
      </c>
      <c r="AZ113" s="3451">
        <v>44601</v>
      </c>
      <c r="BA113" s="2872" t="s">
        <v>63</v>
      </c>
      <c r="BB113" s="3448">
        <v>32.45</v>
      </c>
      <c r="BC113" s="3449"/>
      <c r="BD113" s="3448"/>
      <c r="BE113" s="3450"/>
      <c r="BF113" s="3451">
        <v>44602</v>
      </c>
      <c r="BG113" s="2872" t="s">
        <v>63</v>
      </c>
      <c r="BH113" s="3451">
        <v>44742</v>
      </c>
      <c r="BI113" s="2872" t="s">
        <v>63</v>
      </c>
      <c r="BJ113" s="3448">
        <v>32.45</v>
      </c>
      <c r="BK113" s="3449"/>
      <c r="BL113" s="3448"/>
      <c r="BM113" s="3450"/>
      <c r="BN113" s="3451">
        <v>44743</v>
      </c>
      <c r="BO113" s="2872" t="s">
        <v>63</v>
      </c>
      <c r="BP113" s="3451">
        <v>44804</v>
      </c>
      <c r="BQ113" s="2872" t="s">
        <v>63</v>
      </c>
      <c r="BR113" s="3448">
        <v>32.45</v>
      </c>
      <c r="BS113" s="3449"/>
      <c r="BT113" s="3448"/>
      <c r="BU113" s="3450"/>
      <c r="BV113" s="3451">
        <v>44805</v>
      </c>
      <c r="BW113" s="2872" t="s">
        <v>63</v>
      </c>
      <c r="BX113" s="3451">
        <v>44895</v>
      </c>
      <c r="BY113" s="2872" t="s">
        <v>63</v>
      </c>
      <c r="BZ113" s="3448">
        <v>35.07</v>
      </c>
      <c r="CA113" s="3449"/>
      <c r="CB113" s="3448"/>
      <c r="CC113" s="3450"/>
      <c r="CD113" s="3451">
        <v>44896</v>
      </c>
      <c r="CE113" s="2872" t="s">
        <v>63</v>
      </c>
      <c r="CF113" s="3451">
        <v>45174</v>
      </c>
      <c r="CG113" s="2872" t="s">
        <v>63</v>
      </c>
      <c r="CH113" s="3448">
        <v>35.07</v>
      </c>
      <c r="CI113" s="3449"/>
      <c r="CJ113" s="3448"/>
      <c r="CK113" s="3450"/>
      <c r="CL113" s="3451">
        <v>45175</v>
      </c>
      <c r="CM113" s="2872" t="s">
        <v>63</v>
      </c>
      <c r="CN113" s="3451">
        <v>45291</v>
      </c>
      <c r="CO113" s="2872" t="s">
        <v>63</v>
      </c>
      <c r="CP113" s="3449"/>
      <c r="CQ113" s="3744" t="s">
        <v>625</v>
      </c>
      <c r="CR113" s="3581">
        <f>STRCHECKDATE(V114:CP114)</f>
      </c>
      <c r="CS113" s="3728"/>
      <c r="CT113" s="3728" t="str">
        <f>IF(T113="","",T113)</f>
        <v>вода</v>
      </c>
      <c r="CU113" s="3728"/>
      <c r="CV113" s="3728"/>
    </row>
    <row s="4586" customFormat="1" customHeight="1" ht="0.75">
      <c r="A114" s="3716"/>
      <c r="B114" s="3716"/>
      <c r="C114" s="3716"/>
      <c r="D114" s="3716"/>
      <c r="E114" s="3717"/>
      <c r="F114" s="3717" t="s">
        <v>92</v>
      </c>
      <c r="G114" s="3717"/>
      <c r="H114" s="3717"/>
      <c r="I114" s="3739"/>
      <c r="J114" s="3739"/>
      <c r="K114" s="3730"/>
      <c r="L114" s="3719"/>
      <c r="M114" s="3573"/>
      <c r="N114" s="3573"/>
      <c r="O114" s="3573"/>
      <c r="P114" s="3732"/>
      <c r="Q114" s="3732"/>
      <c r="R114" s="3740"/>
      <c r="S114" s="3746"/>
      <c r="T114" s="3726"/>
      <c r="U114" s="3726"/>
      <c r="V114" s="3449"/>
      <c r="W114" s="3449"/>
      <c r="X114" s="3449"/>
      <c r="Y114" s="3452" t="str">
        <f>Z113&amp;"-"&amp;AB113</f>
        <v>-</v>
      </c>
      <c r="Z114" s="3453"/>
      <c r="AA114" s="2872"/>
      <c r="AB114" s="3453"/>
      <c r="AC114" s="2872"/>
      <c r="AD114" s="3449"/>
      <c r="AE114" s="3449"/>
      <c r="AF114" s="3449"/>
      <c r="AG114" s="3452" t="str">
        <f>AH113&amp;"-"&amp;AJ113</f>
        <v>44197-44377</v>
      </c>
      <c r="AH114" s="3453"/>
      <c r="AI114" s="2872"/>
      <c r="AJ114" s="3453"/>
      <c r="AK114" s="2872"/>
      <c r="AL114" s="3449"/>
      <c r="AM114" s="3449"/>
      <c r="AN114" s="3449"/>
      <c r="AO114" s="3452" t="str">
        <f>AP113&amp;"-"&amp;AR113</f>
        <v>44378-44561</v>
      </c>
      <c r="AP114" s="3453"/>
      <c r="AQ114" s="2872"/>
      <c r="AR114" s="3453"/>
      <c r="AS114" s="2872"/>
      <c r="AT114" s="3449"/>
      <c r="AU114" s="3449"/>
      <c r="AV114" s="3449"/>
      <c r="AW114" s="3452" t="str">
        <f>AX113&amp;"-"&amp;AZ113</f>
        <v>44562-44601</v>
      </c>
      <c r="AX114" s="3453"/>
      <c r="AY114" s="2872"/>
      <c r="AZ114" s="3453"/>
      <c r="BA114" s="2872"/>
      <c r="BB114" s="3449"/>
      <c r="BC114" s="3449"/>
      <c r="BD114" s="3449"/>
      <c r="BE114" s="3452" t="str">
        <f>BF113&amp;"-"&amp;BH113</f>
        <v>44602-44742</v>
      </c>
      <c r="BF114" s="3453"/>
      <c r="BG114" s="2872"/>
      <c r="BH114" s="3453"/>
      <c r="BI114" s="2872"/>
      <c r="BJ114" s="3449"/>
      <c r="BK114" s="3449"/>
      <c r="BL114" s="3449"/>
      <c r="BM114" s="3452" t="str">
        <f>BN113&amp;"-"&amp;BP113</f>
        <v>44743-44804</v>
      </c>
      <c r="BN114" s="3453"/>
      <c r="BO114" s="2872"/>
      <c r="BP114" s="3453"/>
      <c r="BQ114" s="2872"/>
      <c r="BR114" s="3449"/>
      <c r="BS114" s="3449"/>
      <c r="BT114" s="3449"/>
      <c r="BU114" s="3452" t="str">
        <f>BV113&amp;"-"&amp;BX113</f>
        <v>44805-44895</v>
      </c>
      <c r="BV114" s="3453"/>
      <c r="BW114" s="2872"/>
      <c r="BX114" s="3453"/>
      <c r="BY114" s="2872"/>
      <c r="BZ114" s="3449"/>
      <c r="CA114" s="3449"/>
      <c r="CB114" s="3449"/>
      <c r="CC114" s="3452" t="str">
        <f>CD113&amp;"-"&amp;CF113</f>
        <v>44896-45174</v>
      </c>
      <c r="CD114" s="3453"/>
      <c r="CE114" s="2872"/>
      <c r="CF114" s="3453"/>
      <c r="CG114" s="2872"/>
      <c r="CH114" s="3449"/>
      <c r="CI114" s="3449"/>
      <c r="CJ114" s="3449"/>
      <c r="CK114" s="3452" t="str">
        <f>CL113&amp;"-"&amp;CN113</f>
        <v>45175-45291</v>
      </c>
      <c r="CL114" s="3453"/>
      <c r="CM114" s="2872"/>
      <c r="CN114" s="3453"/>
      <c r="CO114" s="2872"/>
      <c r="CP114" s="3449"/>
      <c r="CQ114" s="3747"/>
      <c r="CR114" s="3581"/>
      <c r="CS114" s="3728"/>
      <c r="CT114" s="3728" t="str">
        <f>IF(T114="","",T114)</f>
        <v/>
      </c>
      <c r="CU114" s="3728"/>
      <c r="CV114" s="3728"/>
    </row>
    <row s="4587" customFormat="1" customHeight="1" ht="15">
      <c r="A115" s="3716"/>
      <c r="B115" s="3716"/>
      <c r="C115" s="3716"/>
      <c r="D115" s="3716"/>
      <c r="E115" s="3717"/>
      <c r="F115" s="3717" t="s">
        <v>92</v>
      </c>
      <c r="G115" s="3717"/>
      <c r="H115" s="3717"/>
      <c r="I115" s="3739"/>
      <c r="J115" s="3730"/>
      <c r="K115" s="3716"/>
      <c r="L115" s="3719"/>
      <c r="M115" s="3573"/>
      <c r="N115" s="3573"/>
      <c r="O115" s="3731"/>
      <c r="P115" s="3732"/>
      <c r="Q115" s="3732"/>
      <c r="R115" s="3733"/>
      <c r="S115" s="4588"/>
      <c r="T115" s="4589" t="s">
        <v>626</v>
      </c>
      <c r="U115" s="4590"/>
      <c r="V115" s="4591"/>
      <c r="W115" s="4592"/>
      <c r="X115" s="4593"/>
      <c r="Y115" s="4594"/>
      <c r="Z115" s="4595"/>
      <c r="AA115" s="4596"/>
      <c r="AB115" s="4597"/>
      <c r="AC115" s="4598"/>
      <c r="AD115" s="4599"/>
      <c r="AE115" s="4600"/>
      <c r="AF115" s="4601"/>
      <c r="AG115" s="4602"/>
      <c r="AH115" s="4603"/>
      <c r="AI115" s="4604"/>
      <c r="AJ115" s="4605"/>
      <c r="AK115" s="4606"/>
      <c r="AL115" s="4607"/>
      <c r="AM115" s="4608"/>
      <c r="AN115" s="4609"/>
      <c r="AO115" s="4610"/>
      <c r="AP115" s="4611"/>
      <c r="AQ115" s="4612"/>
      <c r="AR115" s="4613"/>
      <c r="AS115" s="4614"/>
      <c r="AT115" s="4615"/>
      <c r="AU115" s="4616"/>
      <c r="AV115" s="4617"/>
      <c r="AW115" s="4618"/>
      <c r="AX115" s="4619"/>
      <c r="AY115" s="4620"/>
      <c r="AZ115" s="4621"/>
      <c r="BA115" s="4622"/>
      <c r="BB115" s="4623"/>
      <c r="BC115" s="4624"/>
      <c r="BD115" s="4625"/>
      <c r="BE115" s="4626"/>
      <c r="BF115" s="4627"/>
      <c r="BG115" s="4628"/>
      <c r="BH115" s="4629"/>
      <c r="BI115" s="4630"/>
      <c r="BJ115" s="4631"/>
      <c r="BK115" s="4632"/>
      <c r="BL115" s="4633"/>
      <c r="BM115" s="4634"/>
      <c r="BN115" s="4635"/>
      <c r="BO115" s="4636"/>
      <c r="BP115" s="4637"/>
      <c r="BQ115" s="4638"/>
      <c r="BR115" s="4639"/>
      <c r="BS115" s="4640"/>
      <c r="BT115" s="4641"/>
      <c r="BU115" s="4642"/>
      <c r="BV115" s="4643"/>
      <c r="BW115" s="4644"/>
      <c r="BX115" s="4645"/>
      <c r="BY115" s="4646"/>
      <c r="BZ115" s="4647"/>
      <c r="CA115" s="4648"/>
      <c r="CB115" s="4649"/>
      <c r="CC115" s="4650"/>
      <c r="CD115" s="4651"/>
      <c r="CE115" s="4652"/>
      <c r="CF115" s="4653"/>
      <c r="CG115" s="4654"/>
      <c r="CH115" s="4655"/>
      <c r="CI115" s="4656"/>
      <c r="CJ115" s="4657"/>
      <c r="CK115" s="4658"/>
      <c r="CL115" s="4659"/>
      <c r="CM115" s="4660"/>
      <c r="CN115" s="4661"/>
      <c r="CO115" s="4662"/>
      <c r="CP115" s="4663"/>
      <c r="CQ115" s="3825"/>
      <c r="CR115" s="3581"/>
      <c r="CS115" s="3728"/>
      <c r="CT115" s="3728" t="str">
        <f>IF(T115="","",T115)</f>
        <v>Добавить вид теплоносителя (параметры теплоносителя)</v>
      </c>
      <c r="CU115" s="3728"/>
      <c r="CV115" s="3728"/>
    </row>
    <row s="4664" customFormat="1" customHeight="1" ht="15">
      <c r="A116" s="3716"/>
      <c r="B116" s="3716"/>
      <c r="C116" s="3716"/>
      <c r="D116" s="3716"/>
      <c r="E116" s="3717"/>
      <c r="F116" s="3717" t="s">
        <v>92</v>
      </c>
      <c r="G116" s="3717"/>
      <c r="H116" s="3717"/>
      <c r="I116" s="3730"/>
      <c r="J116" s="3716"/>
      <c r="K116" s="3716"/>
      <c r="L116" s="3719"/>
      <c r="M116" s="3573"/>
      <c r="N116" s="3731"/>
      <c r="O116" s="3731"/>
      <c r="P116" s="3732"/>
      <c r="Q116" s="3732"/>
      <c r="R116" s="3733"/>
      <c r="S116" s="4665"/>
      <c r="T116" s="4666" t="s">
        <v>627</v>
      </c>
      <c r="U116" s="4667"/>
      <c r="V116" s="4668"/>
      <c r="W116" s="4669"/>
      <c r="X116" s="4670"/>
      <c r="Y116" s="4671"/>
      <c r="Z116" s="4672"/>
      <c r="AA116" s="4673"/>
      <c r="AB116" s="4674"/>
      <c r="AC116" s="4675"/>
      <c r="AD116" s="4676"/>
      <c r="AE116" s="4677"/>
      <c r="AF116" s="4678"/>
      <c r="AG116" s="4679"/>
      <c r="AH116" s="4680"/>
      <c r="AI116" s="4681"/>
      <c r="AJ116" s="4682"/>
      <c r="AK116" s="4683"/>
      <c r="AL116" s="4684"/>
      <c r="AM116" s="4685"/>
      <c r="AN116" s="4686"/>
      <c r="AO116" s="4687"/>
      <c r="AP116" s="4688"/>
      <c r="AQ116" s="4689"/>
      <c r="AR116" s="4690"/>
      <c r="AS116" s="4691"/>
      <c r="AT116" s="4692"/>
      <c r="AU116" s="4693"/>
      <c r="AV116" s="4694"/>
      <c r="AW116" s="4695"/>
      <c r="AX116" s="4696"/>
      <c r="AY116" s="4697"/>
      <c r="AZ116" s="4698"/>
      <c r="BA116" s="4699"/>
      <c r="BB116" s="4700"/>
      <c r="BC116" s="4701"/>
      <c r="BD116" s="4702"/>
      <c r="BE116" s="4703"/>
      <c r="BF116" s="4704"/>
      <c r="BG116" s="4705"/>
      <c r="BH116" s="4706"/>
      <c r="BI116" s="4707"/>
      <c r="BJ116" s="4708"/>
      <c r="BK116" s="4709"/>
      <c r="BL116" s="4710"/>
      <c r="BM116" s="4711"/>
      <c r="BN116" s="4712"/>
      <c r="BO116" s="4713"/>
      <c r="BP116" s="4714"/>
      <c r="BQ116" s="4715"/>
      <c r="BR116" s="4716"/>
      <c r="BS116" s="4717"/>
      <c r="BT116" s="4718"/>
      <c r="BU116" s="4719"/>
      <c r="BV116" s="4720"/>
      <c r="BW116" s="4721"/>
      <c r="BX116" s="4722"/>
      <c r="BY116" s="4723"/>
      <c r="BZ116" s="4724"/>
      <c r="CA116" s="4725"/>
      <c r="CB116" s="4726"/>
      <c r="CC116" s="4727"/>
      <c r="CD116" s="4728"/>
      <c r="CE116" s="4729"/>
      <c r="CF116" s="4730"/>
      <c r="CG116" s="4731"/>
      <c r="CH116" s="4732"/>
      <c r="CI116" s="4733"/>
      <c r="CJ116" s="4734"/>
      <c r="CK116" s="4735"/>
      <c r="CL116" s="4736"/>
      <c r="CM116" s="4737"/>
      <c r="CN116" s="4738"/>
      <c r="CO116" s="4739"/>
      <c r="CP116" s="4740"/>
      <c r="CQ116" s="4741"/>
      <c r="CR116" s="3581"/>
      <c r="CS116" s="3728"/>
      <c r="CT116" s="3728" t="str">
        <f>IF(T116="","",T116)</f>
        <v>Добавить группу потребителей</v>
      </c>
      <c r="CU116" s="3728"/>
      <c r="CV116" s="3728"/>
    </row>
    <row s="4742" customFormat="1" customHeight="1" ht="14.25">
      <c r="A117" s="3716"/>
      <c r="B117" s="3716"/>
      <c r="C117" s="3716"/>
      <c r="D117" s="3716"/>
      <c r="E117" s="3717"/>
      <c r="F117" s="3717" t="s">
        <v>92</v>
      </c>
      <c r="G117" s="3717"/>
      <c r="H117" s="3718"/>
      <c r="I117" s="3716"/>
      <c r="J117" s="3716"/>
      <c r="K117" s="3716"/>
      <c r="L117" s="3719"/>
      <c r="M117" s="3720"/>
      <c r="N117" s="3720"/>
      <c r="O117" s="3573"/>
      <c r="P117" s="3905"/>
      <c r="Q117" s="3906"/>
      <c r="R117" s="3907"/>
      <c r="S117" s="3908"/>
      <c r="T117" s="3909"/>
      <c r="U117" s="3569"/>
      <c r="V117" s="3569"/>
      <c r="W117" s="3569"/>
      <c r="X117" s="3569"/>
      <c r="Y117" s="3569"/>
      <c r="Z117" s="3569"/>
      <c r="AA117" s="3569"/>
      <c r="AB117" s="3569"/>
      <c r="AC117" s="3569"/>
      <c r="AD117" s="3569"/>
      <c r="AE117" s="3569"/>
      <c r="AF117" s="3569"/>
      <c r="AG117" s="3569"/>
      <c r="AH117" s="3569"/>
      <c r="AI117" s="3569"/>
      <c r="AJ117" s="3569"/>
      <c r="AK117" s="3569"/>
      <c r="AL117" s="3569"/>
      <c r="AM117" s="3569"/>
      <c r="AN117" s="3569"/>
      <c r="AO117" s="3569"/>
      <c r="AP117" s="3569"/>
      <c r="AQ117" s="3569"/>
      <c r="AR117" s="3569"/>
      <c r="AS117" s="3569"/>
      <c r="AT117" s="3569"/>
      <c r="AU117" s="3569"/>
      <c r="AV117" s="3569"/>
      <c r="AW117" s="3569"/>
      <c r="AX117" s="3569"/>
      <c r="AY117" s="3569"/>
      <c r="AZ117" s="3569"/>
      <c r="BA117" s="3569"/>
      <c r="BB117" s="3569"/>
      <c r="BC117" s="3569"/>
      <c r="BD117" s="3569"/>
      <c r="BE117" s="3569"/>
      <c r="BF117" s="3569"/>
      <c r="BG117" s="3569"/>
      <c r="BH117" s="3569"/>
      <c r="BI117" s="3569"/>
      <c r="BJ117" s="3569"/>
      <c r="BK117" s="3569"/>
      <c r="BL117" s="3569"/>
      <c r="BM117" s="3569"/>
      <c r="BN117" s="3569"/>
      <c r="BO117" s="3569"/>
      <c r="BP117" s="3569"/>
      <c r="BQ117" s="3569"/>
      <c r="BR117" s="3569"/>
      <c r="BS117" s="3569"/>
      <c r="BT117" s="3569"/>
      <c r="BU117" s="3569"/>
      <c r="BV117" s="3569"/>
      <c r="BW117" s="3569"/>
      <c r="BX117" s="3569"/>
      <c r="BY117" s="3569"/>
      <c r="BZ117" s="3569"/>
      <c r="CA117" s="3569"/>
      <c r="CB117" s="3569"/>
      <c r="CC117" s="3569"/>
      <c r="CD117" s="3569"/>
      <c r="CE117" s="3569"/>
      <c r="CF117" s="3569"/>
      <c r="CG117" s="3569"/>
      <c r="CH117" s="3569"/>
      <c r="CI117" s="3569"/>
      <c r="CJ117" s="3569"/>
      <c r="CK117" s="3569"/>
      <c r="CL117" s="3569"/>
      <c r="CM117" s="3569"/>
      <c r="CN117" s="3569"/>
      <c r="CO117" s="3569"/>
      <c r="CP117" s="3569"/>
      <c r="CQ117" s="3910"/>
      <c r="CR117" s="3581"/>
      <c r="CS117" s="3728"/>
      <c r="CT117" s="3728" t="str">
        <f>IF(T117="","",T117)</f>
        <v/>
      </c>
      <c r="CU117" s="3728"/>
      <c r="CV117" s="3728"/>
    </row>
    <row s="4743" customFormat="1" customHeight="1" ht="0.75">
      <c r="A118" s="4239"/>
      <c r="B118" s="4239"/>
      <c r="C118" s="4239"/>
      <c r="D118" s="4239"/>
      <c r="E118" s="3717"/>
      <c r="F118" s="3717" t="s">
        <v>92</v>
      </c>
      <c r="G118" s="3718"/>
      <c r="H118" s="4239"/>
      <c r="I118" s="4239"/>
      <c r="J118" s="4239"/>
      <c r="K118" s="4239"/>
      <c r="L118" s="4240"/>
      <c r="M118" s="4241"/>
      <c r="N118" s="4241"/>
      <c r="O118" s="3581"/>
      <c r="P118" s="4242"/>
      <c r="Q118" s="4243"/>
      <c r="R118" s="4242"/>
      <c r="S118" s="4244"/>
      <c r="T118" s="4245" t="s">
        <v>254</v>
      </c>
      <c r="U118" s="3571"/>
      <c r="V118" s="3571"/>
      <c r="W118" s="3571"/>
      <c r="X118" s="3571"/>
      <c r="Y118" s="3571"/>
      <c r="Z118" s="3571"/>
      <c r="AA118" s="3571"/>
      <c r="AB118" s="3571"/>
      <c r="AC118" s="3571"/>
      <c r="AD118" s="3571"/>
      <c r="AE118" s="3571"/>
      <c r="AF118" s="3571"/>
      <c r="AG118" s="3571"/>
      <c r="AH118" s="3571"/>
      <c r="AI118" s="3571"/>
      <c r="AJ118" s="3571"/>
      <c r="AK118" s="3571"/>
      <c r="AL118" s="3571"/>
      <c r="AM118" s="3571"/>
      <c r="AN118" s="3571"/>
      <c r="AO118" s="3571"/>
      <c r="AP118" s="3571"/>
      <c r="AQ118" s="3571"/>
      <c r="AR118" s="3571"/>
      <c r="AS118" s="3571"/>
      <c r="AT118" s="3571"/>
      <c r="AU118" s="3571"/>
      <c r="AV118" s="3571"/>
      <c r="AW118" s="3571"/>
      <c r="AX118" s="3571"/>
      <c r="AY118" s="3571"/>
      <c r="AZ118" s="3571"/>
      <c r="BA118" s="3571"/>
      <c r="BB118" s="3571"/>
      <c r="BC118" s="3571"/>
      <c r="BD118" s="3571"/>
      <c r="BE118" s="3571"/>
      <c r="BF118" s="3571"/>
      <c r="BG118" s="3571"/>
      <c r="BH118" s="3571"/>
      <c r="BI118" s="3571"/>
      <c r="BJ118" s="3571"/>
      <c r="BK118" s="3571"/>
      <c r="BL118" s="3571"/>
      <c r="BM118" s="3571"/>
      <c r="BN118" s="3571"/>
      <c r="BO118" s="3571"/>
      <c r="BP118" s="3571"/>
      <c r="BQ118" s="3571"/>
      <c r="BR118" s="3571"/>
      <c r="BS118" s="3571"/>
      <c r="BT118" s="3571"/>
      <c r="BU118" s="3571"/>
      <c r="BV118" s="3571"/>
      <c r="BW118" s="3571"/>
      <c r="BX118" s="3571"/>
      <c r="BY118" s="3571"/>
      <c r="BZ118" s="3571"/>
      <c r="CA118" s="3571"/>
      <c r="CB118" s="3571"/>
      <c r="CC118" s="3571"/>
      <c r="CD118" s="3571"/>
      <c r="CE118" s="3571"/>
      <c r="CF118" s="3571"/>
      <c r="CG118" s="3571"/>
      <c r="CH118" s="3571"/>
      <c r="CI118" s="3571"/>
      <c r="CJ118" s="3571"/>
      <c r="CK118" s="3571"/>
      <c r="CL118" s="3571"/>
      <c r="CM118" s="3571"/>
      <c r="CN118" s="3571"/>
      <c r="CO118" s="3571"/>
      <c r="CP118" s="3571"/>
      <c r="CQ118" s="3571"/>
      <c r="CR118" s="3581"/>
      <c r="CS118" s="3728"/>
      <c r="CT118" s="3728" t="str">
        <f>IF(T118="","",T118)</f>
        <v>Добавить источник для дифференциации</v>
      </c>
      <c r="CU118" s="3728"/>
      <c r="CV118" s="3728"/>
    </row>
    <row s="4744" customFormat="1" customHeight="1" ht="0.75">
      <c r="A119" s="4239"/>
      <c r="B119" s="4239"/>
      <c r="C119" s="4239"/>
      <c r="D119" s="4239"/>
      <c r="E119" s="3717"/>
      <c r="F119" s="3718" t="s">
        <v>92</v>
      </c>
      <c r="G119" s="4239"/>
      <c r="H119" s="4239"/>
      <c r="I119" s="4239"/>
      <c r="J119" s="4239"/>
      <c r="K119" s="4239"/>
      <c r="L119" s="4240"/>
      <c r="M119" s="4247"/>
      <c r="N119" s="4247"/>
      <c r="O119" s="3581"/>
      <c r="P119" s="4242"/>
      <c r="Q119" s="4243"/>
      <c r="R119" s="4242"/>
      <c r="S119" s="4248"/>
      <c r="T119" s="4249" t="s">
        <v>255</v>
      </c>
      <c r="U119" s="3572"/>
      <c r="V119" s="3572"/>
      <c r="W119" s="3572"/>
      <c r="X119" s="3572"/>
      <c r="Y119" s="3572"/>
      <c r="Z119" s="3572"/>
      <c r="AA119" s="3572"/>
      <c r="AB119" s="3572"/>
      <c r="AC119" s="3572"/>
      <c r="AD119" s="3572"/>
      <c r="AE119" s="3572"/>
      <c r="AF119" s="3572"/>
      <c r="AG119" s="3572"/>
      <c r="AH119" s="3572"/>
      <c r="AI119" s="3572"/>
      <c r="AJ119" s="3572"/>
      <c r="AK119" s="3572"/>
      <c r="AL119" s="3572"/>
      <c r="AM119" s="3572"/>
      <c r="AN119" s="3572"/>
      <c r="AO119" s="3572"/>
      <c r="AP119" s="3572"/>
      <c r="AQ119" s="3572"/>
      <c r="AR119" s="3572"/>
      <c r="AS119" s="3572"/>
      <c r="AT119" s="3572"/>
      <c r="AU119" s="3572"/>
      <c r="AV119" s="3572"/>
      <c r="AW119" s="3572"/>
      <c r="AX119" s="3572"/>
      <c r="AY119" s="3572"/>
      <c r="AZ119" s="3572"/>
      <c r="BA119" s="3572"/>
      <c r="BB119" s="3572"/>
      <c r="BC119" s="3572"/>
      <c r="BD119" s="3572"/>
      <c r="BE119" s="3572"/>
      <c r="BF119" s="3572"/>
      <c r="BG119" s="3572"/>
      <c r="BH119" s="3572"/>
      <c r="BI119" s="3572"/>
      <c r="BJ119" s="3572"/>
      <c r="BK119" s="3572"/>
      <c r="BL119" s="3572"/>
      <c r="BM119" s="3572"/>
      <c r="BN119" s="3572"/>
      <c r="BO119" s="3572"/>
      <c r="BP119" s="3572"/>
      <c r="BQ119" s="3572"/>
      <c r="BR119" s="3572"/>
      <c r="BS119" s="3572"/>
      <c r="BT119" s="3572"/>
      <c r="BU119" s="3572"/>
      <c r="BV119" s="3572"/>
      <c r="BW119" s="3572"/>
      <c r="BX119" s="3572"/>
      <c r="BY119" s="3572"/>
      <c r="BZ119" s="3572"/>
      <c r="CA119" s="3572"/>
      <c r="CB119" s="3572"/>
      <c r="CC119" s="3572"/>
      <c r="CD119" s="3572"/>
      <c r="CE119" s="3572"/>
      <c r="CF119" s="3572"/>
      <c r="CG119" s="3572"/>
      <c r="CH119" s="3572"/>
      <c r="CI119" s="3572"/>
      <c r="CJ119" s="3572"/>
      <c r="CK119" s="3572"/>
      <c r="CL119" s="3572"/>
      <c r="CM119" s="3572"/>
      <c r="CN119" s="3572"/>
      <c r="CO119" s="3572"/>
      <c r="CP119" s="3572"/>
      <c r="CQ119" s="3572"/>
      <c r="CR119" s="3581"/>
      <c r="CS119" s="3728"/>
      <c r="CT119" s="3728" t="str">
        <f>IF(T119="","",T119)</f>
        <v>Добавить централизованную систему для дифференциации</v>
      </c>
      <c r="CU119" s="3728"/>
      <c r="CV119" s="3728"/>
    </row>
    <row s="4745" customFormat="1" customHeight="1" ht="21">
      <c r="A120" s="3716"/>
      <c r="B120" s="3716" t="s">
        <v>269</v>
      </c>
      <c r="C120" s="3716"/>
      <c r="D120" s="3716"/>
      <c r="E120" s="3717"/>
      <c r="F120" s="3718" t="s">
        <v>93</v>
      </c>
      <c r="G120" s="3716"/>
      <c r="H120" s="3716"/>
      <c r="I120" s="3716"/>
      <c r="J120" s="3716"/>
      <c r="K120" s="3716"/>
      <c r="L120" s="3719"/>
      <c r="M120" s="3720"/>
      <c r="N120" s="3720"/>
      <c r="O120" s="3720"/>
      <c r="P120" s="4073"/>
      <c r="Q120" s="3722"/>
      <c r="R120" s="3723"/>
      <c r="S120" s="3724" t="str">
        <f>INDEX(PT_DIFFERENTIATION_NUM_TER,MATCH(B120,PT_DIFFERENTIATION_TER_ID,0))</f>
        <v>1.6</v>
      </c>
      <c r="T120" s="4074" t="s">
        <v>612</v>
      </c>
      <c r="U120" s="3726"/>
      <c r="V120" s="3432"/>
      <c r="W120" s="3433"/>
      <c r="X120" s="3433"/>
      <c r="Y120" s="3433"/>
      <c r="Z120" s="3433"/>
      <c r="AA120" s="3433"/>
      <c r="AB120" s="3433"/>
      <c r="AC120" s="3434"/>
      <c r="AD120" s="3432" t="str">
        <f>INDEX(PT_DIFFERENTIATION_TER,MATCH(B120,PT_DIFFERENTIATION_TER_ID,0))</f>
        <v>Территория 6</v>
      </c>
      <c r="AE120" s="3433"/>
      <c r="AF120" s="3433"/>
      <c r="AG120" s="3433"/>
      <c r="AH120" s="3433"/>
      <c r="AI120" s="3433"/>
      <c r="AJ120" s="3433"/>
      <c r="AK120" s="3433"/>
      <c r="AL120" s="3432"/>
      <c r="AM120" s="3433"/>
      <c r="AN120" s="3433"/>
      <c r="AO120" s="3433"/>
      <c r="AP120" s="3433"/>
      <c r="AQ120" s="3433"/>
      <c r="AR120" s="3433"/>
      <c r="AS120" s="3434"/>
      <c r="AT120" s="3432"/>
      <c r="AU120" s="3433"/>
      <c r="AV120" s="3433"/>
      <c r="AW120" s="3433"/>
      <c r="AX120" s="3433"/>
      <c r="AY120" s="3433"/>
      <c r="AZ120" s="3433"/>
      <c r="BA120" s="3434"/>
      <c r="BB120" s="3432"/>
      <c r="BC120" s="3433"/>
      <c r="BD120" s="3433"/>
      <c r="BE120" s="3433"/>
      <c r="BF120" s="3433"/>
      <c r="BG120" s="3433"/>
      <c r="BH120" s="3433"/>
      <c r="BI120" s="3434"/>
      <c r="BJ120" s="3432"/>
      <c r="BK120" s="3433"/>
      <c r="BL120" s="3433"/>
      <c r="BM120" s="3433"/>
      <c r="BN120" s="3433"/>
      <c r="BO120" s="3433"/>
      <c r="BP120" s="3433"/>
      <c r="BQ120" s="3434"/>
      <c r="BR120" s="3432"/>
      <c r="BS120" s="3433"/>
      <c r="BT120" s="3433"/>
      <c r="BU120" s="3433"/>
      <c r="BV120" s="3433"/>
      <c r="BW120" s="3433"/>
      <c r="BX120" s="3433"/>
      <c r="BY120" s="3434"/>
      <c r="BZ120" s="3432"/>
      <c r="CA120" s="3433"/>
      <c r="CB120" s="3433"/>
      <c r="CC120" s="3433"/>
      <c r="CD120" s="3433"/>
      <c r="CE120" s="3433"/>
      <c r="CF120" s="3433"/>
      <c r="CG120" s="3434"/>
      <c r="CH120" s="3432"/>
      <c r="CI120" s="3433"/>
      <c r="CJ120" s="3433"/>
      <c r="CK120" s="3433"/>
      <c r="CL120" s="3433"/>
      <c r="CM120" s="3433"/>
      <c r="CN120" s="3433"/>
      <c r="CO120" s="3434"/>
      <c r="CP120" s="3434"/>
      <c r="CQ120" s="3727" t="s">
        <v>613</v>
      </c>
      <c r="CR120" s="3581"/>
      <c r="CS120" s="3728"/>
      <c r="CT120" s="3728" t="str">
        <f>IF(T120="","",T120)</f>
        <v>Территория действия тарифа</v>
      </c>
      <c r="CU120" s="3728"/>
      <c r="CV120" s="3728"/>
    </row>
    <row s="4746" customFormat="1" customHeight="1" ht="23.25">
      <c r="A121" s="3716"/>
      <c r="B121" s="3716"/>
      <c r="C121" s="3716" t="s">
        <v>270</v>
      </c>
      <c r="D121" s="3716"/>
      <c r="E121" s="3717"/>
      <c r="F121" s="3717" t="s">
        <v>116</v>
      </c>
      <c r="G121" s="3718">
        <v>1</v>
      </c>
      <c r="H121" s="3716"/>
      <c r="I121" s="3716"/>
      <c r="J121" s="3716"/>
      <c r="K121" s="3716"/>
      <c r="L121" s="3719"/>
      <c r="M121" s="3720"/>
      <c r="N121" s="3720"/>
      <c r="O121" s="3720"/>
      <c r="P121" s="3721"/>
      <c r="Q121" s="3722"/>
      <c r="R121" s="3723"/>
      <c r="S121" s="3724" t="str">
        <f>INDEX(PT_DIFFERENTIATION_NUM_CS,MATCH(C121,PT_DIFFERENTIATION_CS_ID,0))</f>
        <v>1.6.1</v>
      </c>
      <c r="T121" s="4076" t="s">
        <v>614</v>
      </c>
      <c r="U121" s="3726"/>
      <c r="V121" s="3432"/>
      <c r="W121" s="3433"/>
      <c r="X121" s="3433"/>
      <c r="Y121" s="3433"/>
      <c r="Z121" s="3433"/>
      <c r="AA121" s="3433"/>
      <c r="AB121" s="3433"/>
      <c r="AC121" s="3434"/>
      <c r="AD121" s="3432" t="str">
        <f>INDEX(PT_DIFFERENTIATION_CS,MATCH(C121,PT_DIFFERENTIATION_CS_ID,0))</f>
        <v>без дифференциации</v>
      </c>
      <c r="AE121" s="3433"/>
      <c r="AF121" s="3433"/>
      <c r="AG121" s="3433"/>
      <c r="AH121" s="3433"/>
      <c r="AI121" s="3433"/>
      <c r="AJ121" s="3433"/>
      <c r="AK121" s="3433"/>
      <c r="AL121" s="3432"/>
      <c r="AM121" s="3433"/>
      <c r="AN121" s="3433"/>
      <c r="AO121" s="3433"/>
      <c r="AP121" s="3433"/>
      <c r="AQ121" s="3433"/>
      <c r="AR121" s="3433"/>
      <c r="AS121" s="3434"/>
      <c r="AT121" s="3432"/>
      <c r="AU121" s="3433"/>
      <c r="AV121" s="3433"/>
      <c r="AW121" s="3433"/>
      <c r="AX121" s="3433"/>
      <c r="AY121" s="3433"/>
      <c r="AZ121" s="3433"/>
      <c r="BA121" s="3434"/>
      <c r="BB121" s="3432"/>
      <c r="BC121" s="3433"/>
      <c r="BD121" s="3433"/>
      <c r="BE121" s="3433"/>
      <c r="BF121" s="3433"/>
      <c r="BG121" s="3433"/>
      <c r="BH121" s="3433"/>
      <c r="BI121" s="3434"/>
      <c r="BJ121" s="3432"/>
      <c r="BK121" s="3433"/>
      <c r="BL121" s="3433"/>
      <c r="BM121" s="3433"/>
      <c r="BN121" s="3433"/>
      <c r="BO121" s="3433"/>
      <c r="BP121" s="3433"/>
      <c r="BQ121" s="3434"/>
      <c r="BR121" s="3432"/>
      <c r="BS121" s="3433"/>
      <c r="BT121" s="3433"/>
      <c r="BU121" s="3433"/>
      <c r="BV121" s="3433"/>
      <c r="BW121" s="3433"/>
      <c r="BX121" s="3433"/>
      <c r="BY121" s="3434"/>
      <c r="BZ121" s="3432"/>
      <c r="CA121" s="3433"/>
      <c r="CB121" s="3433"/>
      <c r="CC121" s="3433"/>
      <c r="CD121" s="3433"/>
      <c r="CE121" s="3433"/>
      <c r="CF121" s="3433"/>
      <c r="CG121" s="3434"/>
      <c r="CH121" s="3432"/>
      <c r="CI121" s="3433"/>
      <c r="CJ121" s="3433"/>
      <c r="CK121" s="3433"/>
      <c r="CL121" s="3433"/>
      <c r="CM121" s="3433"/>
      <c r="CN121" s="3433"/>
      <c r="CO121" s="3434"/>
      <c r="CP121" s="3434"/>
      <c r="CQ121" s="3727" t="s">
        <v>615</v>
      </c>
      <c r="CR121" s="3581"/>
      <c r="CS121" s="3728"/>
      <c r="CT121" s="3728" t="str">
        <f>IF(T121="","",T121)</f>
        <v>Наименование системы теплоснабжения </v>
      </c>
      <c r="CU121" s="3728"/>
      <c r="CV121" s="3728"/>
    </row>
    <row s="4747" customFormat="1" customHeight="1" ht="21">
      <c r="A122" s="3716"/>
      <c r="B122" s="3716"/>
      <c r="C122" s="3716"/>
      <c r="D122" s="3716" t="s">
        <v>271</v>
      </c>
      <c r="E122" s="3717"/>
      <c r="F122" s="3717" t="s">
        <v>116</v>
      </c>
      <c r="G122" s="3717"/>
      <c r="H122" s="3718">
        <v>1</v>
      </c>
      <c r="I122" s="3716"/>
      <c r="J122" s="3716"/>
      <c r="K122" s="3716"/>
      <c r="L122" s="3719"/>
      <c r="M122" s="3720"/>
      <c r="N122" s="3720"/>
      <c r="O122" s="3720"/>
      <c r="P122" s="3721"/>
      <c r="Q122" s="3722"/>
      <c r="R122" s="3723"/>
      <c r="S122" s="3724" t="str">
        <f>INDEX(PT_DIFFERENTIATION_NUM_IST_TE,MATCH(D122,PT_DIFFERENTIATION_IST_TE_ID,0))</f>
        <v>1.6.1.1</v>
      </c>
      <c r="T122" s="3725" t="s">
        <v>616</v>
      </c>
      <c r="U122" s="3726"/>
      <c r="V122" s="3432"/>
      <c r="W122" s="3433"/>
      <c r="X122" s="3433"/>
      <c r="Y122" s="3433"/>
      <c r="Z122" s="3433"/>
      <c r="AA122" s="3433"/>
      <c r="AB122" s="3433"/>
      <c r="AC122" s="3434"/>
      <c r="AD122" s="3432" t="str">
        <f>INDEX(PT_DIFFERENTIATION_IST_TE,MATCH(D122,PT_DIFFERENTIATION_IST_TE_ID,0))</f>
        <v>г.п. Кильдинстрой, н.п.Шонгуй</v>
      </c>
      <c r="AE122" s="3433"/>
      <c r="AF122" s="3433"/>
      <c r="AG122" s="3433"/>
      <c r="AH122" s="3433"/>
      <c r="AI122" s="3433"/>
      <c r="AJ122" s="3433"/>
      <c r="AK122" s="3433"/>
      <c r="AL122" s="3432"/>
      <c r="AM122" s="3433"/>
      <c r="AN122" s="3433"/>
      <c r="AO122" s="3433"/>
      <c r="AP122" s="3433"/>
      <c r="AQ122" s="3433"/>
      <c r="AR122" s="3433"/>
      <c r="AS122" s="3434"/>
      <c r="AT122" s="3432"/>
      <c r="AU122" s="3433"/>
      <c r="AV122" s="3433"/>
      <c r="AW122" s="3433"/>
      <c r="AX122" s="3433"/>
      <c r="AY122" s="3433"/>
      <c r="AZ122" s="3433"/>
      <c r="BA122" s="3434"/>
      <c r="BB122" s="3432"/>
      <c r="BC122" s="3433"/>
      <c r="BD122" s="3433"/>
      <c r="BE122" s="3433"/>
      <c r="BF122" s="3433"/>
      <c r="BG122" s="3433"/>
      <c r="BH122" s="3433"/>
      <c r="BI122" s="3434"/>
      <c r="BJ122" s="3432"/>
      <c r="BK122" s="3433"/>
      <c r="BL122" s="3433"/>
      <c r="BM122" s="3433"/>
      <c r="BN122" s="3433"/>
      <c r="BO122" s="3433"/>
      <c r="BP122" s="3433"/>
      <c r="BQ122" s="3434"/>
      <c r="BR122" s="3432"/>
      <c r="BS122" s="3433"/>
      <c r="BT122" s="3433"/>
      <c r="BU122" s="3433"/>
      <c r="BV122" s="3433"/>
      <c r="BW122" s="3433"/>
      <c r="BX122" s="3433"/>
      <c r="BY122" s="3434"/>
      <c r="BZ122" s="3432"/>
      <c r="CA122" s="3433"/>
      <c r="CB122" s="3433"/>
      <c r="CC122" s="3433"/>
      <c r="CD122" s="3433"/>
      <c r="CE122" s="3433"/>
      <c r="CF122" s="3433"/>
      <c r="CG122" s="3434"/>
      <c r="CH122" s="3432"/>
      <c r="CI122" s="3433"/>
      <c r="CJ122" s="3433"/>
      <c r="CK122" s="3433"/>
      <c r="CL122" s="3433"/>
      <c r="CM122" s="3433"/>
      <c r="CN122" s="3433"/>
      <c r="CO122" s="3434"/>
      <c r="CP122" s="3434"/>
      <c r="CQ122" s="3727" t="s">
        <v>617</v>
      </c>
      <c r="CR122" s="3581"/>
      <c r="CS122" s="3728"/>
      <c r="CT122" s="3728" t="str">
        <f>IF(T122="","",T122)</f>
        <v>Источник тепловой энергии  </v>
      </c>
      <c r="CU122" s="3728"/>
      <c r="CV122" s="3728"/>
    </row>
    <row s="4748" customFormat="1" customHeight="1" ht="14.25">
      <c r="A123" s="3716"/>
      <c r="B123" s="3716"/>
      <c r="C123" s="3716"/>
      <c r="D123" s="3716"/>
      <c r="E123" s="3717"/>
      <c r="F123" s="3717" t="s">
        <v>116</v>
      </c>
      <c r="G123" s="3717"/>
      <c r="H123" s="3717"/>
      <c r="I123" s="3730" t="str">
        <f>S122&amp;".1"</f>
        <v>1.6.1.1.1</v>
      </c>
      <c r="J123" s="3716"/>
      <c r="K123" s="3716"/>
      <c r="L123" s="3719" t="s">
        <v>618</v>
      </c>
      <c r="M123" s="3573"/>
      <c r="N123" s="3731"/>
      <c r="O123" s="3731"/>
      <c r="P123" s="3732">
        <v>1</v>
      </c>
      <c r="Q123" s="3732"/>
      <c r="R123" s="3733"/>
      <c r="S123" s="3734"/>
      <c r="T123" s="3735"/>
      <c r="U123" s="3736"/>
      <c r="V123" s="3441"/>
      <c r="W123" s="3442"/>
      <c r="X123" s="3442"/>
      <c r="Y123" s="3442"/>
      <c r="Z123" s="3442"/>
      <c r="AA123" s="3442"/>
      <c r="AB123" s="3442"/>
      <c r="AC123" s="3443"/>
      <c r="AD123" s="3441"/>
      <c r="AE123" s="3442"/>
      <c r="AF123" s="3442"/>
      <c r="AG123" s="3442"/>
      <c r="AH123" s="3442"/>
      <c r="AI123" s="3442"/>
      <c r="AJ123" s="3442"/>
      <c r="AK123" s="3442"/>
      <c r="AL123" s="3441"/>
      <c r="AM123" s="3442"/>
      <c r="AN123" s="3442"/>
      <c r="AO123" s="3442"/>
      <c r="AP123" s="3442"/>
      <c r="AQ123" s="3442"/>
      <c r="AR123" s="3442"/>
      <c r="AS123" s="3443"/>
      <c r="AT123" s="3441"/>
      <c r="AU123" s="3442"/>
      <c r="AV123" s="3442"/>
      <c r="AW123" s="3442"/>
      <c r="AX123" s="3442"/>
      <c r="AY123" s="3442"/>
      <c r="AZ123" s="3442"/>
      <c r="BA123" s="3443"/>
      <c r="BB123" s="3441"/>
      <c r="BC123" s="3442"/>
      <c r="BD123" s="3442"/>
      <c r="BE123" s="3442"/>
      <c r="BF123" s="3442"/>
      <c r="BG123" s="3442"/>
      <c r="BH123" s="3442"/>
      <c r="BI123" s="3443"/>
      <c r="BJ123" s="3441"/>
      <c r="BK123" s="3442"/>
      <c r="BL123" s="3442"/>
      <c r="BM123" s="3442"/>
      <c r="BN123" s="3442"/>
      <c r="BO123" s="3442"/>
      <c r="BP123" s="3442"/>
      <c r="BQ123" s="3443"/>
      <c r="BR123" s="3441"/>
      <c r="BS123" s="3442"/>
      <c r="BT123" s="3442"/>
      <c r="BU123" s="3442"/>
      <c r="BV123" s="3442"/>
      <c r="BW123" s="3442"/>
      <c r="BX123" s="3442"/>
      <c r="BY123" s="3443"/>
      <c r="BZ123" s="3441"/>
      <c r="CA123" s="3442"/>
      <c r="CB123" s="3442"/>
      <c r="CC123" s="3442"/>
      <c r="CD123" s="3442"/>
      <c r="CE123" s="3442"/>
      <c r="CF123" s="3442"/>
      <c r="CG123" s="3443"/>
      <c r="CH123" s="3441"/>
      <c r="CI123" s="3442"/>
      <c r="CJ123" s="3442"/>
      <c r="CK123" s="3442"/>
      <c r="CL123" s="3442"/>
      <c r="CM123" s="3442"/>
      <c r="CN123" s="3442"/>
      <c r="CO123" s="3443"/>
      <c r="CP123" s="3443"/>
      <c r="CQ123" s="3737"/>
      <c r="CR123" s="3581"/>
      <c r="CS123" s="3728"/>
      <c r="CT123" s="3728" t="str">
        <f>IF(T123="","",T123)</f>
        <v/>
      </c>
      <c r="CU123" s="3728"/>
      <c r="CV123" s="3728"/>
    </row>
    <row s="4749" customFormat="1" customHeight="1" ht="21">
      <c r="A124" s="3716"/>
      <c r="B124" s="3716"/>
      <c r="C124" s="3716"/>
      <c r="D124" s="3716"/>
      <c r="E124" s="3717"/>
      <c r="F124" s="3717" t="s">
        <v>116</v>
      </c>
      <c r="G124" s="3717"/>
      <c r="H124" s="3717"/>
      <c r="I124" s="3739"/>
      <c r="J124" s="3730" t="str">
        <f>I123&amp;".1"</f>
        <v>1.6.1.1.1.1</v>
      </c>
      <c r="K124" s="3716"/>
      <c r="L124" s="3719" t="s">
        <v>621</v>
      </c>
      <c r="M124" s="3573"/>
      <c r="N124" s="3573"/>
      <c r="O124" s="3731"/>
      <c r="P124" s="3732"/>
      <c r="Q124" s="3732">
        <v>1</v>
      </c>
      <c r="R124" s="3740"/>
      <c r="S124" s="3724" t="str">
        <f>$J124</f>
        <v>1.6.1.1.1.1</v>
      </c>
      <c r="T124" s="3741" t="s">
        <v>622</v>
      </c>
      <c r="U124" s="3726"/>
      <c r="V124" s="3445"/>
      <c r="W124" s="3446"/>
      <c r="X124" s="3446"/>
      <c r="Y124" s="3446"/>
      <c r="Z124" s="3446"/>
      <c r="AA124" s="3446"/>
      <c r="AB124" s="3446"/>
      <c r="AC124" s="3447"/>
      <c r="AD124" s="3445" t="s">
        <v>662</v>
      </c>
      <c r="AE124" s="3446"/>
      <c r="AF124" s="3446"/>
      <c r="AG124" s="3446"/>
      <c r="AH124" s="3446"/>
      <c r="AI124" s="3446"/>
      <c r="AJ124" s="3446"/>
      <c r="AK124" s="3446"/>
      <c r="AL124" s="3445"/>
      <c r="AM124" s="3446"/>
      <c r="AN124" s="3446"/>
      <c r="AO124" s="3446"/>
      <c r="AP124" s="3446"/>
      <c r="AQ124" s="3446"/>
      <c r="AR124" s="3446"/>
      <c r="AS124" s="3447"/>
      <c r="AT124" s="3445"/>
      <c r="AU124" s="3446"/>
      <c r="AV124" s="3446"/>
      <c r="AW124" s="3446"/>
      <c r="AX124" s="3446"/>
      <c r="AY124" s="3446"/>
      <c r="AZ124" s="3446"/>
      <c r="BA124" s="3447"/>
      <c r="BB124" s="3445"/>
      <c r="BC124" s="3446"/>
      <c r="BD124" s="3446"/>
      <c r="BE124" s="3446"/>
      <c r="BF124" s="3446"/>
      <c r="BG124" s="3446"/>
      <c r="BH124" s="3446"/>
      <c r="BI124" s="3447"/>
      <c r="BJ124" s="3445"/>
      <c r="BK124" s="3446"/>
      <c r="BL124" s="3446"/>
      <c r="BM124" s="3446"/>
      <c r="BN124" s="3446"/>
      <c r="BO124" s="3446"/>
      <c r="BP124" s="3446"/>
      <c r="BQ124" s="3447"/>
      <c r="BR124" s="3445"/>
      <c r="BS124" s="3446"/>
      <c r="BT124" s="3446"/>
      <c r="BU124" s="3446"/>
      <c r="BV124" s="3446"/>
      <c r="BW124" s="3446"/>
      <c r="BX124" s="3446"/>
      <c r="BY124" s="3447"/>
      <c r="BZ124" s="3445"/>
      <c r="CA124" s="3446"/>
      <c r="CB124" s="3446"/>
      <c r="CC124" s="3446"/>
      <c r="CD124" s="3446"/>
      <c r="CE124" s="3446"/>
      <c r="CF124" s="3446"/>
      <c r="CG124" s="3447"/>
      <c r="CH124" s="3445"/>
      <c r="CI124" s="3446"/>
      <c r="CJ124" s="3446"/>
      <c r="CK124" s="3446"/>
      <c r="CL124" s="3446"/>
      <c r="CM124" s="3446"/>
      <c r="CN124" s="3446"/>
      <c r="CO124" s="3447"/>
      <c r="CP124" s="3447"/>
      <c r="CQ124" s="3727" t="s">
        <v>623</v>
      </c>
      <c r="CR124" s="3581"/>
      <c r="CS124" s="3728"/>
      <c r="CT124" s="3728" t="str">
        <f>IF(T124="","",T124)</f>
        <v>Группа потребителей</v>
      </c>
      <c r="CU124" s="3728"/>
      <c r="CV124" s="3728"/>
    </row>
    <row s="4750" customFormat="1" customHeight="1" ht="21">
      <c r="A125" s="3716"/>
      <c r="B125" s="3716"/>
      <c r="C125" s="3716"/>
      <c r="D125" s="3716"/>
      <c r="E125" s="3717"/>
      <c r="F125" s="3717" t="s">
        <v>116</v>
      </c>
      <c r="G125" s="3717"/>
      <c r="H125" s="3717"/>
      <c r="I125" s="3739"/>
      <c r="J125" s="3739"/>
      <c r="K125" s="3730" t="str">
        <f>J124&amp;".1"</f>
        <v>1.6.1.1.1.1.1</v>
      </c>
      <c r="L125" s="3719" t="s">
        <v>624</v>
      </c>
      <c r="M125" s="3573"/>
      <c r="N125" s="3573"/>
      <c r="O125" s="3573"/>
      <c r="P125" s="3732"/>
      <c r="Q125" s="3732"/>
      <c r="R125" s="3740">
        <v>1</v>
      </c>
      <c r="S125" s="3724" t="str">
        <f>$K125</f>
        <v>1.6.1.1.1.1.1</v>
      </c>
      <c r="T125" s="3743" t="s">
        <v>663</v>
      </c>
      <c r="U125" s="3726"/>
      <c r="V125" s="3448"/>
      <c r="W125" s="3449"/>
      <c r="X125" s="3448"/>
      <c r="Y125" s="3450"/>
      <c r="Z125" s="3451"/>
      <c r="AA125" s="2872" t="s">
        <v>63</v>
      </c>
      <c r="AB125" s="3451"/>
      <c r="AC125" s="2872" t="s">
        <v>63</v>
      </c>
      <c r="AD125" s="3448">
        <v>28.25</v>
      </c>
      <c r="AE125" s="3449"/>
      <c r="AF125" s="3448"/>
      <c r="AG125" s="3450"/>
      <c r="AH125" s="3451">
        <v>44197</v>
      </c>
      <c r="AI125" s="2872" t="s">
        <v>63</v>
      </c>
      <c r="AJ125" s="3451">
        <v>44377</v>
      </c>
      <c r="AK125" s="2872" t="s">
        <v>63</v>
      </c>
      <c r="AL125" s="3448">
        <v>34.35</v>
      </c>
      <c r="AM125" s="3449"/>
      <c r="AN125" s="3448"/>
      <c r="AO125" s="3450"/>
      <c r="AP125" s="3451">
        <v>44378</v>
      </c>
      <c r="AQ125" s="2872" t="s">
        <v>63</v>
      </c>
      <c r="AR125" s="3451">
        <v>44561</v>
      </c>
      <c r="AS125" s="2872" t="s">
        <v>63</v>
      </c>
      <c r="AT125" s="3448">
        <v>32.45</v>
      </c>
      <c r="AU125" s="3449"/>
      <c r="AV125" s="3448"/>
      <c r="AW125" s="3450"/>
      <c r="AX125" s="3451">
        <v>44562</v>
      </c>
      <c r="AY125" s="2872" t="s">
        <v>63</v>
      </c>
      <c r="AZ125" s="3451">
        <v>44601</v>
      </c>
      <c r="BA125" s="2872" t="s">
        <v>63</v>
      </c>
      <c r="BB125" s="3448">
        <v>32.45</v>
      </c>
      <c r="BC125" s="3449"/>
      <c r="BD125" s="3448"/>
      <c r="BE125" s="3450"/>
      <c r="BF125" s="3451">
        <v>44602</v>
      </c>
      <c r="BG125" s="2872" t="s">
        <v>63</v>
      </c>
      <c r="BH125" s="3451">
        <v>44742</v>
      </c>
      <c r="BI125" s="2872" t="s">
        <v>63</v>
      </c>
      <c r="BJ125" s="3448">
        <v>32.45</v>
      </c>
      <c r="BK125" s="3449"/>
      <c r="BL125" s="3448"/>
      <c r="BM125" s="3450"/>
      <c r="BN125" s="3451">
        <v>44743</v>
      </c>
      <c r="BO125" s="2872" t="s">
        <v>63</v>
      </c>
      <c r="BP125" s="3451">
        <v>44804</v>
      </c>
      <c r="BQ125" s="2872" t="s">
        <v>63</v>
      </c>
      <c r="BR125" s="3448">
        <v>32.45</v>
      </c>
      <c r="BS125" s="3449"/>
      <c r="BT125" s="3448"/>
      <c r="BU125" s="3450"/>
      <c r="BV125" s="3451">
        <v>44805</v>
      </c>
      <c r="BW125" s="2872" t="s">
        <v>63</v>
      </c>
      <c r="BX125" s="3451">
        <v>44895</v>
      </c>
      <c r="BY125" s="2872" t="s">
        <v>63</v>
      </c>
      <c r="BZ125" s="3448">
        <v>35.07</v>
      </c>
      <c r="CA125" s="3449"/>
      <c r="CB125" s="3448"/>
      <c r="CC125" s="3450"/>
      <c r="CD125" s="3451">
        <v>44896</v>
      </c>
      <c r="CE125" s="2872" t="s">
        <v>63</v>
      </c>
      <c r="CF125" s="3451">
        <v>45174</v>
      </c>
      <c r="CG125" s="2872" t="s">
        <v>63</v>
      </c>
      <c r="CH125" s="3448">
        <v>35.07</v>
      </c>
      <c r="CI125" s="3449"/>
      <c r="CJ125" s="3448"/>
      <c r="CK125" s="3450"/>
      <c r="CL125" s="3451">
        <v>45175</v>
      </c>
      <c r="CM125" s="2872" t="s">
        <v>63</v>
      </c>
      <c r="CN125" s="3451">
        <v>45291</v>
      </c>
      <c r="CO125" s="2872" t="s">
        <v>63</v>
      </c>
      <c r="CP125" s="3449"/>
      <c r="CQ125" s="3744" t="s">
        <v>625</v>
      </c>
      <c r="CR125" s="3581">
        <f>STRCHECKDATE(V126:CP126)</f>
      </c>
      <c r="CS125" s="3728"/>
      <c r="CT125" s="3728" t="str">
        <f>IF(T125="","",T125)</f>
        <v>вода</v>
      </c>
      <c r="CU125" s="3728"/>
      <c r="CV125" s="3728"/>
    </row>
    <row s="4751" customFormat="1" customHeight="1" ht="0.75">
      <c r="A126" s="3716"/>
      <c r="B126" s="3716"/>
      <c r="C126" s="3716"/>
      <c r="D126" s="3716"/>
      <c r="E126" s="3717"/>
      <c r="F126" s="3717" t="s">
        <v>116</v>
      </c>
      <c r="G126" s="3717"/>
      <c r="H126" s="3717"/>
      <c r="I126" s="3739"/>
      <c r="J126" s="3739"/>
      <c r="K126" s="3730"/>
      <c r="L126" s="3719"/>
      <c r="M126" s="3573"/>
      <c r="N126" s="3573"/>
      <c r="O126" s="3573"/>
      <c r="P126" s="3732"/>
      <c r="Q126" s="3732"/>
      <c r="R126" s="3740"/>
      <c r="S126" s="3746"/>
      <c r="T126" s="3726"/>
      <c r="U126" s="3726"/>
      <c r="V126" s="3449"/>
      <c r="W126" s="3449"/>
      <c r="X126" s="3449"/>
      <c r="Y126" s="3452" t="str">
        <f>Z125&amp;"-"&amp;AB125</f>
        <v>-</v>
      </c>
      <c r="Z126" s="3453"/>
      <c r="AA126" s="2872"/>
      <c r="AB126" s="3453"/>
      <c r="AC126" s="2872"/>
      <c r="AD126" s="3449"/>
      <c r="AE126" s="3449"/>
      <c r="AF126" s="3449"/>
      <c r="AG126" s="3452" t="str">
        <f>AH125&amp;"-"&amp;AJ125</f>
        <v>44197-44377</v>
      </c>
      <c r="AH126" s="3453"/>
      <c r="AI126" s="2872"/>
      <c r="AJ126" s="3453"/>
      <c r="AK126" s="2872"/>
      <c r="AL126" s="3449"/>
      <c r="AM126" s="3449"/>
      <c r="AN126" s="3449"/>
      <c r="AO126" s="3452" t="str">
        <f>AP125&amp;"-"&amp;AR125</f>
        <v>44378-44561</v>
      </c>
      <c r="AP126" s="3453"/>
      <c r="AQ126" s="2872"/>
      <c r="AR126" s="3453"/>
      <c r="AS126" s="2872"/>
      <c r="AT126" s="3449"/>
      <c r="AU126" s="3449"/>
      <c r="AV126" s="3449"/>
      <c r="AW126" s="3452" t="str">
        <f>AX125&amp;"-"&amp;AZ125</f>
        <v>44562-44601</v>
      </c>
      <c r="AX126" s="3453"/>
      <c r="AY126" s="2872"/>
      <c r="AZ126" s="3453"/>
      <c r="BA126" s="2872"/>
      <c r="BB126" s="3449"/>
      <c r="BC126" s="3449"/>
      <c r="BD126" s="3449"/>
      <c r="BE126" s="3452" t="str">
        <f>BF125&amp;"-"&amp;BH125</f>
        <v>44602-44742</v>
      </c>
      <c r="BF126" s="3453"/>
      <c r="BG126" s="2872"/>
      <c r="BH126" s="3453"/>
      <c r="BI126" s="2872"/>
      <c r="BJ126" s="3449"/>
      <c r="BK126" s="3449"/>
      <c r="BL126" s="3449"/>
      <c r="BM126" s="3452" t="str">
        <f>BN125&amp;"-"&amp;BP125</f>
        <v>44743-44804</v>
      </c>
      <c r="BN126" s="3453"/>
      <c r="BO126" s="2872"/>
      <c r="BP126" s="3453"/>
      <c r="BQ126" s="2872"/>
      <c r="BR126" s="3449"/>
      <c r="BS126" s="3449"/>
      <c r="BT126" s="3449"/>
      <c r="BU126" s="3452" t="str">
        <f>BV125&amp;"-"&amp;BX125</f>
        <v>44805-44895</v>
      </c>
      <c r="BV126" s="3453"/>
      <c r="BW126" s="2872"/>
      <c r="BX126" s="3453"/>
      <c r="BY126" s="2872"/>
      <c r="BZ126" s="3449"/>
      <c r="CA126" s="3449"/>
      <c r="CB126" s="3449"/>
      <c r="CC126" s="3452" t="str">
        <f>CD125&amp;"-"&amp;CF125</f>
        <v>44896-45174</v>
      </c>
      <c r="CD126" s="3453"/>
      <c r="CE126" s="2872"/>
      <c r="CF126" s="3453"/>
      <c r="CG126" s="2872"/>
      <c r="CH126" s="3449"/>
      <c r="CI126" s="3449"/>
      <c r="CJ126" s="3449"/>
      <c r="CK126" s="3452" t="str">
        <f>CL125&amp;"-"&amp;CN125</f>
        <v>45175-45291</v>
      </c>
      <c r="CL126" s="3453"/>
      <c r="CM126" s="2872"/>
      <c r="CN126" s="3453"/>
      <c r="CO126" s="2872"/>
      <c r="CP126" s="3449"/>
      <c r="CQ126" s="3747"/>
      <c r="CR126" s="3581"/>
      <c r="CS126" s="3728"/>
      <c r="CT126" s="3728" t="str">
        <f>IF(T126="","",T126)</f>
        <v/>
      </c>
      <c r="CU126" s="3728"/>
      <c r="CV126" s="3728"/>
    </row>
    <row s="4752" customFormat="1" customHeight="1" ht="15">
      <c r="A127" s="3716"/>
      <c r="B127" s="3716"/>
      <c r="C127" s="3716"/>
      <c r="D127" s="3716"/>
      <c r="E127" s="3717"/>
      <c r="F127" s="3717" t="s">
        <v>116</v>
      </c>
      <c r="G127" s="3717"/>
      <c r="H127" s="3717"/>
      <c r="I127" s="3739"/>
      <c r="J127" s="3730"/>
      <c r="K127" s="3716"/>
      <c r="L127" s="3719"/>
      <c r="M127" s="3573"/>
      <c r="N127" s="3573"/>
      <c r="O127" s="3731"/>
      <c r="P127" s="3732"/>
      <c r="Q127" s="3732"/>
      <c r="R127" s="3733"/>
      <c r="S127" s="4753"/>
      <c r="T127" s="4754" t="s">
        <v>626</v>
      </c>
      <c r="U127" s="4755"/>
      <c r="V127" s="4756"/>
      <c r="W127" s="4757"/>
      <c r="X127" s="4758"/>
      <c r="Y127" s="4759"/>
      <c r="Z127" s="4760"/>
      <c r="AA127" s="4761"/>
      <c r="AB127" s="4762"/>
      <c r="AC127" s="4763"/>
      <c r="AD127" s="4764"/>
      <c r="AE127" s="4765"/>
      <c r="AF127" s="4766"/>
      <c r="AG127" s="4767"/>
      <c r="AH127" s="4768"/>
      <c r="AI127" s="4769"/>
      <c r="AJ127" s="4770"/>
      <c r="AK127" s="4771"/>
      <c r="AL127" s="4772"/>
      <c r="AM127" s="4773"/>
      <c r="AN127" s="4774"/>
      <c r="AO127" s="4775"/>
      <c r="AP127" s="4776"/>
      <c r="AQ127" s="4777"/>
      <c r="AR127" s="4778"/>
      <c r="AS127" s="4779"/>
      <c r="AT127" s="4780"/>
      <c r="AU127" s="4781"/>
      <c r="AV127" s="4782"/>
      <c r="AW127" s="4783"/>
      <c r="AX127" s="4784"/>
      <c r="AY127" s="4785"/>
      <c r="AZ127" s="4786"/>
      <c r="BA127" s="4787"/>
      <c r="BB127" s="4788"/>
      <c r="BC127" s="4789"/>
      <c r="BD127" s="4790"/>
      <c r="BE127" s="4791"/>
      <c r="BF127" s="4792"/>
      <c r="BG127" s="4793"/>
      <c r="BH127" s="4794"/>
      <c r="BI127" s="4795"/>
      <c r="BJ127" s="4796"/>
      <c r="BK127" s="4797"/>
      <c r="BL127" s="4798"/>
      <c r="BM127" s="4799"/>
      <c r="BN127" s="4800"/>
      <c r="BO127" s="4801"/>
      <c r="BP127" s="4802"/>
      <c r="BQ127" s="4803"/>
      <c r="BR127" s="4804"/>
      <c r="BS127" s="4805"/>
      <c r="BT127" s="4806"/>
      <c r="BU127" s="4807"/>
      <c r="BV127" s="4808"/>
      <c r="BW127" s="4809"/>
      <c r="BX127" s="4810"/>
      <c r="BY127" s="4811"/>
      <c r="BZ127" s="4812"/>
      <c r="CA127" s="4813"/>
      <c r="CB127" s="4814"/>
      <c r="CC127" s="4815"/>
      <c r="CD127" s="4816"/>
      <c r="CE127" s="4817"/>
      <c r="CF127" s="4818"/>
      <c r="CG127" s="4819"/>
      <c r="CH127" s="4820"/>
      <c r="CI127" s="4821"/>
      <c r="CJ127" s="4822"/>
      <c r="CK127" s="4823"/>
      <c r="CL127" s="4824"/>
      <c r="CM127" s="4825"/>
      <c r="CN127" s="4826"/>
      <c r="CO127" s="4827"/>
      <c r="CP127" s="4828"/>
      <c r="CQ127" s="3825"/>
      <c r="CR127" s="3581"/>
      <c r="CS127" s="3728"/>
      <c r="CT127" s="3728" t="str">
        <f>IF(T127="","",T127)</f>
        <v>Добавить вид теплоносителя (параметры теплоносителя)</v>
      </c>
      <c r="CU127" s="3728"/>
      <c r="CV127" s="3728"/>
    </row>
    <row s="4829" customFormat="1" customHeight="1" ht="15">
      <c r="A128" s="3716"/>
      <c r="B128" s="3716"/>
      <c r="C128" s="3716"/>
      <c r="D128" s="3716"/>
      <c r="E128" s="3717"/>
      <c r="F128" s="3717" t="s">
        <v>116</v>
      </c>
      <c r="G128" s="3717"/>
      <c r="H128" s="3717"/>
      <c r="I128" s="3730"/>
      <c r="J128" s="3716"/>
      <c r="K128" s="3716"/>
      <c r="L128" s="3719"/>
      <c r="M128" s="3573"/>
      <c r="N128" s="3731"/>
      <c r="O128" s="3731"/>
      <c r="P128" s="3732"/>
      <c r="Q128" s="3732"/>
      <c r="R128" s="3733"/>
      <c r="S128" s="4830"/>
      <c r="T128" s="4831" t="s">
        <v>627</v>
      </c>
      <c r="U128" s="4832"/>
      <c r="V128" s="4833"/>
      <c r="W128" s="4834"/>
      <c r="X128" s="4835"/>
      <c r="Y128" s="4836"/>
      <c r="Z128" s="4837"/>
      <c r="AA128" s="4838"/>
      <c r="AB128" s="4839"/>
      <c r="AC128" s="4840"/>
      <c r="AD128" s="4841"/>
      <c r="AE128" s="4842"/>
      <c r="AF128" s="4843"/>
      <c r="AG128" s="4844"/>
      <c r="AH128" s="4845"/>
      <c r="AI128" s="4846"/>
      <c r="AJ128" s="4847"/>
      <c r="AK128" s="4848"/>
      <c r="AL128" s="4849"/>
      <c r="AM128" s="4850"/>
      <c r="AN128" s="4851"/>
      <c r="AO128" s="4852"/>
      <c r="AP128" s="4853"/>
      <c r="AQ128" s="4854"/>
      <c r="AR128" s="4855"/>
      <c r="AS128" s="4856"/>
      <c r="AT128" s="4857"/>
      <c r="AU128" s="4858"/>
      <c r="AV128" s="4859"/>
      <c r="AW128" s="4860"/>
      <c r="AX128" s="4861"/>
      <c r="AY128" s="4862"/>
      <c r="AZ128" s="4863"/>
      <c r="BA128" s="4864"/>
      <c r="BB128" s="4865"/>
      <c r="BC128" s="4866"/>
      <c r="BD128" s="4867"/>
      <c r="BE128" s="4868"/>
      <c r="BF128" s="4869"/>
      <c r="BG128" s="4870"/>
      <c r="BH128" s="4871"/>
      <c r="BI128" s="4872"/>
      <c r="BJ128" s="4873"/>
      <c r="BK128" s="4874"/>
      <c r="BL128" s="4875"/>
      <c r="BM128" s="4876"/>
      <c r="BN128" s="4877"/>
      <c r="BO128" s="4878"/>
      <c r="BP128" s="4879"/>
      <c r="BQ128" s="4880"/>
      <c r="BR128" s="4881"/>
      <c r="BS128" s="4882"/>
      <c r="BT128" s="4883"/>
      <c r="BU128" s="4884"/>
      <c r="BV128" s="4885"/>
      <c r="BW128" s="4886"/>
      <c r="BX128" s="4887"/>
      <c r="BY128" s="4888"/>
      <c r="BZ128" s="4889"/>
      <c r="CA128" s="4890"/>
      <c r="CB128" s="4891"/>
      <c r="CC128" s="4892"/>
      <c r="CD128" s="4893"/>
      <c r="CE128" s="4894"/>
      <c r="CF128" s="4895"/>
      <c r="CG128" s="4896"/>
      <c r="CH128" s="4897"/>
      <c r="CI128" s="4898"/>
      <c r="CJ128" s="4899"/>
      <c r="CK128" s="4900"/>
      <c r="CL128" s="4901"/>
      <c r="CM128" s="4902"/>
      <c r="CN128" s="4903"/>
      <c r="CO128" s="4904"/>
      <c r="CP128" s="4905"/>
      <c r="CQ128" s="4906"/>
      <c r="CR128" s="3581"/>
      <c r="CS128" s="3728"/>
      <c r="CT128" s="3728" t="str">
        <f>IF(T128="","",T128)</f>
        <v>Добавить группу потребителей</v>
      </c>
      <c r="CU128" s="3728"/>
      <c r="CV128" s="3728"/>
    </row>
    <row s="4907" customFormat="1" customHeight="1" ht="14.25">
      <c r="A129" s="3716"/>
      <c r="B129" s="3716"/>
      <c r="C129" s="3716"/>
      <c r="D129" s="3716"/>
      <c r="E129" s="3717"/>
      <c r="F129" s="3717" t="s">
        <v>116</v>
      </c>
      <c r="G129" s="3717"/>
      <c r="H129" s="3718"/>
      <c r="I129" s="3716"/>
      <c r="J129" s="3716"/>
      <c r="K129" s="3716"/>
      <c r="L129" s="3719"/>
      <c r="M129" s="3720"/>
      <c r="N129" s="3720"/>
      <c r="O129" s="3573"/>
      <c r="P129" s="3905"/>
      <c r="Q129" s="3906"/>
      <c r="R129" s="3907"/>
      <c r="S129" s="3908"/>
      <c r="T129" s="3909"/>
      <c r="U129" s="3569"/>
      <c r="V129" s="3569"/>
      <c r="W129" s="3569"/>
      <c r="X129" s="3569"/>
      <c r="Y129" s="3569"/>
      <c r="Z129" s="3569"/>
      <c r="AA129" s="3569"/>
      <c r="AB129" s="3569"/>
      <c r="AC129" s="3569"/>
      <c r="AD129" s="3569"/>
      <c r="AE129" s="3569"/>
      <c r="AF129" s="3569"/>
      <c r="AG129" s="3569"/>
      <c r="AH129" s="3569"/>
      <c r="AI129" s="3569"/>
      <c r="AJ129" s="3569"/>
      <c r="AK129" s="3569"/>
      <c r="AL129" s="3569"/>
      <c r="AM129" s="3569"/>
      <c r="AN129" s="3569"/>
      <c r="AO129" s="3569"/>
      <c r="AP129" s="3569"/>
      <c r="AQ129" s="3569"/>
      <c r="AR129" s="3569"/>
      <c r="AS129" s="3569"/>
      <c r="AT129" s="3569"/>
      <c r="AU129" s="3569"/>
      <c r="AV129" s="3569"/>
      <c r="AW129" s="3569"/>
      <c r="AX129" s="3569"/>
      <c r="AY129" s="3569"/>
      <c r="AZ129" s="3569"/>
      <c r="BA129" s="3569"/>
      <c r="BB129" s="3569"/>
      <c r="BC129" s="3569"/>
      <c r="BD129" s="3569"/>
      <c r="BE129" s="3569"/>
      <c r="BF129" s="3569"/>
      <c r="BG129" s="3569"/>
      <c r="BH129" s="3569"/>
      <c r="BI129" s="3569"/>
      <c r="BJ129" s="3569"/>
      <c r="BK129" s="3569"/>
      <c r="BL129" s="3569"/>
      <c r="BM129" s="3569"/>
      <c r="BN129" s="3569"/>
      <c r="BO129" s="3569"/>
      <c r="BP129" s="3569"/>
      <c r="BQ129" s="3569"/>
      <c r="BR129" s="3569"/>
      <c r="BS129" s="3569"/>
      <c r="BT129" s="3569"/>
      <c r="BU129" s="3569"/>
      <c r="BV129" s="3569"/>
      <c r="BW129" s="3569"/>
      <c r="BX129" s="3569"/>
      <c r="BY129" s="3569"/>
      <c r="BZ129" s="3569"/>
      <c r="CA129" s="3569"/>
      <c r="CB129" s="3569"/>
      <c r="CC129" s="3569"/>
      <c r="CD129" s="3569"/>
      <c r="CE129" s="3569"/>
      <c r="CF129" s="3569"/>
      <c r="CG129" s="3569"/>
      <c r="CH129" s="3569"/>
      <c r="CI129" s="3569"/>
      <c r="CJ129" s="3569"/>
      <c r="CK129" s="3569"/>
      <c r="CL129" s="3569"/>
      <c r="CM129" s="3569"/>
      <c r="CN129" s="3569"/>
      <c r="CO129" s="3569"/>
      <c r="CP129" s="3569"/>
      <c r="CQ129" s="3910"/>
      <c r="CR129" s="3581"/>
      <c r="CS129" s="3728"/>
      <c r="CT129" s="3728" t="str">
        <f>IF(T129="","",T129)</f>
        <v/>
      </c>
      <c r="CU129" s="3728"/>
      <c r="CV129" s="3728"/>
    </row>
    <row s="4908" customFormat="1" customHeight="1" ht="0.75">
      <c r="A130" s="4239"/>
      <c r="B130" s="4239"/>
      <c r="C130" s="4239"/>
      <c r="D130" s="4239"/>
      <c r="E130" s="3717"/>
      <c r="F130" s="3717" t="s">
        <v>116</v>
      </c>
      <c r="G130" s="3718"/>
      <c r="H130" s="4239"/>
      <c r="I130" s="4239"/>
      <c r="J130" s="4239"/>
      <c r="K130" s="4239"/>
      <c r="L130" s="4240"/>
      <c r="M130" s="4241"/>
      <c r="N130" s="4241"/>
      <c r="O130" s="3581"/>
      <c r="P130" s="4242"/>
      <c r="Q130" s="4243"/>
      <c r="R130" s="4242"/>
      <c r="S130" s="4244"/>
      <c r="T130" s="4245" t="s">
        <v>254</v>
      </c>
      <c r="U130" s="3571"/>
      <c r="V130" s="3571"/>
      <c r="W130" s="3571"/>
      <c r="X130" s="3571"/>
      <c r="Y130" s="3571"/>
      <c r="Z130" s="3571"/>
      <c r="AA130" s="3571"/>
      <c r="AB130" s="3571"/>
      <c r="AC130" s="3571"/>
      <c r="AD130" s="3571"/>
      <c r="AE130" s="3571"/>
      <c r="AF130" s="3571"/>
      <c r="AG130" s="3571"/>
      <c r="AH130" s="3571"/>
      <c r="AI130" s="3571"/>
      <c r="AJ130" s="3571"/>
      <c r="AK130" s="3571"/>
      <c r="AL130" s="3571"/>
      <c r="AM130" s="3571"/>
      <c r="AN130" s="3571"/>
      <c r="AO130" s="3571"/>
      <c r="AP130" s="3571"/>
      <c r="AQ130" s="3571"/>
      <c r="AR130" s="3571"/>
      <c r="AS130" s="3571"/>
      <c r="AT130" s="3571"/>
      <c r="AU130" s="3571"/>
      <c r="AV130" s="3571"/>
      <c r="AW130" s="3571"/>
      <c r="AX130" s="3571"/>
      <c r="AY130" s="3571"/>
      <c r="AZ130" s="3571"/>
      <c r="BA130" s="3571"/>
      <c r="BB130" s="3571"/>
      <c r="BC130" s="3571"/>
      <c r="BD130" s="3571"/>
      <c r="BE130" s="3571"/>
      <c r="BF130" s="3571"/>
      <c r="BG130" s="3571"/>
      <c r="BH130" s="3571"/>
      <c r="BI130" s="3571"/>
      <c r="BJ130" s="3571"/>
      <c r="BK130" s="3571"/>
      <c r="BL130" s="3571"/>
      <c r="BM130" s="3571"/>
      <c r="BN130" s="3571"/>
      <c r="BO130" s="3571"/>
      <c r="BP130" s="3571"/>
      <c r="BQ130" s="3571"/>
      <c r="BR130" s="3571"/>
      <c r="BS130" s="3571"/>
      <c r="BT130" s="3571"/>
      <c r="BU130" s="3571"/>
      <c r="BV130" s="3571"/>
      <c r="BW130" s="3571"/>
      <c r="BX130" s="3571"/>
      <c r="BY130" s="3571"/>
      <c r="BZ130" s="3571"/>
      <c r="CA130" s="3571"/>
      <c r="CB130" s="3571"/>
      <c r="CC130" s="3571"/>
      <c r="CD130" s="3571"/>
      <c r="CE130" s="3571"/>
      <c r="CF130" s="3571"/>
      <c r="CG130" s="3571"/>
      <c r="CH130" s="3571"/>
      <c r="CI130" s="3571"/>
      <c r="CJ130" s="3571"/>
      <c r="CK130" s="3571"/>
      <c r="CL130" s="3571"/>
      <c r="CM130" s="3571"/>
      <c r="CN130" s="3571"/>
      <c r="CO130" s="3571"/>
      <c r="CP130" s="3571"/>
      <c r="CQ130" s="3571"/>
      <c r="CR130" s="3581"/>
      <c r="CS130" s="3728"/>
      <c r="CT130" s="3728" t="str">
        <f>IF(T130="","",T130)</f>
        <v>Добавить источник для дифференциации</v>
      </c>
      <c r="CU130" s="3728"/>
      <c r="CV130" s="3728"/>
    </row>
    <row s="4909" customFormat="1" customHeight="1" ht="0.75">
      <c r="A131" s="4239"/>
      <c r="B131" s="4239"/>
      <c r="C131" s="4239"/>
      <c r="D131" s="4239"/>
      <c r="E131" s="3717"/>
      <c r="F131" s="3718" t="s">
        <v>116</v>
      </c>
      <c r="G131" s="4239"/>
      <c r="H131" s="4239"/>
      <c r="I131" s="4239"/>
      <c r="J131" s="4239"/>
      <c r="K131" s="4239"/>
      <c r="L131" s="4240"/>
      <c r="M131" s="4247"/>
      <c r="N131" s="4247"/>
      <c r="O131" s="3581"/>
      <c r="P131" s="4242"/>
      <c r="Q131" s="4243"/>
      <c r="R131" s="4242"/>
      <c r="S131" s="4248"/>
      <c r="T131" s="4249" t="s">
        <v>255</v>
      </c>
      <c r="U131" s="3572"/>
      <c r="V131" s="3572"/>
      <c r="W131" s="3572"/>
      <c r="X131" s="3572"/>
      <c r="Y131" s="3572"/>
      <c r="Z131" s="3572"/>
      <c r="AA131" s="3572"/>
      <c r="AB131" s="3572"/>
      <c r="AC131" s="3572"/>
      <c r="AD131" s="3572"/>
      <c r="AE131" s="3572"/>
      <c r="AF131" s="3572"/>
      <c r="AG131" s="3572"/>
      <c r="AH131" s="3572"/>
      <c r="AI131" s="3572"/>
      <c r="AJ131" s="3572"/>
      <c r="AK131" s="3572"/>
      <c r="AL131" s="3572"/>
      <c r="AM131" s="3572"/>
      <c r="AN131" s="3572"/>
      <c r="AO131" s="3572"/>
      <c r="AP131" s="3572"/>
      <c r="AQ131" s="3572"/>
      <c r="AR131" s="3572"/>
      <c r="AS131" s="3572"/>
      <c r="AT131" s="3572"/>
      <c r="AU131" s="3572"/>
      <c r="AV131" s="3572"/>
      <c r="AW131" s="3572"/>
      <c r="AX131" s="3572"/>
      <c r="AY131" s="3572"/>
      <c r="AZ131" s="3572"/>
      <c r="BA131" s="3572"/>
      <c r="BB131" s="3572"/>
      <c r="BC131" s="3572"/>
      <c r="BD131" s="3572"/>
      <c r="BE131" s="3572"/>
      <c r="BF131" s="3572"/>
      <c r="BG131" s="3572"/>
      <c r="BH131" s="3572"/>
      <c r="BI131" s="3572"/>
      <c r="BJ131" s="3572"/>
      <c r="BK131" s="3572"/>
      <c r="BL131" s="3572"/>
      <c r="BM131" s="3572"/>
      <c r="BN131" s="3572"/>
      <c r="BO131" s="3572"/>
      <c r="BP131" s="3572"/>
      <c r="BQ131" s="3572"/>
      <c r="BR131" s="3572"/>
      <c r="BS131" s="3572"/>
      <c r="BT131" s="3572"/>
      <c r="BU131" s="3572"/>
      <c r="BV131" s="3572"/>
      <c r="BW131" s="3572"/>
      <c r="BX131" s="3572"/>
      <c r="BY131" s="3572"/>
      <c r="BZ131" s="3572"/>
      <c r="CA131" s="3572"/>
      <c r="CB131" s="3572"/>
      <c r="CC131" s="3572"/>
      <c r="CD131" s="3572"/>
      <c r="CE131" s="3572"/>
      <c r="CF131" s="3572"/>
      <c r="CG131" s="3572"/>
      <c r="CH131" s="3572"/>
      <c r="CI131" s="3572"/>
      <c r="CJ131" s="3572"/>
      <c r="CK131" s="3572"/>
      <c r="CL131" s="3572"/>
      <c r="CM131" s="3572"/>
      <c r="CN131" s="3572"/>
      <c r="CO131" s="3572"/>
      <c r="CP131" s="3572"/>
      <c r="CQ131" s="3572"/>
      <c r="CR131" s="3581"/>
      <c r="CS131" s="3728"/>
      <c r="CT131" s="3728" t="str">
        <f>IF(T131="","",T131)</f>
        <v>Добавить централизованную систему для дифференциации</v>
      </c>
      <c r="CU131" s="3728"/>
      <c r="CV131" s="3728"/>
    </row>
    <row s="4910" customFormat="1" customHeight="1" ht="21">
      <c r="A132" s="3716"/>
      <c r="B132" s="3716" t="s">
        <v>272</v>
      </c>
      <c r="C132" s="3716"/>
      <c r="D132" s="3716"/>
      <c r="E132" s="3717"/>
      <c r="F132" s="3718" t="s">
        <v>94</v>
      </c>
      <c r="G132" s="3716"/>
      <c r="H132" s="3716"/>
      <c r="I132" s="3716"/>
      <c r="J132" s="3716"/>
      <c r="K132" s="3716"/>
      <c r="L132" s="3719"/>
      <c r="M132" s="3720"/>
      <c r="N132" s="3720"/>
      <c r="O132" s="3720"/>
      <c r="P132" s="4073"/>
      <c r="Q132" s="3722"/>
      <c r="R132" s="3723"/>
      <c r="S132" s="3724" t="str">
        <f>INDEX(PT_DIFFERENTIATION_NUM_TER,MATCH(B132,PT_DIFFERENTIATION_TER_ID,0))</f>
        <v>1.7</v>
      </c>
      <c r="T132" s="4074" t="s">
        <v>612</v>
      </c>
      <c r="U132" s="3726"/>
      <c r="V132" s="3432"/>
      <c r="W132" s="3433"/>
      <c r="X132" s="3433"/>
      <c r="Y132" s="3433"/>
      <c r="Z132" s="3433"/>
      <c r="AA132" s="3433"/>
      <c r="AB132" s="3433"/>
      <c r="AC132" s="3434"/>
      <c r="AD132" s="3432" t="str">
        <f>INDEX(PT_DIFFERENTIATION_TER,MATCH(B132,PT_DIFFERENTIATION_TER_ID,0))</f>
        <v>Территория 7</v>
      </c>
      <c r="AE132" s="3433"/>
      <c r="AF132" s="3433"/>
      <c r="AG132" s="3433"/>
      <c r="AH132" s="3433"/>
      <c r="AI132" s="3433"/>
      <c r="AJ132" s="3433"/>
      <c r="AK132" s="3433"/>
      <c r="AL132" s="3432"/>
      <c r="AM132" s="3433"/>
      <c r="AN132" s="3433"/>
      <c r="AO132" s="3433"/>
      <c r="AP132" s="3433"/>
      <c r="AQ132" s="3433"/>
      <c r="AR132" s="3433"/>
      <c r="AS132" s="3434"/>
      <c r="AT132" s="3432"/>
      <c r="AU132" s="3433"/>
      <c r="AV132" s="3433"/>
      <c r="AW132" s="3433"/>
      <c r="AX132" s="3433"/>
      <c r="AY132" s="3433"/>
      <c r="AZ132" s="3433"/>
      <c r="BA132" s="3434"/>
      <c r="BB132" s="3432"/>
      <c r="BC132" s="3433"/>
      <c r="BD132" s="3433"/>
      <c r="BE132" s="3433"/>
      <c r="BF132" s="3433"/>
      <c r="BG132" s="3433"/>
      <c r="BH132" s="3433"/>
      <c r="BI132" s="3434"/>
      <c r="BJ132" s="3432"/>
      <c r="BK132" s="3433"/>
      <c r="BL132" s="3433"/>
      <c r="BM132" s="3433"/>
      <c r="BN132" s="3433"/>
      <c r="BO132" s="3433"/>
      <c r="BP132" s="3433"/>
      <c r="BQ132" s="3434"/>
      <c r="BR132" s="3432"/>
      <c r="BS132" s="3433"/>
      <c r="BT132" s="3433"/>
      <c r="BU132" s="3433"/>
      <c r="BV132" s="3433"/>
      <c r="BW132" s="3433"/>
      <c r="BX132" s="3433"/>
      <c r="BY132" s="3434"/>
      <c r="BZ132" s="3432"/>
      <c r="CA132" s="3433"/>
      <c r="CB132" s="3433"/>
      <c r="CC132" s="3433"/>
      <c r="CD132" s="3433"/>
      <c r="CE132" s="3433"/>
      <c r="CF132" s="3433"/>
      <c r="CG132" s="3434"/>
      <c r="CH132" s="3432"/>
      <c r="CI132" s="3433"/>
      <c r="CJ132" s="3433"/>
      <c r="CK132" s="3433"/>
      <c r="CL132" s="3433"/>
      <c r="CM132" s="3433"/>
      <c r="CN132" s="3433"/>
      <c r="CO132" s="3434"/>
      <c r="CP132" s="3434"/>
      <c r="CQ132" s="3727" t="s">
        <v>613</v>
      </c>
      <c r="CR132" s="3581"/>
      <c r="CS132" s="3728"/>
      <c r="CT132" s="3728" t="str">
        <f>IF(T132="","",T132)</f>
        <v>Территория действия тарифа</v>
      </c>
      <c r="CU132" s="3728"/>
      <c r="CV132" s="3728"/>
    </row>
    <row s="4911" customFormat="1" customHeight="1" ht="23.25">
      <c r="A133" s="3716"/>
      <c r="B133" s="3716"/>
      <c r="C133" s="3716" t="s">
        <v>273</v>
      </c>
      <c r="D133" s="3716"/>
      <c r="E133" s="3717"/>
      <c r="F133" s="3717" t="s">
        <v>93</v>
      </c>
      <c r="G133" s="3718">
        <v>1</v>
      </c>
      <c r="H133" s="3716"/>
      <c r="I133" s="3716"/>
      <c r="J133" s="3716"/>
      <c r="K133" s="3716"/>
      <c r="L133" s="3719"/>
      <c r="M133" s="3720"/>
      <c r="N133" s="3720"/>
      <c r="O133" s="3720"/>
      <c r="P133" s="3721"/>
      <c r="Q133" s="3722"/>
      <c r="R133" s="3723"/>
      <c r="S133" s="3724" t="str">
        <f>INDEX(PT_DIFFERENTIATION_NUM_CS,MATCH(C133,PT_DIFFERENTIATION_CS_ID,0))</f>
        <v>1.7.1</v>
      </c>
      <c r="T133" s="4076" t="s">
        <v>614</v>
      </c>
      <c r="U133" s="3726"/>
      <c r="V133" s="3432"/>
      <c r="W133" s="3433"/>
      <c r="X133" s="3433"/>
      <c r="Y133" s="3433"/>
      <c r="Z133" s="3433"/>
      <c r="AA133" s="3433"/>
      <c r="AB133" s="3433"/>
      <c r="AC133" s="3434"/>
      <c r="AD133" s="3432" t="str">
        <f>INDEX(PT_DIFFERENTIATION_CS,MATCH(C133,PT_DIFFERENTIATION_CS_ID,0))</f>
        <v>без дифференциации</v>
      </c>
      <c r="AE133" s="3433"/>
      <c r="AF133" s="3433"/>
      <c r="AG133" s="3433"/>
      <c r="AH133" s="3433"/>
      <c r="AI133" s="3433"/>
      <c r="AJ133" s="3433"/>
      <c r="AK133" s="3433"/>
      <c r="AL133" s="3432"/>
      <c r="AM133" s="3433"/>
      <c r="AN133" s="3433"/>
      <c r="AO133" s="3433"/>
      <c r="AP133" s="3433"/>
      <c r="AQ133" s="3433"/>
      <c r="AR133" s="3433"/>
      <c r="AS133" s="3434"/>
      <c r="AT133" s="3432"/>
      <c r="AU133" s="3433"/>
      <c r="AV133" s="3433"/>
      <c r="AW133" s="3433"/>
      <c r="AX133" s="3433"/>
      <c r="AY133" s="3433"/>
      <c r="AZ133" s="3433"/>
      <c r="BA133" s="3434"/>
      <c r="BB133" s="3432"/>
      <c r="BC133" s="3433"/>
      <c r="BD133" s="3433"/>
      <c r="BE133" s="3433"/>
      <c r="BF133" s="3433"/>
      <c r="BG133" s="3433"/>
      <c r="BH133" s="3433"/>
      <c r="BI133" s="3434"/>
      <c r="BJ133" s="3432"/>
      <c r="BK133" s="3433"/>
      <c r="BL133" s="3433"/>
      <c r="BM133" s="3433"/>
      <c r="BN133" s="3433"/>
      <c r="BO133" s="3433"/>
      <c r="BP133" s="3433"/>
      <c r="BQ133" s="3434"/>
      <c r="BR133" s="3432"/>
      <c r="BS133" s="3433"/>
      <c r="BT133" s="3433"/>
      <c r="BU133" s="3433"/>
      <c r="BV133" s="3433"/>
      <c r="BW133" s="3433"/>
      <c r="BX133" s="3433"/>
      <c r="BY133" s="3434"/>
      <c r="BZ133" s="3432"/>
      <c r="CA133" s="3433"/>
      <c r="CB133" s="3433"/>
      <c r="CC133" s="3433"/>
      <c r="CD133" s="3433"/>
      <c r="CE133" s="3433"/>
      <c r="CF133" s="3433"/>
      <c r="CG133" s="3434"/>
      <c r="CH133" s="3432"/>
      <c r="CI133" s="3433"/>
      <c r="CJ133" s="3433"/>
      <c r="CK133" s="3433"/>
      <c r="CL133" s="3433"/>
      <c r="CM133" s="3433"/>
      <c r="CN133" s="3433"/>
      <c r="CO133" s="3434"/>
      <c r="CP133" s="3434"/>
      <c r="CQ133" s="3727" t="s">
        <v>615</v>
      </c>
      <c r="CR133" s="3581"/>
      <c r="CS133" s="3728"/>
      <c r="CT133" s="3728" t="str">
        <f>IF(T133="","",T133)</f>
        <v>Наименование системы теплоснабжения </v>
      </c>
      <c r="CU133" s="3728"/>
      <c r="CV133" s="3728"/>
    </row>
    <row s="4912" customFormat="1" customHeight="1" ht="21">
      <c r="A134" s="3716"/>
      <c r="B134" s="3716"/>
      <c r="C134" s="3716"/>
      <c r="D134" s="3716" t="s">
        <v>274</v>
      </c>
      <c r="E134" s="3717"/>
      <c r="F134" s="3717" t="s">
        <v>93</v>
      </c>
      <c r="G134" s="3717"/>
      <c r="H134" s="3718">
        <v>1</v>
      </c>
      <c r="I134" s="3716"/>
      <c r="J134" s="3716"/>
      <c r="K134" s="3716"/>
      <c r="L134" s="3719"/>
      <c r="M134" s="3720"/>
      <c r="N134" s="3720"/>
      <c r="O134" s="3720"/>
      <c r="P134" s="3721"/>
      <c r="Q134" s="3722"/>
      <c r="R134" s="3723"/>
      <c r="S134" s="3724" t="str">
        <f>INDEX(PT_DIFFERENTIATION_NUM_IST_TE,MATCH(D134,PT_DIFFERENTIATION_IST_TE_ID,0))</f>
        <v>1.7.1.1</v>
      </c>
      <c r="T134" s="3725" t="s">
        <v>616</v>
      </c>
      <c r="U134" s="3726"/>
      <c r="V134" s="3432"/>
      <c r="W134" s="3433"/>
      <c r="X134" s="3433"/>
      <c r="Y134" s="3433"/>
      <c r="Z134" s="3433"/>
      <c r="AA134" s="3433"/>
      <c r="AB134" s="3433"/>
      <c r="AC134" s="3434"/>
      <c r="AD134" s="3432" t="str">
        <f>INDEX(PT_DIFFERENTIATION_IST_TE,MATCH(D134,PT_DIFFERENTIATION_IST_TE_ID,0))</f>
        <v>без дифференциации</v>
      </c>
      <c r="AE134" s="3433"/>
      <c r="AF134" s="3433"/>
      <c r="AG134" s="3433"/>
      <c r="AH134" s="3433"/>
      <c r="AI134" s="3433"/>
      <c r="AJ134" s="3433"/>
      <c r="AK134" s="3433"/>
      <c r="AL134" s="3432"/>
      <c r="AM134" s="3433"/>
      <c r="AN134" s="3433"/>
      <c r="AO134" s="3433"/>
      <c r="AP134" s="3433"/>
      <c r="AQ134" s="3433"/>
      <c r="AR134" s="3433"/>
      <c r="AS134" s="3434"/>
      <c r="AT134" s="3432"/>
      <c r="AU134" s="3433"/>
      <c r="AV134" s="3433"/>
      <c r="AW134" s="3433"/>
      <c r="AX134" s="3433"/>
      <c r="AY134" s="3433"/>
      <c r="AZ134" s="3433"/>
      <c r="BA134" s="3434"/>
      <c r="BB134" s="3432"/>
      <c r="BC134" s="3433"/>
      <c r="BD134" s="3433"/>
      <c r="BE134" s="3433"/>
      <c r="BF134" s="3433"/>
      <c r="BG134" s="3433"/>
      <c r="BH134" s="3433"/>
      <c r="BI134" s="3434"/>
      <c r="BJ134" s="3432"/>
      <c r="BK134" s="3433"/>
      <c r="BL134" s="3433"/>
      <c r="BM134" s="3433"/>
      <c r="BN134" s="3433"/>
      <c r="BO134" s="3433"/>
      <c r="BP134" s="3433"/>
      <c r="BQ134" s="3434"/>
      <c r="BR134" s="3432"/>
      <c r="BS134" s="3433"/>
      <c r="BT134" s="3433"/>
      <c r="BU134" s="3433"/>
      <c r="BV134" s="3433"/>
      <c r="BW134" s="3433"/>
      <c r="BX134" s="3433"/>
      <c r="BY134" s="3434"/>
      <c r="BZ134" s="3432"/>
      <c r="CA134" s="3433"/>
      <c r="CB134" s="3433"/>
      <c r="CC134" s="3433"/>
      <c r="CD134" s="3433"/>
      <c r="CE134" s="3433"/>
      <c r="CF134" s="3433"/>
      <c r="CG134" s="3434"/>
      <c r="CH134" s="3432"/>
      <c r="CI134" s="3433"/>
      <c r="CJ134" s="3433"/>
      <c r="CK134" s="3433"/>
      <c r="CL134" s="3433"/>
      <c r="CM134" s="3433"/>
      <c r="CN134" s="3433"/>
      <c r="CO134" s="3434"/>
      <c r="CP134" s="3434"/>
      <c r="CQ134" s="3727" t="s">
        <v>617</v>
      </c>
      <c r="CR134" s="3581"/>
      <c r="CS134" s="3728"/>
      <c r="CT134" s="3728" t="str">
        <f>IF(T134="","",T134)</f>
        <v>Источник тепловой энергии  </v>
      </c>
      <c r="CU134" s="3728"/>
      <c r="CV134" s="3728"/>
    </row>
    <row s="4913" customFormat="1" customHeight="1" ht="14.25">
      <c r="A135" s="3716"/>
      <c r="B135" s="3716"/>
      <c r="C135" s="3716"/>
      <c r="D135" s="3716"/>
      <c r="E135" s="3717"/>
      <c r="F135" s="3717" t="s">
        <v>93</v>
      </c>
      <c r="G135" s="3717"/>
      <c r="H135" s="3717"/>
      <c r="I135" s="3730" t="str">
        <f>S134&amp;".1"</f>
        <v>1.7.1.1.1</v>
      </c>
      <c r="J135" s="3716"/>
      <c r="K135" s="3716"/>
      <c r="L135" s="3719" t="s">
        <v>618</v>
      </c>
      <c r="M135" s="3573"/>
      <c r="N135" s="3731"/>
      <c r="O135" s="3731"/>
      <c r="P135" s="3732">
        <v>1</v>
      </c>
      <c r="Q135" s="3732"/>
      <c r="R135" s="3733"/>
      <c r="S135" s="3734"/>
      <c r="T135" s="3735"/>
      <c r="U135" s="3736"/>
      <c r="V135" s="3441"/>
      <c r="W135" s="3442"/>
      <c r="X135" s="3442"/>
      <c r="Y135" s="3442"/>
      <c r="Z135" s="3442"/>
      <c r="AA135" s="3442"/>
      <c r="AB135" s="3442"/>
      <c r="AC135" s="3443"/>
      <c r="AD135" s="3441"/>
      <c r="AE135" s="3442"/>
      <c r="AF135" s="3442"/>
      <c r="AG135" s="3442"/>
      <c r="AH135" s="3442"/>
      <c r="AI135" s="3442"/>
      <c r="AJ135" s="3442"/>
      <c r="AK135" s="3442"/>
      <c r="AL135" s="3441"/>
      <c r="AM135" s="3442"/>
      <c r="AN135" s="3442"/>
      <c r="AO135" s="3442"/>
      <c r="AP135" s="3442"/>
      <c r="AQ135" s="3442"/>
      <c r="AR135" s="3442"/>
      <c r="AS135" s="3443"/>
      <c r="AT135" s="3441"/>
      <c r="AU135" s="3442"/>
      <c r="AV135" s="3442"/>
      <c r="AW135" s="3442"/>
      <c r="AX135" s="3442"/>
      <c r="AY135" s="3442"/>
      <c r="AZ135" s="3442"/>
      <c r="BA135" s="3443"/>
      <c r="BB135" s="3441"/>
      <c r="BC135" s="3442"/>
      <c r="BD135" s="3442"/>
      <c r="BE135" s="3442"/>
      <c r="BF135" s="3442"/>
      <c r="BG135" s="3442"/>
      <c r="BH135" s="3442"/>
      <c r="BI135" s="3443"/>
      <c r="BJ135" s="3441"/>
      <c r="BK135" s="3442"/>
      <c r="BL135" s="3442"/>
      <c r="BM135" s="3442"/>
      <c r="BN135" s="3442"/>
      <c r="BO135" s="3442"/>
      <c r="BP135" s="3442"/>
      <c r="BQ135" s="3443"/>
      <c r="BR135" s="3441"/>
      <c r="BS135" s="3442"/>
      <c r="BT135" s="3442"/>
      <c r="BU135" s="3442"/>
      <c r="BV135" s="3442"/>
      <c r="BW135" s="3442"/>
      <c r="BX135" s="3442"/>
      <c r="BY135" s="3443"/>
      <c r="BZ135" s="3441"/>
      <c r="CA135" s="3442"/>
      <c r="CB135" s="3442"/>
      <c r="CC135" s="3442"/>
      <c r="CD135" s="3442"/>
      <c r="CE135" s="3442"/>
      <c r="CF135" s="3442"/>
      <c r="CG135" s="3443"/>
      <c r="CH135" s="3441"/>
      <c r="CI135" s="3442"/>
      <c r="CJ135" s="3442"/>
      <c r="CK135" s="3442"/>
      <c r="CL135" s="3442"/>
      <c r="CM135" s="3442"/>
      <c r="CN135" s="3442"/>
      <c r="CO135" s="3443"/>
      <c r="CP135" s="3443"/>
      <c r="CQ135" s="3737"/>
      <c r="CR135" s="3581"/>
      <c r="CS135" s="3728"/>
      <c r="CT135" s="3728" t="str">
        <f>IF(T135="","",T135)</f>
        <v/>
      </c>
      <c r="CU135" s="3728"/>
      <c r="CV135" s="3728"/>
    </row>
    <row s="4914" customFormat="1" customHeight="1" ht="21">
      <c r="A136" s="3716"/>
      <c r="B136" s="3716"/>
      <c r="C136" s="3716"/>
      <c r="D136" s="3716"/>
      <c r="E136" s="3717"/>
      <c r="F136" s="3717" t="s">
        <v>93</v>
      </c>
      <c r="G136" s="3717"/>
      <c r="H136" s="3717"/>
      <c r="I136" s="3739"/>
      <c r="J136" s="3730" t="str">
        <f>I135&amp;".1"</f>
        <v>1.7.1.1.1.1</v>
      </c>
      <c r="K136" s="3716"/>
      <c r="L136" s="3719" t="s">
        <v>621</v>
      </c>
      <c r="M136" s="3573"/>
      <c r="N136" s="3573"/>
      <c r="O136" s="3731"/>
      <c r="P136" s="3732"/>
      <c r="Q136" s="3732">
        <v>1</v>
      </c>
      <c r="R136" s="3740"/>
      <c r="S136" s="3724" t="str">
        <f>$J136</f>
        <v>1.7.1.1.1.1</v>
      </c>
      <c r="T136" s="3741" t="s">
        <v>622</v>
      </c>
      <c r="U136" s="3726"/>
      <c r="V136" s="3445"/>
      <c r="W136" s="3446"/>
      <c r="X136" s="3446"/>
      <c r="Y136" s="3446"/>
      <c r="Z136" s="3446"/>
      <c r="AA136" s="3446"/>
      <c r="AB136" s="3446"/>
      <c r="AC136" s="3447"/>
      <c r="AD136" s="3445" t="s">
        <v>662</v>
      </c>
      <c r="AE136" s="3446"/>
      <c r="AF136" s="3446"/>
      <c r="AG136" s="3446"/>
      <c r="AH136" s="3446"/>
      <c r="AI136" s="3446"/>
      <c r="AJ136" s="3446"/>
      <c r="AK136" s="3446"/>
      <c r="AL136" s="3445"/>
      <c r="AM136" s="3446"/>
      <c r="AN136" s="3446"/>
      <c r="AO136" s="3446"/>
      <c r="AP136" s="3446"/>
      <c r="AQ136" s="3446"/>
      <c r="AR136" s="3446"/>
      <c r="AS136" s="3447"/>
      <c r="AT136" s="3445"/>
      <c r="AU136" s="3446"/>
      <c r="AV136" s="3446"/>
      <c r="AW136" s="3446"/>
      <c r="AX136" s="3446"/>
      <c r="AY136" s="3446"/>
      <c r="AZ136" s="3446"/>
      <c r="BA136" s="3447"/>
      <c r="BB136" s="3445"/>
      <c r="BC136" s="3446"/>
      <c r="BD136" s="3446"/>
      <c r="BE136" s="3446"/>
      <c r="BF136" s="3446"/>
      <c r="BG136" s="3446"/>
      <c r="BH136" s="3446"/>
      <c r="BI136" s="3447"/>
      <c r="BJ136" s="3445"/>
      <c r="BK136" s="3446"/>
      <c r="BL136" s="3446"/>
      <c r="BM136" s="3446"/>
      <c r="BN136" s="3446"/>
      <c r="BO136" s="3446"/>
      <c r="BP136" s="3446"/>
      <c r="BQ136" s="3447"/>
      <c r="BR136" s="3445"/>
      <c r="BS136" s="3446"/>
      <c r="BT136" s="3446"/>
      <c r="BU136" s="3446"/>
      <c r="BV136" s="3446"/>
      <c r="BW136" s="3446"/>
      <c r="BX136" s="3446"/>
      <c r="BY136" s="3447"/>
      <c r="BZ136" s="3445"/>
      <c r="CA136" s="3446"/>
      <c r="CB136" s="3446"/>
      <c r="CC136" s="3446"/>
      <c r="CD136" s="3446"/>
      <c r="CE136" s="3446"/>
      <c r="CF136" s="3446"/>
      <c r="CG136" s="3447"/>
      <c r="CH136" s="3445"/>
      <c r="CI136" s="3446"/>
      <c r="CJ136" s="3446"/>
      <c r="CK136" s="3446"/>
      <c r="CL136" s="3446"/>
      <c r="CM136" s="3446"/>
      <c r="CN136" s="3446"/>
      <c r="CO136" s="3447"/>
      <c r="CP136" s="3447"/>
      <c r="CQ136" s="3727" t="s">
        <v>623</v>
      </c>
      <c r="CR136" s="3581"/>
      <c r="CS136" s="3728"/>
      <c r="CT136" s="3728" t="str">
        <f>IF(T136="","",T136)</f>
        <v>Группа потребителей</v>
      </c>
      <c r="CU136" s="3728"/>
      <c r="CV136" s="3728"/>
    </row>
    <row s="4915" customFormat="1" customHeight="1" ht="21">
      <c r="A137" s="3716"/>
      <c r="B137" s="3716"/>
      <c r="C137" s="3716"/>
      <c r="D137" s="3716"/>
      <c r="E137" s="3717"/>
      <c r="F137" s="3717" t="s">
        <v>93</v>
      </c>
      <c r="G137" s="3717"/>
      <c r="H137" s="3717"/>
      <c r="I137" s="3739"/>
      <c r="J137" s="3739"/>
      <c r="K137" s="3730" t="str">
        <f>J136&amp;".1"</f>
        <v>1.7.1.1.1.1.1</v>
      </c>
      <c r="L137" s="3719" t="s">
        <v>624</v>
      </c>
      <c r="M137" s="3573"/>
      <c r="N137" s="3573"/>
      <c r="O137" s="3573"/>
      <c r="P137" s="3732"/>
      <c r="Q137" s="3732"/>
      <c r="R137" s="3740">
        <v>1</v>
      </c>
      <c r="S137" s="3724" t="str">
        <f>$K137</f>
        <v>1.7.1.1.1.1.1</v>
      </c>
      <c r="T137" s="3743" t="s">
        <v>663</v>
      </c>
      <c r="U137" s="3726"/>
      <c r="V137" s="3448"/>
      <c r="W137" s="3449"/>
      <c r="X137" s="3448"/>
      <c r="Y137" s="3450"/>
      <c r="Z137" s="3451"/>
      <c r="AA137" s="2872" t="s">
        <v>63</v>
      </c>
      <c r="AB137" s="3451"/>
      <c r="AC137" s="2872" t="s">
        <v>63</v>
      </c>
      <c r="AD137" s="3448">
        <v>28.44</v>
      </c>
      <c r="AE137" s="3449"/>
      <c r="AF137" s="3448"/>
      <c r="AG137" s="3450"/>
      <c r="AH137" s="3451">
        <v>44197</v>
      </c>
      <c r="AI137" s="2872" t="s">
        <v>63</v>
      </c>
      <c r="AJ137" s="3451">
        <v>44377</v>
      </c>
      <c r="AK137" s="2872" t="s">
        <v>63</v>
      </c>
      <c r="AL137" s="3448">
        <v>29.6</v>
      </c>
      <c r="AM137" s="3449"/>
      <c r="AN137" s="3448"/>
      <c r="AO137" s="3450"/>
      <c r="AP137" s="3451">
        <v>44378</v>
      </c>
      <c r="AQ137" s="2872" t="s">
        <v>63</v>
      </c>
      <c r="AR137" s="3451">
        <v>44561</v>
      </c>
      <c r="AS137" s="2872" t="s">
        <v>63</v>
      </c>
      <c r="AT137" s="3448">
        <v>29.6</v>
      </c>
      <c r="AU137" s="3449"/>
      <c r="AV137" s="3448"/>
      <c r="AW137" s="3450"/>
      <c r="AX137" s="3451">
        <v>44562</v>
      </c>
      <c r="AY137" s="2872" t="s">
        <v>63</v>
      </c>
      <c r="AZ137" s="3451">
        <v>44601</v>
      </c>
      <c r="BA137" s="2872" t="s">
        <v>63</v>
      </c>
      <c r="BB137" s="3448">
        <v>29.6</v>
      </c>
      <c r="BC137" s="3449"/>
      <c r="BD137" s="3448"/>
      <c r="BE137" s="3450"/>
      <c r="BF137" s="3451">
        <v>44602</v>
      </c>
      <c r="BG137" s="2872" t="s">
        <v>63</v>
      </c>
      <c r="BH137" s="3451">
        <v>44742</v>
      </c>
      <c r="BI137" s="2872" t="s">
        <v>63</v>
      </c>
      <c r="BJ137" s="3448">
        <v>35.98</v>
      </c>
      <c r="BK137" s="3449"/>
      <c r="BL137" s="3448"/>
      <c r="BM137" s="3450"/>
      <c r="BN137" s="3451">
        <v>44743</v>
      </c>
      <c r="BO137" s="2872" t="s">
        <v>63</v>
      </c>
      <c r="BP137" s="3451">
        <v>44804</v>
      </c>
      <c r="BQ137" s="2872" t="s">
        <v>63</v>
      </c>
      <c r="BR137" s="3448">
        <v>35.98</v>
      </c>
      <c r="BS137" s="3449"/>
      <c r="BT137" s="3448"/>
      <c r="BU137" s="3450"/>
      <c r="BV137" s="3451">
        <v>44805</v>
      </c>
      <c r="BW137" s="2872" t="s">
        <v>63</v>
      </c>
      <c r="BX137" s="3451">
        <v>44895</v>
      </c>
      <c r="BY137" s="2872" t="s">
        <v>63</v>
      </c>
      <c r="BZ137" s="3448">
        <v>35.07</v>
      </c>
      <c r="CA137" s="3449"/>
      <c r="CB137" s="3448"/>
      <c r="CC137" s="3450"/>
      <c r="CD137" s="3451">
        <v>44896</v>
      </c>
      <c r="CE137" s="2872" t="s">
        <v>63</v>
      </c>
      <c r="CF137" s="3451">
        <v>45174</v>
      </c>
      <c r="CG137" s="2872" t="s">
        <v>63</v>
      </c>
      <c r="CH137" s="3448">
        <v>35.07</v>
      </c>
      <c r="CI137" s="3449"/>
      <c r="CJ137" s="3448"/>
      <c r="CK137" s="3450"/>
      <c r="CL137" s="3451">
        <v>45175</v>
      </c>
      <c r="CM137" s="2872" t="s">
        <v>63</v>
      </c>
      <c r="CN137" s="3451">
        <v>45291</v>
      </c>
      <c r="CO137" s="2872" t="s">
        <v>63</v>
      </c>
      <c r="CP137" s="3449"/>
      <c r="CQ137" s="3744" t="s">
        <v>625</v>
      </c>
      <c r="CR137" s="3581">
        <f>STRCHECKDATE(V138:CP138)</f>
      </c>
      <c r="CS137" s="3728"/>
      <c r="CT137" s="3728" t="str">
        <f>IF(T137="","",T137)</f>
        <v>вода</v>
      </c>
      <c r="CU137" s="3728"/>
      <c r="CV137" s="3728"/>
    </row>
    <row s="4916" customFormat="1" customHeight="1" ht="0.75">
      <c r="A138" s="3716"/>
      <c r="B138" s="3716"/>
      <c r="C138" s="3716"/>
      <c r="D138" s="3716"/>
      <c r="E138" s="3717"/>
      <c r="F138" s="3717" t="s">
        <v>93</v>
      </c>
      <c r="G138" s="3717"/>
      <c r="H138" s="3717"/>
      <c r="I138" s="3739"/>
      <c r="J138" s="3739"/>
      <c r="K138" s="3730"/>
      <c r="L138" s="3719"/>
      <c r="M138" s="3573"/>
      <c r="N138" s="3573"/>
      <c r="O138" s="3573"/>
      <c r="P138" s="3732"/>
      <c r="Q138" s="3732"/>
      <c r="R138" s="3740"/>
      <c r="S138" s="3746"/>
      <c r="T138" s="3726"/>
      <c r="U138" s="3726"/>
      <c r="V138" s="3449"/>
      <c r="W138" s="3449"/>
      <c r="X138" s="3449"/>
      <c r="Y138" s="3452" t="str">
        <f>Z137&amp;"-"&amp;AB137</f>
        <v>-</v>
      </c>
      <c r="Z138" s="3453"/>
      <c r="AA138" s="2872"/>
      <c r="AB138" s="3453"/>
      <c r="AC138" s="2872"/>
      <c r="AD138" s="3449"/>
      <c r="AE138" s="3449"/>
      <c r="AF138" s="3449"/>
      <c r="AG138" s="3452" t="str">
        <f>AH137&amp;"-"&amp;AJ137</f>
        <v>44197-44377</v>
      </c>
      <c r="AH138" s="3453"/>
      <c r="AI138" s="2872"/>
      <c r="AJ138" s="3453"/>
      <c r="AK138" s="2872"/>
      <c r="AL138" s="3449"/>
      <c r="AM138" s="3449"/>
      <c r="AN138" s="3449"/>
      <c r="AO138" s="3452" t="str">
        <f>AP137&amp;"-"&amp;AR137</f>
        <v>44378-44561</v>
      </c>
      <c r="AP138" s="3453"/>
      <c r="AQ138" s="2872"/>
      <c r="AR138" s="3453"/>
      <c r="AS138" s="2872"/>
      <c r="AT138" s="3449"/>
      <c r="AU138" s="3449"/>
      <c r="AV138" s="3449"/>
      <c r="AW138" s="3452" t="str">
        <f>AX137&amp;"-"&amp;AZ137</f>
        <v>44562-44601</v>
      </c>
      <c r="AX138" s="3453"/>
      <c r="AY138" s="2872"/>
      <c r="AZ138" s="3453"/>
      <c r="BA138" s="2872"/>
      <c r="BB138" s="3449"/>
      <c r="BC138" s="3449"/>
      <c r="BD138" s="3449"/>
      <c r="BE138" s="3452" t="str">
        <f>BF137&amp;"-"&amp;BH137</f>
        <v>44602-44742</v>
      </c>
      <c r="BF138" s="3453"/>
      <c r="BG138" s="2872"/>
      <c r="BH138" s="3453"/>
      <c r="BI138" s="2872"/>
      <c r="BJ138" s="3449"/>
      <c r="BK138" s="3449"/>
      <c r="BL138" s="3449"/>
      <c r="BM138" s="3452" t="str">
        <f>BN137&amp;"-"&amp;BP137</f>
        <v>44743-44804</v>
      </c>
      <c r="BN138" s="3453"/>
      <c r="BO138" s="2872"/>
      <c r="BP138" s="3453"/>
      <c r="BQ138" s="2872"/>
      <c r="BR138" s="3449"/>
      <c r="BS138" s="3449"/>
      <c r="BT138" s="3449"/>
      <c r="BU138" s="3452" t="str">
        <f>BV137&amp;"-"&amp;BX137</f>
        <v>44805-44895</v>
      </c>
      <c r="BV138" s="3453"/>
      <c r="BW138" s="2872"/>
      <c r="BX138" s="3453"/>
      <c r="BY138" s="2872"/>
      <c r="BZ138" s="3449"/>
      <c r="CA138" s="3449"/>
      <c r="CB138" s="3449"/>
      <c r="CC138" s="3452" t="str">
        <f>CD137&amp;"-"&amp;CF137</f>
        <v>44896-45174</v>
      </c>
      <c r="CD138" s="3453"/>
      <c r="CE138" s="2872"/>
      <c r="CF138" s="3453"/>
      <c r="CG138" s="2872"/>
      <c r="CH138" s="3449"/>
      <c r="CI138" s="3449"/>
      <c r="CJ138" s="3449"/>
      <c r="CK138" s="3452" t="str">
        <f>CL137&amp;"-"&amp;CN137</f>
        <v>45175-45291</v>
      </c>
      <c r="CL138" s="3453"/>
      <c r="CM138" s="2872"/>
      <c r="CN138" s="3453"/>
      <c r="CO138" s="2872"/>
      <c r="CP138" s="3449"/>
      <c r="CQ138" s="3747"/>
      <c r="CR138" s="3581"/>
      <c r="CS138" s="3728"/>
      <c r="CT138" s="3728" t="str">
        <f>IF(T138="","",T138)</f>
        <v/>
      </c>
      <c r="CU138" s="3728"/>
      <c r="CV138" s="3728"/>
    </row>
    <row s="4917" customFormat="1" customHeight="1" ht="15">
      <c r="A139" s="3716"/>
      <c r="B139" s="3716"/>
      <c r="C139" s="3716"/>
      <c r="D139" s="3716"/>
      <c r="E139" s="3717"/>
      <c r="F139" s="3717" t="s">
        <v>93</v>
      </c>
      <c r="G139" s="3717"/>
      <c r="H139" s="3717"/>
      <c r="I139" s="3739"/>
      <c r="J139" s="3730"/>
      <c r="K139" s="3716"/>
      <c r="L139" s="3719"/>
      <c r="M139" s="3573"/>
      <c r="N139" s="3573"/>
      <c r="O139" s="3731"/>
      <c r="P139" s="3732"/>
      <c r="Q139" s="3732"/>
      <c r="R139" s="3733"/>
      <c r="S139" s="4918"/>
      <c r="T139" s="4919" t="s">
        <v>626</v>
      </c>
      <c r="U139" s="4920"/>
      <c r="V139" s="4921"/>
      <c r="W139" s="4922"/>
      <c r="X139" s="4923"/>
      <c r="Y139" s="4924"/>
      <c r="Z139" s="4925"/>
      <c r="AA139" s="4926"/>
      <c r="AB139" s="4927"/>
      <c r="AC139" s="4928"/>
      <c r="AD139" s="4929"/>
      <c r="AE139" s="4930"/>
      <c r="AF139" s="4931"/>
      <c r="AG139" s="4932"/>
      <c r="AH139" s="4933"/>
      <c r="AI139" s="4934"/>
      <c r="AJ139" s="4935"/>
      <c r="AK139" s="4936"/>
      <c r="AL139" s="4937"/>
      <c r="AM139" s="4938"/>
      <c r="AN139" s="4939"/>
      <c r="AO139" s="4940"/>
      <c r="AP139" s="4941"/>
      <c r="AQ139" s="4942"/>
      <c r="AR139" s="4943"/>
      <c r="AS139" s="4944"/>
      <c r="AT139" s="4945"/>
      <c r="AU139" s="4946"/>
      <c r="AV139" s="4947"/>
      <c r="AW139" s="4948"/>
      <c r="AX139" s="4949"/>
      <c r="AY139" s="4950"/>
      <c r="AZ139" s="4951"/>
      <c r="BA139" s="4952"/>
      <c r="BB139" s="4953"/>
      <c r="BC139" s="4954"/>
      <c r="BD139" s="4955"/>
      <c r="BE139" s="4956"/>
      <c r="BF139" s="4957"/>
      <c r="BG139" s="4958"/>
      <c r="BH139" s="4959"/>
      <c r="BI139" s="4960"/>
      <c r="BJ139" s="4961"/>
      <c r="BK139" s="4962"/>
      <c r="BL139" s="4963"/>
      <c r="BM139" s="4964"/>
      <c r="BN139" s="4965"/>
      <c r="BO139" s="4966"/>
      <c r="BP139" s="4967"/>
      <c r="BQ139" s="4968"/>
      <c r="BR139" s="4969"/>
      <c r="BS139" s="4970"/>
      <c r="BT139" s="4971"/>
      <c r="BU139" s="4972"/>
      <c r="BV139" s="4973"/>
      <c r="BW139" s="4974"/>
      <c r="BX139" s="4975"/>
      <c r="BY139" s="4976"/>
      <c r="BZ139" s="4977"/>
      <c r="CA139" s="4978"/>
      <c r="CB139" s="4979"/>
      <c r="CC139" s="4980"/>
      <c r="CD139" s="4981"/>
      <c r="CE139" s="4982"/>
      <c r="CF139" s="4983"/>
      <c r="CG139" s="4984"/>
      <c r="CH139" s="4985"/>
      <c r="CI139" s="4986"/>
      <c r="CJ139" s="4987"/>
      <c r="CK139" s="4988"/>
      <c r="CL139" s="4989"/>
      <c r="CM139" s="4990"/>
      <c r="CN139" s="4991"/>
      <c r="CO139" s="4992"/>
      <c r="CP139" s="4993"/>
      <c r="CQ139" s="3825"/>
      <c r="CR139" s="3581"/>
      <c r="CS139" s="3728"/>
      <c r="CT139" s="3728" t="str">
        <f>IF(T139="","",T139)</f>
        <v>Добавить вид теплоносителя (параметры теплоносителя)</v>
      </c>
      <c r="CU139" s="3728"/>
      <c r="CV139" s="3728"/>
    </row>
    <row s="4994" customFormat="1" customHeight="1" ht="15">
      <c r="A140" s="3716"/>
      <c r="B140" s="3716"/>
      <c r="C140" s="3716"/>
      <c r="D140" s="3716"/>
      <c r="E140" s="3717"/>
      <c r="F140" s="3717" t="s">
        <v>93</v>
      </c>
      <c r="G140" s="3717"/>
      <c r="H140" s="3717"/>
      <c r="I140" s="3730"/>
      <c r="J140" s="3716"/>
      <c r="K140" s="3716"/>
      <c r="L140" s="3719"/>
      <c r="M140" s="3573"/>
      <c r="N140" s="3731"/>
      <c r="O140" s="3731"/>
      <c r="P140" s="3732"/>
      <c r="Q140" s="3732"/>
      <c r="R140" s="3733"/>
      <c r="S140" s="4995"/>
      <c r="T140" s="4996" t="s">
        <v>627</v>
      </c>
      <c r="U140" s="4997"/>
      <c r="V140" s="4998"/>
      <c r="W140" s="4999"/>
      <c r="X140" s="5000"/>
      <c r="Y140" s="5001"/>
      <c r="Z140" s="5002"/>
      <c r="AA140" s="5003"/>
      <c r="AB140" s="5004"/>
      <c r="AC140" s="5005"/>
      <c r="AD140" s="5006"/>
      <c r="AE140" s="5007"/>
      <c r="AF140" s="5008"/>
      <c r="AG140" s="5009"/>
      <c r="AH140" s="5010"/>
      <c r="AI140" s="5011"/>
      <c r="AJ140" s="5012"/>
      <c r="AK140" s="5013"/>
      <c r="AL140" s="5014"/>
      <c r="AM140" s="5015"/>
      <c r="AN140" s="5016"/>
      <c r="AO140" s="5017"/>
      <c r="AP140" s="5018"/>
      <c r="AQ140" s="5019"/>
      <c r="AR140" s="5020"/>
      <c r="AS140" s="5021"/>
      <c r="AT140" s="5022"/>
      <c r="AU140" s="5023"/>
      <c r="AV140" s="5024"/>
      <c r="AW140" s="5025"/>
      <c r="AX140" s="5026"/>
      <c r="AY140" s="5027"/>
      <c r="AZ140" s="5028"/>
      <c r="BA140" s="5029"/>
      <c r="BB140" s="5030"/>
      <c r="BC140" s="5031"/>
      <c r="BD140" s="5032"/>
      <c r="BE140" s="5033"/>
      <c r="BF140" s="5034"/>
      <c r="BG140" s="5035"/>
      <c r="BH140" s="5036"/>
      <c r="BI140" s="5037"/>
      <c r="BJ140" s="5038"/>
      <c r="BK140" s="5039"/>
      <c r="BL140" s="5040"/>
      <c r="BM140" s="5041"/>
      <c r="BN140" s="5042"/>
      <c r="BO140" s="5043"/>
      <c r="BP140" s="5044"/>
      <c r="BQ140" s="5045"/>
      <c r="BR140" s="5046"/>
      <c r="BS140" s="5047"/>
      <c r="BT140" s="5048"/>
      <c r="BU140" s="5049"/>
      <c r="BV140" s="5050"/>
      <c r="BW140" s="5051"/>
      <c r="BX140" s="5052"/>
      <c r="BY140" s="5053"/>
      <c r="BZ140" s="5054"/>
      <c r="CA140" s="5055"/>
      <c r="CB140" s="5056"/>
      <c r="CC140" s="5057"/>
      <c r="CD140" s="5058"/>
      <c r="CE140" s="5059"/>
      <c r="CF140" s="5060"/>
      <c r="CG140" s="5061"/>
      <c r="CH140" s="5062"/>
      <c r="CI140" s="5063"/>
      <c r="CJ140" s="5064"/>
      <c r="CK140" s="5065"/>
      <c r="CL140" s="5066"/>
      <c r="CM140" s="5067"/>
      <c r="CN140" s="5068"/>
      <c r="CO140" s="5069"/>
      <c r="CP140" s="5070"/>
      <c r="CQ140" s="5071"/>
      <c r="CR140" s="3581"/>
      <c r="CS140" s="3728"/>
      <c r="CT140" s="3728" t="str">
        <f>IF(T140="","",T140)</f>
        <v>Добавить группу потребителей</v>
      </c>
      <c r="CU140" s="3728"/>
      <c r="CV140" s="3728"/>
    </row>
    <row s="5072" customFormat="1" customHeight="1" ht="14.25">
      <c r="A141" s="3716"/>
      <c r="B141" s="3716"/>
      <c r="C141" s="3716"/>
      <c r="D141" s="3716"/>
      <c r="E141" s="3717"/>
      <c r="F141" s="3717" t="s">
        <v>93</v>
      </c>
      <c r="G141" s="3717"/>
      <c r="H141" s="3718"/>
      <c r="I141" s="3716"/>
      <c r="J141" s="3716"/>
      <c r="K141" s="3716"/>
      <c r="L141" s="3719"/>
      <c r="M141" s="3720"/>
      <c r="N141" s="3720"/>
      <c r="O141" s="3573"/>
      <c r="P141" s="3905"/>
      <c r="Q141" s="3906"/>
      <c r="R141" s="3907"/>
      <c r="S141" s="3908"/>
      <c r="T141" s="3909"/>
      <c r="U141" s="3569"/>
      <c r="V141" s="3569"/>
      <c r="W141" s="3569"/>
      <c r="X141" s="3569"/>
      <c r="Y141" s="3569"/>
      <c r="Z141" s="3569"/>
      <c r="AA141" s="3569"/>
      <c r="AB141" s="3569"/>
      <c r="AC141" s="3569"/>
      <c r="AD141" s="3569"/>
      <c r="AE141" s="3569"/>
      <c r="AF141" s="3569"/>
      <c r="AG141" s="3569"/>
      <c r="AH141" s="3569"/>
      <c r="AI141" s="3569"/>
      <c r="AJ141" s="3569"/>
      <c r="AK141" s="3569"/>
      <c r="AL141" s="3569"/>
      <c r="AM141" s="3569"/>
      <c r="AN141" s="3569"/>
      <c r="AO141" s="3569"/>
      <c r="AP141" s="3569"/>
      <c r="AQ141" s="3569"/>
      <c r="AR141" s="3569"/>
      <c r="AS141" s="3569"/>
      <c r="AT141" s="3569"/>
      <c r="AU141" s="3569"/>
      <c r="AV141" s="3569"/>
      <c r="AW141" s="3569"/>
      <c r="AX141" s="3569"/>
      <c r="AY141" s="3569"/>
      <c r="AZ141" s="3569"/>
      <c r="BA141" s="3569"/>
      <c r="BB141" s="3569"/>
      <c r="BC141" s="3569"/>
      <c r="BD141" s="3569"/>
      <c r="BE141" s="3569"/>
      <c r="BF141" s="3569"/>
      <c r="BG141" s="3569"/>
      <c r="BH141" s="3569"/>
      <c r="BI141" s="3569"/>
      <c r="BJ141" s="3569"/>
      <c r="BK141" s="3569"/>
      <c r="BL141" s="3569"/>
      <c r="BM141" s="3569"/>
      <c r="BN141" s="3569"/>
      <c r="BO141" s="3569"/>
      <c r="BP141" s="3569"/>
      <c r="BQ141" s="3569"/>
      <c r="BR141" s="3569"/>
      <c r="BS141" s="3569"/>
      <c r="BT141" s="3569"/>
      <c r="BU141" s="3569"/>
      <c r="BV141" s="3569"/>
      <c r="BW141" s="3569"/>
      <c r="BX141" s="3569"/>
      <c r="BY141" s="3569"/>
      <c r="BZ141" s="3569"/>
      <c r="CA141" s="3569"/>
      <c r="CB141" s="3569"/>
      <c r="CC141" s="3569"/>
      <c r="CD141" s="3569"/>
      <c r="CE141" s="3569"/>
      <c r="CF141" s="3569"/>
      <c r="CG141" s="3569"/>
      <c r="CH141" s="3569"/>
      <c r="CI141" s="3569"/>
      <c r="CJ141" s="3569"/>
      <c r="CK141" s="3569"/>
      <c r="CL141" s="3569"/>
      <c r="CM141" s="3569"/>
      <c r="CN141" s="3569"/>
      <c r="CO141" s="3569"/>
      <c r="CP141" s="3569"/>
      <c r="CQ141" s="3910"/>
      <c r="CR141" s="3581"/>
      <c r="CS141" s="3728"/>
      <c r="CT141" s="3728" t="str">
        <f>IF(T141="","",T141)</f>
        <v/>
      </c>
      <c r="CU141" s="3728"/>
      <c r="CV141" s="3728"/>
    </row>
    <row s="5073" customFormat="1" customHeight="1" ht="0.75">
      <c r="A142" s="4239"/>
      <c r="B142" s="4239"/>
      <c r="C142" s="4239"/>
      <c r="D142" s="4239"/>
      <c r="E142" s="3717"/>
      <c r="F142" s="3717" t="s">
        <v>93</v>
      </c>
      <c r="G142" s="3718"/>
      <c r="H142" s="4239"/>
      <c r="I142" s="4239"/>
      <c r="J142" s="4239"/>
      <c r="K142" s="4239"/>
      <c r="L142" s="4240"/>
      <c r="M142" s="4241"/>
      <c r="N142" s="4241"/>
      <c r="O142" s="3581"/>
      <c r="P142" s="4242"/>
      <c r="Q142" s="4243"/>
      <c r="R142" s="4242"/>
      <c r="S142" s="4244"/>
      <c r="T142" s="4245" t="s">
        <v>254</v>
      </c>
      <c r="U142" s="3571"/>
      <c r="V142" s="3571"/>
      <c r="W142" s="3571"/>
      <c r="X142" s="3571"/>
      <c r="Y142" s="3571"/>
      <c r="Z142" s="3571"/>
      <c r="AA142" s="3571"/>
      <c r="AB142" s="3571"/>
      <c r="AC142" s="3571"/>
      <c r="AD142" s="3571"/>
      <c r="AE142" s="3571"/>
      <c r="AF142" s="3571"/>
      <c r="AG142" s="3571"/>
      <c r="AH142" s="3571"/>
      <c r="AI142" s="3571"/>
      <c r="AJ142" s="3571"/>
      <c r="AK142" s="3571"/>
      <c r="AL142" s="3571"/>
      <c r="AM142" s="3571"/>
      <c r="AN142" s="3571"/>
      <c r="AO142" s="3571"/>
      <c r="AP142" s="3571"/>
      <c r="AQ142" s="3571"/>
      <c r="AR142" s="3571"/>
      <c r="AS142" s="3571"/>
      <c r="AT142" s="3571"/>
      <c r="AU142" s="3571"/>
      <c r="AV142" s="3571"/>
      <c r="AW142" s="3571"/>
      <c r="AX142" s="3571"/>
      <c r="AY142" s="3571"/>
      <c r="AZ142" s="3571"/>
      <c r="BA142" s="3571"/>
      <c r="BB142" s="3571"/>
      <c r="BC142" s="3571"/>
      <c r="BD142" s="3571"/>
      <c r="BE142" s="3571"/>
      <c r="BF142" s="3571"/>
      <c r="BG142" s="3571"/>
      <c r="BH142" s="3571"/>
      <c r="BI142" s="3571"/>
      <c r="BJ142" s="3571"/>
      <c r="BK142" s="3571"/>
      <c r="BL142" s="3571"/>
      <c r="BM142" s="3571"/>
      <c r="BN142" s="3571"/>
      <c r="BO142" s="3571"/>
      <c r="BP142" s="3571"/>
      <c r="BQ142" s="3571"/>
      <c r="BR142" s="3571"/>
      <c r="BS142" s="3571"/>
      <c r="BT142" s="3571"/>
      <c r="BU142" s="3571"/>
      <c r="BV142" s="3571"/>
      <c r="BW142" s="3571"/>
      <c r="BX142" s="3571"/>
      <c r="BY142" s="3571"/>
      <c r="BZ142" s="3571"/>
      <c r="CA142" s="3571"/>
      <c r="CB142" s="3571"/>
      <c r="CC142" s="3571"/>
      <c r="CD142" s="3571"/>
      <c r="CE142" s="3571"/>
      <c r="CF142" s="3571"/>
      <c r="CG142" s="3571"/>
      <c r="CH142" s="3571"/>
      <c r="CI142" s="3571"/>
      <c r="CJ142" s="3571"/>
      <c r="CK142" s="3571"/>
      <c r="CL142" s="3571"/>
      <c r="CM142" s="3571"/>
      <c r="CN142" s="3571"/>
      <c r="CO142" s="3571"/>
      <c r="CP142" s="3571"/>
      <c r="CQ142" s="3571"/>
      <c r="CR142" s="3581"/>
      <c r="CS142" s="3728"/>
      <c r="CT142" s="3728" t="str">
        <f>IF(T142="","",T142)</f>
        <v>Добавить источник для дифференциации</v>
      </c>
      <c r="CU142" s="3728"/>
      <c r="CV142" s="3728"/>
    </row>
    <row s="5074" customFormat="1" customHeight="1" ht="0.75">
      <c r="A143" s="4239"/>
      <c r="B143" s="4239"/>
      <c r="C143" s="4239"/>
      <c r="D143" s="4239"/>
      <c r="E143" s="3717"/>
      <c r="F143" s="3718" t="s">
        <v>93</v>
      </c>
      <c r="G143" s="4239"/>
      <c r="H143" s="4239"/>
      <c r="I143" s="4239"/>
      <c r="J143" s="4239"/>
      <c r="K143" s="4239"/>
      <c r="L143" s="4240"/>
      <c r="M143" s="4247"/>
      <c r="N143" s="4247"/>
      <c r="O143" s="3581"/>
      <c r="P143" s="4242"/>
      <c r="Q143" s="4243"/>
      <c r="R143" s="4242"/>
      <c r="S143" s="4248"/>
      <c r="T143" s="4249" t="s">
        <v>255</v>
      </c>
      <c r="U143" s="3572"/>
      <c r="V143" s="3572"/>
      <c r="W143" s="3572"/>
      <c r="X143" s="3572"/>
      <c r="Y143" s="3572"/>
      <c r="Z143" s="3572"/>
      <c r="AA143" s="3572"/>
      <c r="AB143" s="3572"/>
      <c r="AC143" s="3572"/>
      <c r="AD143" s="3572"/>
      <c r="AE143" s="3572"/>
      <c r="AF143" s="3572"/>
      <c r="AG143" s="3572"/>
      <c r="AH143" s="3572"/>
      <c r="AI143" s="3572"/>
      <c r="AJ143" s="3572"/>
      <c r="AK143" s="3572"/>
      <c r="AL143" s="3572"/>
      <c r="AM143" s="3572"/>
      <c r="AN143" s="3572"/>
      <c r="AO143" s="3572"/>
      <c r="AP143" s="3572"/>
      <c r="AQ143" s="3572"/>
      <c r="AR143" s="3572"/>
      <c r="AS143" s="3572"/>
      <c r="AT143" s="3572"/>
      <c r="AU143" s="3572"/>
      <c r="AV143" s="3572"/>
      <c r="AW143" s="3572"/>
      <c r="AX143" s="3572"/>
      <c r="AY143" s="3572"/>
      <c r="AZ143" s="3572"/>
      <c r="BA143" s="3572"/>
      <c r="BB143" s="3572"/>
      <c r="BC143" s="3572"/>
      <c r="BD143" s="3572"/>
      <c r="BE143" s="3572"/>
      <c r="BF143" s="3572"/>
      <c r="BG143" s="3572"/>
      <c r="BH143" s="3572"/>
      <c r="BI143" s="3572"/>
      <c r="BJ143" s="3572"/>
      <c r="BK143" s="3572"/>
      <c r="BL143" s="3572"/>
      <c r="BM143" s="3572"/>
      <c r="BN143" s="3572"/>
      <c r="BO143" s="3572"/>
      <c r="BP143" s="3572"/>
      <c r="BQ143" s="3572"/>
      <c r="BR143" s="3572"/>
      <c r="BS143" s="3572"/>
      <c r="BT143" s="3572"/>
      <c r="BU143" s="3572"/>
      <c r="BV143" s="3572"/>
      <c r="BW143" s="3572"/>
      <c r="BX143" s="3572"/>
      <c r="BY143" s="3572"/>
      <c r="BZ143" s="3572"/>
      <c r="CA143" s="3572"/>
      <c r="CB143" s="3572"/>
      <c r="CC143" s="3572"/>
      <c r="CD143" s="3572"/>
      <c r="CE143" s="3572"/>
      <c r="CF143" s="3572"/>
      <c r="CG143" s="3572"/>
      <c r="CH143" s="3572"/>
      <c r="CI143" s="3572"/>
      <c r="CJ143" s="3572"/>
      <c r="CK143" s="3572"/>
      <c r="CL143" s="3572"/>
      <c r="CM143" s="3572"/>
      <c r="CN143" s="3572"/>
      <c r="CO143" s="3572"/>
      <c r="CP143" s="3572"/>
      <c r="CQ143" s="3572"/>
      <c r="CR143" s="3581"/>
      <c r="CS143" s="3728"/>
      <c r="CT143" s="3728" t="str">
        <f>IF(T143="","",T143)</f>
        <v>Добавить централизованную систему для дифференциации</v>
      </c>
      <c r="CU143" s="3728"/>
      <c r="CV143" s="3728"/>
    </row>
    <row s="5075" customFormat="1" customHeight="1" ht="21">
      <c r="A144" s="3716"/>
      <c r="B144" s="3716" t="s">
        <v>275</v>
      </c>
      <c r="C144" s="3716"/>
      <c r="D144" s="3716"/>
      <c r="E144" s="3717"/>
      <c r="F144" s="3718" t="s">
        <v>130</v>
      </c>
      <c r="G144" s="3716"/>
      <c r="H144" s="3716"/>
      <c r="I144" s="3716"/>
      <c r="J144" s="3716"/>
      <c r="K144" s="3716"/>
      <c r="L144" s="3719"/>
      <c r="M144" s="3720"/>
      <c r="N144" s="3720"/>
      <c r="O144" s="3720"/>
      <c r="P144" s="4073"/>
      <c r="Q144" s="3722"/>
      <c r="R144" s="3723"/>
      <c r="S144" s="3724" t="str">
        <f>INDEX(PT_DIFFERENTIATION_NUM_TER,MATCH(B144,PT_DIFFERENTIATION_TER_ID,0))</f>
        <v>1.8</v>
      </c>
      <c r="T144" s="4074" t="s">
        <v>612</v>
      </c>
      <c r="U144" s="3726"/>
      <c r="V144" s="3432"/>
      <c r="W144" s="3433"/>
      <c r="X144" s="3433"/>
      <c r="Y144" s="3433"/>
      <c r="Z144" s="3433"/>
      <c r="AA144" s="3433"/>
      <c r="AB144" s="3433"/>
      <c r="AC144" s="3434"/>
      <c r="AD144" s="3432" t="str">
        <f>INDEX(PT_DIFFERENTIATION_TER,MATCH(B144,PT_DIFFERENTIATION_TER_ID,0))</f>
        <v>Территория 8</v>
      </c>
      <c r="AE144" s="3433"/>
      <c r="AF144" s="3433"/>
      <c r="AG144" s="3433"/>
      <c r="AH144" s="3433"/>
      <c r="AI144" s="3433"/>
      <c r="AJ144" s="3433"/>
      <c r="AK144" s="3433"/>
      <c r="AL144" s="3432"/>
      <c r="AM144" s="3433"/>
      <c r="AN144" s="3433"/>
      <c r="AO144" s="3433"/>
      <c r="AP144" s="3433"/>
      <c r="AQ144" s="3433"/>
      <c r="AR144" s="3433"/>
      <c r="AS144" s="3434"/>
      <c r="AT144" s="3432"/>
      <c r="AU144" s="3433"/>
      <c r="AV144" s="3433"/>
      <c r="AW144" s="3433"/>
      <c r="AX144" s="3433"/>
      <c r="AY144" s="3433"/>
      <c r="AZ144" s="3433"/>
      <c r="BA144" s="3434"/>
      <c r="BB144" s="3432"/>
      <c r="BC144" s="3433"/>
      <c r="BD144" s="3433"/>
      <c r="BE144" s="3433"/>
      <c r="BF144" s="3433"/>
      <c r="BG144" s="3433"/>
      <c r="BH144" s="3433"/>
      <c r="BI144" s="3434"/>
      <c r="BJ144" s="3432"/>
      <c r="BK144" s="3433"/>
      <c r="BL144" s="3433"/>
      <c r="BM144" s="3433"/>
      <c r="BN144" s="3433"/>
      <c r="BO144" s="3433"/>
      <c r="BP144" s="3433"/>
      <c r="BQ144" s="3434"/>
      <c r="BR144" s="3432"/>
      <c r="BS144" s="3433"/>
      <c r="BT144" s="3433"/>
      <c r="BU144" s="3433"/>
      <c r="BV144" s="3433"/>
      <c r="BW144" s="3433"/>
      <c r="BX144" s="3433"/>
      <c r="BY144" s="3434"/>
      <c r="BZ144" s="3432"/>
      <c r="CA144" s="3433"/>
      <c r="CB144" s="3433"/>
      <c r="CC144" s="3433"/>
      <c r="CD144" s="3433"/>
      <c r="CE144" s="3433"/>
      <c r="CF144" s="3433"/>
      <c r="CG144" s="3434"/>
      <c r="CH144" s="3432"/>
      <c r="CI144" s="3433"/>
      <c r="CJ144" s="3433"/>
      <c r="CK144" s="3433"/>
      <c r="CL144" s="3433"/>
      <c r="CM144" s="3433"/>
      <c r="CN144" s="3433"/>
      <c r="CO144" s="3434"/>
      <c r="CP144" s="3434"/>
      <c r="CQ144" s="3727" t="s">
        <v>613</v>
      </c>
      <c r="CR144" s="3581"/>
      <c r="CS144" s="3728"/>
      <c r="CT144" s="3728" t="str">
        <f>IF(T144="","",T144)</f>
        <v>Территория действия тарифа</v>
      </c>
      <c r="CU144" s="3728"/>
      <c r="CV144" s="3728"/>
    </row>
    <row s="5076" customFormat="1" customHeight="1" ht="23.25">
      <c r="A145" s="3716"/>
      <c r="B145" s="3716"/>
      <c r="C145" s="3716" t="s">
        <v>276</v>
      </c>
      <c r="D145" s="3716"/>
      <c r="E145" s="3717"/>
      <c r="F145" s="3717" t="s">
        <v>94</v>
      </c>
      <c r="G145" s="3718">
        <v>1</v>
      </c>
      <c r="H145" s="3716"/>
      <c r="I145" s="3716"/>
      <c r="J145" s="3716"/>
      <c r="K145" s="3716"/>
      <c r="L145" s="3719"/>
      <c r="M145" s="3720"/>
      <c r="N145" s="3720"/>
      <c r="O145" s="3720"/>
      <c r="P145" s="3721"/>
      <c r="Q145" s="3722"/>
      <c r="R145" s="3723"/>
      <c r="S145" s="3724" t="str">
        <f>INDEX(PT_DIFFERENTIATION_NUM_CS,MATCH(C145,PT_DIFFERENTIATION_CS_ID,0))</f>
        <v>1.8.1</v>
      </c>
      <c r="T145" s="4076" t="s">
        <v>614</v>
      </c>
      <c r="U145" s="3726"/>
      <c r="V145" s="3432"/>
      <c r="W145" s="3433"/>
      <c r="X145" s="3433"/>
      <c r="Y145" s="3433"/>
      <c r="Z145" s="3433"/>
      <c r="AA145" s="3433"/>
      <c r="AB145" s="3433"/>
      <c r="AC145" s="3434"/>
      <c r="AD145" s="3432" t="str">
        <f>INDEX(PT_DIFFERENTIATION_CS,MATCH(C145,PT_DIFFERENTIATION_CS_ID,0))</f>
        <v>без дифференциации</v>
      </c>
      <c r="AE145" s="3433"/>
      <c r="AF145" s="3433"/>
      <c r="AG145" s="3433"/>
      <c r="AH145" s="3433"/>
      <c r="AI145" s="3433"/>
      <c r="AJ145" s="3433"/>
      <c r="AK145" s="3433"/>
      <c r="AL145" s="3432"/>
      <c r="AM145" s="3433"/>
      <c r="AN145" s="3433"/>
      <c r="AO145" s="3433"/>
      <c r="AP145" s="3433"/>
      <c r="AQ145" s="3433"/>
      <c r="AR145" s="3433"/>
      <c r="AS145" s="3434"/>
      <c r="AT145" s="3432"/>
      <c r="AU145" s="3433"/>
      <c r="AV145" s="3433"/>
      <c r="AW145" s="3433"/>
      <c r="AX145" s="3433"/>
      <c r="AY145" s="3433"/>
      <c r="AZ145" s="3433"/>
      <c r="BA145" s="3434"/>
      <c r="BB145" s="3432"/>
      <c r="BC145" s="3433"/>
      <c r="BD145" s="3433"/>
      <c r="BE145" s="3433"/>
      <c r="BF145" s="3433"/>
      <c r="BG145" s="3433"/>
      <c r="BH145" s="3433"/>
      <c r="BI145" s="3434"/>
      <c r="BJ145" s="3432"/>
      <c r="BK145" s="3433"/>
      <c r="BL145" s="3433"/>
      <c r="BM145" s="3433"/>
      <c r="BN145" s="3433"/>
      <c r="BO145" s="3433"/>
      <c r="BP145" s="3433"/>
      <c r="BQ145" s="3434"/>
      <c r="BR145" s="3432"/>
      <c r="BS145" s="3433"/>
      <c r="BT145" s="3433"/>
      <c r="BU145" s="3433"/>
      <c r="BV145" s="3433"/>
      <c r="BW145" s="3433"/>
      <c r="BX145" s="3433"/>
      <c r="BY145" s="3434"/>
      <c r="BZ145" s="3432"/>
      <c r="CA145" s="3433"/>
      <c r="CB145" s="3433"/>
      <c r="CC145" s="3433"/>
      <c r="CD145" s="3433"/>
      <c r="CE145" s="3433"/>
      <c r="CF145" s="3433"/>
      <c r="CG145" s="3434"/>
      <c r="CH145" s="3432"/>
      <c r="CI145" s="3433"/>
      <c r="CJ145" s="3433"/>
      <c r="CK145" s="3433"/>
      <c r="CL145" s="3433"/>
      <c r="CM145" s="3433"/>
      <c r="CN145" s="3433"/>
      <c r="CO145" s="3434"/>
      <c r="CP145" s="3434"/>
      <c r="CQ145" s="3727" t="s">
        <v>615</v>
      </c>
      <c r="CR145" s="3581"/>
      <c r="CS145" s="3728"/>
      <c r="CT145" s="3728" t="str">
        <f>IF(T145="","",T145)</f>
        <v>Наименование системы теплоснабжения </v>
      </c>
      <c r="CU145" s="3728"/>
      <c r="CV145" s="3728"/>
    </row>
    <row s="5077" customFormat="1" customHeight="1" ht="21">
      <c r="A146" s="3716"/>
      <c r="B146" s="3716"/>
      <c r="C146" s="3716"/>
      <c r="D146" s="3716" t="s">
        <v>277</v>
      </c>
      <c r="E146" s="3717"/>
      <c r="F146" s="3717" t="s">
        <v>94</v>
      </c>
      <c r="G146" s="3717"/>
      <c r="H146" s="3718">
        <v>1</v>
      </c>
      <c r="I146" s="3716"/>
      <c r="J146" s="3716"/>
      <c r="K146" s="3716"/>
      <c r="L146" s="3719"/>
      <c r="M146" s="3720"/>
      <c r="N146" s="3720"/>
      <c r="O146" s="3720"/>
      <c r="P146" s="3721"/>
      <c r="Q146" s="3722"/>
      <c r="R146" s="3723"/>
      <c r="S146" s="3724" t="str">
        <f>INDEX(PT_DIFFERENTIATION_NUM_IST_TE,MATCH(D146,PT_DIFFERENTIATION_IST_TE_ID,0))</f>
        <v>1.8.1.1</v>
      </c>
      <c r="T146" s="3725" t="s">
        <v>616</v>
      </c>
      <c r="U146" s="3726"/>
      <c r="V146" s="3432"/>
      <c r="W146" s="3433"/>
      <c r="X146" s="3433"/>
      <c r="Y146" s="3433"/>
      <c r="Z146" s="3433"/>
      <c r="AA146" s="3433"/>
      <c r="AB146" s="3433"/>
      <c r="AC146" s="3434"/>
      <c r="AD146" s="3432" t="str">
        <f>INDEX(PT_DIFFERENTIATION_IST_TE,MATCH(D146,PT_DIFFERENTIATION_IST_TE_ID,0))</f>
        <v>без дифференциации</v>
      </c>
      <c r="AE146" s="3433"/>
      <c r="AF146" s="3433"/>
      <c r="AG146" s="3433"/>
      <c r="AH146" s="3433"/>
      <c r="AI146" s="3433"/>
      <c r="AJ146" s="3433"/>
      <c r="AK146" s="3433"/>
      <c r="AL146" s="3432"/>
      <c r="AM146" s="3433"/>
      <c r="AN146" s="3433"/>
      <c r="AO146" s="3433"/>
      <c r="AP146" s="3433"/>
      <c r="AQ146" s="3433"/>
      <c r="AR146" s="3433"/>
      <c r="AS146" s="3434"/>
      <c r="AT146" s="3432"/>
      <c r="AU146" s="3433"/>
      <c r="AV146" s="3433"/>
      <c r="AW146" s="3433"/>
      <c r="AX146" s="3433"/>
      <c r="AY146" s="3433"/>
      <c r="AZ146" s="3433"/>
      <c r="BA146" s="3434"/>
      <c r="BB146" s="3432"/>
      <c r="BC146" s="3433"/>
      <c r="BD146" s="3433"/>
      <c r="BE146" s="3433"/>
      <c r="BF146" s="3433"/>
      <c r="BG146" s="3433"/>
      <c r="BH146" s="3433"/>
      <c r="BI146" s="3434"/>
      <c r="BJ146" s="3432"/>
      <c r="BK146" s="3433"/>
      <c r="BL146" s="3433"/>
      <c r="BM146" s="3433"/>
      <c r="BN146" s="3433"/>
      <c r="BO146" s="3433"/>
      <c r="BP146" s="3433"/>
      <c r="BQ146" s="3434"/>
      <c r="BR146" s="3432"/>
      <c r="BS146" s="3433"/>
      <c r="BT146" s="3433"/>
      <c r="BU146" s="3433"/>
      <c r="BV146" s="3433"/>
      <c r="BW146" s="3433"/>
      <c r="BX146" s="3433"/>
      <c r="BY146" s="3434"/>
      <c r="BZ146" s="3432"/>
      <c r="CA146" s="3433"/>
      <c r="CB146" s="3433"/>
      <c r="CC146" s="3433"/>
      <c r="CD146" s="3433"/>
      <c r="CE146" s="3433"/>
      <c r="CF146" s="3433"/>
      <c r="CG146" s="3434"/>
      <c r="CH146" s="3432"/>
      <c r="CI146" s="3433"/>
      <c r="CJ146" s="3433"/>
      <c r="CK146" s="3433"/>
      <c r="CL146" s="3433"/>
      <c r="CM146" s="3433"/>
      <c r="CN146" s="3433"/>
      <c r="CO146" s="3434"/>
      <c r="CP146" s="3434"/>
      <c r="CQ146" s="3727" t="s">
        <v>617</v>
      </c>
      <c r="CR146" s="3581"/>
      <c r="CS146" s="3728"/>
      <c r="CT146" s="3728" t="str">
        <f>IF(T146="","",T146)</f>
        <v>Источник тепловой энергии  </v>
      </c>
      <c r="CU146" s="3728"/>
      <c r="CV146" s="3728"/>
    </row>
    <row s="5078" customFormat="1" customHeight="1" ht="14.25">
      <c r="A147" s="3716"/>
      <c r="B147" s="3716"/>
      <c r="C147" s="3716"/>
      <c r="D147" s="3716"/>
      <c r="E147" s="3717"/>
      <c r="F147" s="3717" t="s">
        <v>94</v>
      </c>
      <c r="G147" s="3717"/>
      <c r="H147" s="3717"/>
      <c r="I147" s="3730" t="str">
        <f>S146&amp;".1"</f>
        <v>1.8.1.1.1</v>
      </c>
      <c r="J147" s="3716"/>
      <c r="K147" s="3716"/>
      <c r="L147" s="3719" t="s">
        <v>618</v>
      </c>
      <c r="M147" s="3573"/>
      <c r="N147" s="3731"/>
      <c r="O147" s="3731"/>
      <c r="P147" s="3732">
        <v>1</v>
      </c>
      <c r="Q147" s="3732"/>
      <c r="R147" s="3733"/>
      <c r="S147" s="3734"/>
      <c r="T147" s="3735"/>
      <c r="U147" s="3736"/>
      <c r="V147" s="3441"/>
      <c r="W147" s="3442"/>
      <c r="X147" s="3442"/>
      <c r="Y147" s="3442"/>
      <c r="Z147" s="3442"/>
      <c r="AA147" s="3442"/>
      <c r="AB147" s="3442"/>
      <c r="AC147" s="3443"/>
      <c r="AD147" s="3441"/>
      <c r="AE147" s="3442"/>
      <c r="AF147" s="3442"/>
      <c r="AG147" s="3442"/>
      <c r="AH147" s="3442"/>
      <c r="AI147" s="3442"/>
      <c r="AJ147" s="3442"/>
      <c r="AK147" s="3442"/>
      <c r="AL147" s="3441"/>
      <c r="AM147" s="3442"/>
      <c r="AN147" s="3442"/>
      <c r="AO147" s="3442"/>
      <c r="AP147" s="3442"/>
      <c r="AQ147" s="3442"/>
      <c r="AR147" s="3442"/>
      <c r="AS147" s="3443"/>
      <c r="AT147" s="3441"/>
      <c r="AU147" s="3442"/>
      <c r="AV147" s="3442"/>
      <c r="AW147" s="3442"/>
      <c r="AX147" s="3442"/>
      <c r="AY147" s="3442"/>
      <c r="AZ147" s="3442"/>
      <c r="BA147" s="3443"/>
      <c r="BB147" s="3441"/>
      <c r="BC147" s="3442"/>
      <c r="BD147" s="3442"/>
      <c r="BE147" s="3442"/>
      <c r="BF147" s="3442"/>
      <c r="BG147" s="3442"/>
      <c r="BH147" s="3442"/>
      <c r="BI147" s="3443"/>
      <c r="BJ147" s="3441"/>
      <c r="BK147" s="3442"/>
      <c r="BL147" s="3442"/>
      <c r="BM147" s="3442"/>
      <c r="BN147" s="3442"/>
      <c r="BO147" s="3442"/>
      <c r="BP147" s="3442"/>
      <c r="BQ147" s="3443"/>
      <c r="BR147" s="3441"/>
      <c r="BS147" s="3442"/>
      <c r="BT147" s="3442"/>
      <c r="BU147" s="3442"/>
      <c r="BV147" s="3442"/>
      <c r="BW147" s="3442"/>
      <c r="BX147" s="3442"/>
      <c r="BY147" s="3443"/>
      <c r="BZ147" s="3441"/>
      <c r="CA147" s="3442"/>
      <c r="CB147" s="3442"/>
      <c r="CC147" s="3442"/>
      <c r="CD147" s="3442"/>
      <c r="CE147" s="3442"/>
      <c r="CF147" s="3442"/>
      <c r="CG147" s="3443"/>
      <c r="CH147" s="3441"/>
      <c r="CI147" s="3442"/>
      <c r="CJ147" s="3442"/>
      <c r="CK147" s="3442"/>
      <c r="CL147" s="3442"/>
      <c r="CM147" s="3442"/>
      <c r="CN147" s="3442"/>
      <c r="CO147" s="3443"/>
      <c r="CP147" s="3443"/>
      <c r="CQ147" s="3737"/>
      <c r="CR147" s="3581"/>
      <c r="CS147" s="3728"/>
      <c r="CT147" s="3728" t="str">
        <f>IF(T147="","",T147)</f>
        <v/>
      </c>
      <c r="CU147" s="3728"/>
      <c r="CV147" s="3728"/>
    </row>
    <row s="5079" customFormat="1" customHeight="1" ht="21">
      <c r="A148" s="3716"/>
      <c r="B148" s="3716"/>
      <c r="C148" s="3716"/>
      <c r="D148" s="3716"/>
      <c r="E148" s="3717"/>
      <c r="F148" s="3717" t="s">
        <v>94</v>
      </c>
      <c r="G148" s="3717"/>
      <c r="H148" s="3717"/>
      <c r="I148" s="3739"/>
      <c r="J148" s="3730" t="str">
        <f>I147&amp;".1"</f>
        <v>1.8.1.1.1.1</v>
      </c>
      <c r="K148" s="3716"/>
      <c r="L148" s="3719" t="s">
        <v>621</v>
      </c>
      <c r="M148" s="3573"/>
      <c r="N148" s="3573"/>
      <c r="O148" s="3731"/>
      <c r="P148" s="3732"/>
      <c r="Q148" s="3732">
        <v>1</v>
      </c>
      <c r="R148" s="3740"/>
      <c r="S148" s="3724" t="str">
        <f>$J148</f>
        <v>1.8.1.1.1.1</v>
      </c>
      <c r="T148" s="3741" t="s">
        <v>622</v>
      </c>
      <c r="U148" s="3726"/>
      <c r="V148" s="3445"/>
      <c r="W148" s="3446"/>
      <c r="X148" s="3446"/>
      <c r="Y148" s="3446"/>
      <c r="Z148" s="3446"/>
      <c r="AA148" s="3446"/>
      <c r="AB148" s="3446"/>
      <c r="AC148" s="3447"/>
      <c r="AD148" s="3445" t="s">
        <v>662</v>
      </c>
      <c r="AE148" s="3446"/>
      <c r="AF148" s="3446"/>
      <c r="AG148" s="3446"/>
      <c r="AH148" s="3446"/>
      <c r="AI148" s="3446"/>
      <c r="AJ148" s="3446"/>
      <c r="AK148" s="3446"/>
      <c r="AL148" s="3445"/>
      <c r="AM148" s="3446"/>
      <c r="AN148" s="3446"/>
      <c r="AO148" s="3446"/>
      <c r="AP148" s="3446"/>
      <c r="AQ148" s="3446"/>
      <c r="AR148" s="3446"/>
      <c r="AS148" s="3447"/>
      <c r="AT148" s="3445"/>
      <c r="AU148" s="3446"/>
      <c r="AV148" s="3446"/>
      <c r="AW148" s="3446"/>
      <c r="AX148" s="3446"/>
      <c r="AY148" s="3446"/>
      <c r="AZ148" s="3446"/>
      <c r="BA148" s="3447"/>
      <c r="BB148" s="3445"/>
      <c r="BC148" s="3446"/>
      <c r="BD148" s="3446"/>
      <c r="BE148" s="3446"/>
      <c r="BF148" s="3446"/>
      <c r="BG148" s="3446"/>
      <c r="BH148" s="3446"/>
      <c r="BI148" s="3447"/>
      <c r="BJ148" s="3445"/>
      <c r="BK148" s="3446"/>
      <c r="BL148" s="3446"/>
      <c r="BM148" s="3446"/>
      <c r="BN148" s="3446"/>
      <c r="BO148" s="3446"/>
      <c r="BP148" s="3446"/>
      <c r="BQ148" s="3447"/>
      <c r="BR148" s="3445"/>
      <c r="BS148" s="3446"/>
      <c r="BT148" s="3446"/>
      <c r="BU148" s="3446"/>
      <c r="BV148" s="3446"/>
      <c r="BW148" s="3446"/>
      <c r="BX148" s="3446"/>
      <c r="BY148" s="3447"/>
      <c r="BZ148" s="3445"/>
      <c r="CA148" s="3446"/>
      <c r="CB148" s="3446"/>
      <c r="CC148" s="3446"/>
      <c r="CD148" s="3446"/>
      <c r="CE148" s="3446"/>
      <c r="CF148" s="3446"/>
      <c r="CG148" s="3447"/>
      <c r="CH148" s="3445"/>
      <c r="CI148" s="3446"/>
      <c r="CJ148" s="3446"/>
      <c r="CK148" s="3446"/>
      <c r="CL148" s="3446"/>
      <c r="CM148" s="3446"/>
      <c r="CN148" s="3446"/>
      <c r="CO148" s="3447"/>
      <c r="CP148" s="3447"/>
      <c r="CQ148" s="3727" t="s">
        <v>623</v>
      </c>
      <c r="CR148" s="3581"/>
      <c r="CS148" s="3728"/>
      <c r="CT148" s="3728" t="str">
        <f>IF(T148="","",T148)</f>
        <v>Группа потребителей</v>
      </c>
      <c r="CU148" s="3728"/>
      <c r="CV148" s="3728"/>
    </row>
    <row s="5080" customFormat="1" customHeight="1" ht="21">
      <c r="A149" s="3716"/>
      <c r="B149" s="3716"/>
      <c r="C149" s="3716"/>
      <c r="D149" s="3716"/>
      <c r="E149" s="3717"/>
      <c r="F149" s="3717" t="s">
        <v>94</v>
      </c>
      <c r="G149" s="3717"/>
      <c r="H149" s="3717"/>
      <c r="I149" s="3739"/>
      <c r="J149" s="3739"/>
      <c r="K149" s="3730" t="str">
        <f>J148&amp;".1"</f>
        <v>1.8.1.1.1.1.1</v>
      </c>
      <c r="L149" s="3719" t="s">
        <v>624</v>
      </c>
      <c r="M149" s="3573"/>
      <c r="N149" s="3573"/>
      <c r="O149" s="3573"/>
      <c r="P149" s="3732"/>
      <c r="Q149" s="3732"/>
      <c r="R149" s="3740">
        <v>1</v>
      </c>
      <c r="S149" s="3724" t="str">
        <f>$K149</f>
        <v>1.8.1.1.1.1.1</v>
      </c>
      <c r="T149" s="3743" t="s">
        <v>663</v>
      </c>
      <c r="U149" s="3726"/>
      <c r="V149" s="3448"/>
      <c r="W149" s="3449"/>
      <c r="X149" s="3448"/>
      <c r="Y149" s="3450"/>
      <c r="Z149" s="3451"/>
      <c r="AA149" s="2872" t="s">
        <v>63</v>
      </c>
      <c r="AB149" s="3451"/>
      <c r="AC149" s="2872" t="s">
        <v>63</v>
      </c>
      <c r="AD149" s="3448">
        <v>33.4</v>
      </c>
      <c r="AE149" s="3449"/>
      <c r="AF149" s="3448"/>
      <c r="AG149" s="3450"/>
      <c r="AH149" s="3451">
        <v>44197</v>
      </c>
      <c r="AI149" s="2872" t="s">
        <v>63</v>
      </c>
      <c r="AJ149" s="3451">
        <v>44377</v>
      </c>
      <c r="AK149" s="2872" t="s">
        <v>63</v>
      </c>
      <c r="AL149" s="3448">
        <v>33.4</v>
      </c>
      <c r="AM149" s="3449"/>
      <c r="AN149" s="3448"/>
      <c r="AO149" s="3450"/>
      <c r="AP149" s="3451">
        <v>44378</v>
      </c>
      <c r="AQ149" s="2872" t="s">
        <v>63</v>
      </c>
      <c r="AR149" s="3451">
        <v>44561</v>
      </c>
      <c r="AS149" s="2872" t="s">
        <v>63</v>
      </c>
      <c r="AT149" s="3448">
        <v>33.4</v>
      </c>
      <c r="AU149" s="3449"/>
      <c r="AV149" s="3448"/>
      <c r="AW149" s="3450"/>
      <c r="AX149" s="3451">
        <v>44562</v>
      </c>
      <c r="AY149" s="2872" t="s">
        <v>63</v>
      </c>
      <c r="AZ149" s="3451">
        <v>44601</v>
      </c>
      <c r="BA149" s="2872" t="s">
        <v>63</v>
      </c>
      <c r="BB149" s="3448">
        <v>33.4</v>
      </c>
      <c r="BC149" s="3449"/>
      <c r="BD149" s="3448"/>
      <c r="BE149" s="3450"/>
      <c r="BF149" s="3451">
        <v>44602</v>
      </c>
      <c r="BG149" s="2872" t="s">
        <v>63</v>
      </c>
      <c r="BH149" s="3451">
        <v>44742</v>
      </c>
      <c r="BI149" s="2872" t="s">
        <v>63</v>
      </c>
      <c r="BJ149" s="3448">
        <v>35.69</v>
      </c>
      <c r="BK149" s="3449"/>
      <c r="BL149" s="3448"/>
      <c r="BM149" s="3450"/>
      <c r="BN149" s="3451">
        <v>44743</v>
      </c>
      <c r="BO149" s="2872" t="s">
        <v>63</v>
      </c>
      <c r="BP149" s="3451">
        <v>44804</v>
      </c>
      <c r="BQ149" s="2872" t="s">
        <v>63</v>
      </c>
      <c r="BR149" s="3448">
        <v>35.69</v>
      </c>
      <c r="BS149" s="3449"/>
      <c r="BT149" s="3448"/>
      <c r="BU149" s="3450"/>
      <c r="BV149" s="3451">
        <v>44805</v>
      </c>
      <c r="BW149" s="2872" t="s">
        <v>63</v>
      </c>
      <c r="BX149" s="3451">
        <v>44895</v>
      </c>
      <c r="BY149" s="2872" t="s">
        <v>63</v>
      </c>
      <c r="BZ149" s="3448">
        <v>36.73</v>
      </c>
      <c r="CA149" s="3449"/>
      <c r="CB149" s="3448"/>
      <c r="CC149" s="3450"/>
      <c r="CD149" s="3451">
        <v>44896</v>
      </c>
      <c r="CE149" s="2872" t="s">
        <v>63</v>
      </c>
      <c r="CF149" s="3451">
        <v>45174</v>
      </c>
      <c r="CG149" s="2872" t="s">
        <v>63</v>
      </c>
      <c r="CH149" s="3448">
        <v>36.73</v>
      </c>
      <c r="CI149" s="3449"/>
      <c r="CJ149" s="3448"/>
      <c r="CK149" s="3450"/>
      <c r="CL149" s="3451">
        <v>45175</v>
      </c>
      <c r="CM149" s="2872" t="s">
        <v>63</v>
      </c>
      <c r="CN149" s="3451">
        <v>45291</v>
      </c>
      <c r="CO149" s="2872" t="s">
        <v>63</v>
      </c>
      <c r="CP149" s="3449"/>
      <c r="CQ149" s="3744" t="s">
        <v>625</v>
      </c>
      <c r="CR149" s="3581">
        <f>STRCHECKDATE(V150:CP150)</f>
      </c>
      <c r="CS149" s="3728"/>
      <c r="CT149" s="3728" t="str">
        <f>IF(T149="","",T149)</f>
        <v>вода</v>
      </c>
      <c r="CU149" s="3728"/>
      <c r="CV149" s="3728"/>
    </row>
    <row s="5081" customFormat="1" customHeight="1" ht="0.75">
      <c r="A150" s="3716"/>
      <c r="B150" s="3716"/>
      <c r="C150" s="3716"/>
      <c r="D150" s="3716"/>
      <c r="E150" s="3717"/>
      <c r="F150" s="3717" t="s">
        <v>94</v>
      </c>
      <c r="G150" s="3717"/>
      <c r="H150" s="3717"/>
      <c r="I150" s="3739"/>
      <c r="J150" s="3739"/>
      <c r="K150" s="3730"/>
      <c r="L150" s="3719"/>
      <c r="M150" s="3573"/>
      <c r="N150" s="3573"/>
      <c r="O150" s="3573"/>
      <c r="P150" s="3732"/>
      <c r="Q150" s="3732"/>
      <c r="R150" s="3740"/>
      <c r="S150" s="3746"/>
      <c r="T150" s="3726"/>
      <c r="U150" s="3726"/>
      <c r="V150" s="3449"/>
      <c r="W150" s="3449"/>
      <c r="X150" s="3449"/>
      <c r="Y150" s="3452" t="str">
        <f>Z149&amp;"-"&amp;AB149</f>
        <v>-</v>
      </c>
      <c r="Z150" s="3453"/>
      <c r="AA150" s="2872"/>
      <c r="AB150" s="3453"/>
      <c r="AC150" s="2872"/>
      <c r="AD150" s="3449"/>
      <c r="AE150" s="3449"/>
      <c r="AF150" s="3449"/>
      <c r="AG150" s="3452" t="str">
        <f>AH149&amp;"-"&amp;AJ149</f>
        <v>44197-44377</v>
      </c>
      <c r="AH150" s="3453"/>
      <c r="AI150" s="2872"/>
      <c r="AJ150" s="3453"/>
      <c r="AK150" s="2872"/>
      <c r="AL150" s="3449"/>
      <c r="AM150" s="3449"/>
      <c r="AN150" s="3449"/>
      <c r="AO150" s="3452" t="str">
        <f>AP149&amp;"-"&amp;AR149</f>
        <v>44378-44561</v>
      </c>
      <c r="AP150" s="3453"/>
      <c r="AQ150" s="2872"/>
      <c r="AR150" s="3453"/>
      <c r="AS150" s="2872"/>
      <c r="AT150" s="3449"/>
      <c r="AU150" s="3449"/>
      <c r="AV150" s="3449"/>
      <c r="AW150" s="3452" t="str">
        <f>AX149&amp;"-"&amp;AZ149</f>
        <v>44562-44601</v>
      </c>
      <c r="AX150" s="3453"/>
      <c r="AY150" s="2872"/>
      <c r="AZ150" s="3453"/>
      <c r="BA150" s="2872"/>
      <c r="BB150" s="3449"/>
      <c r="BC150" s="3449"/>
      <c r="BD150" s="3449"/>
      <c r="BE150" s="3452" t="str">
        <f>BF149&amp;"-"&amp;BH149</f>
        <v>44602-44742</v>
      </c>
      <c r="BF150" s="3453"/>
      <c r="BG150" s="2872"/>
      <c r="BH150" s="3453"/>
      <c r="BI150" s="2872"/>
      <c r="BJ150" s="3449"/>
      <c r="BK150" s="3449"/>
      <c r="BL150" s="3449"/>
      <c r="BM150" s="3452" t="str">
        <f>BN149&amp;"-"&amp;BP149</f>
        <v>44743-44804</v>
      </c>
      <c r="BN150" s="3453"/>
      <c r="BO150" s="2872"/>
      <c r="BP150" s="3453"/>
      <c r="BQ150" s="2872"/>
      <c r="BR150" s="3449"/>
      <c r="BS150" s="3449"/>
      <c r="BT150" s="3449"/>
      <c r="BU150" s="3452" t="str">
        <f>BV149&amp;"-"&amp;BX149</f>
        <v>44805-44895</v>
      </c>
      <c r="BV150" s="3453"/>
      <c r="BW150" s="2872"/>
      <c r="BX150" s="3453"/>
      <c r="BY150" s="2872"/>
      <c r="BZ150" s="3449"/>
      <c r="CA150" s="3449"/>
      <c r="CB150" s="3449"/>
      <c r="CC150" s="3452" t="str">
        <f>CD149&amp;"-"&amp;CF149</f>
        <v>44896-45174</v>
      </c>
      <c r="CD150" s="3453"/>
      <c r="CE150" s="2872"/>
      <c r="CF150" s="3453"/>
      <c r="CG150" s="2872"/>
      <c r="CH150" s="3449"/>
      <c r="CI150" s="3449"/>
      <c r="CJ150" s="3449"/>
      <c r="CK150" s="3452" t="str">
        <f>CL149&amp;"-"&amp;CN149</f>
        <v>45175-45291</v>
      </c>
      <c r="CL150" s="3453"/>
      <c r="CM150" s="2872"/>
      <c r="CN150" s="3453"/>
      <c r="CO150" s="2872"/>
      <c r="CP150" s="3449"/>
      <c r="CQ150" s="3747"/>
      <c r="CR150" s="3581"/>
      <c r="CS150" s="3728"/>
      <c r="CT150" s="3728" t="str">
        <f>IF(T150="","",T150)</f>
        <v/>
      </c>
      <c r="CU150" s="3728"/>
      <c r="CV150" s="3728"/>
    </row>
    <row s="5082" customFormat="1" customHeight="1" ht="15">
      <c r="A151" s="3716"/>
      <c r="B151" s="3716"/>
      <c r="C151" s="3716"/>
      <c r="D151" s="3716"/>
      <c r="E151" s="3717"/>
      <c r="F151" s="3717" t="s">
        <v>94</v>
      </c>
      <c r="G151" s="3717"/>
      <c r="H151" s="3717"/>
      <c r="I151" s="3739"/>
      <c r="J151" s="3730"/>
      <c r="K151" s="3716"/>
      <c r="L151" s="3719"/>
      <c r="M151" s="3573"/>
      <c r="N151" s="3573"/>
      <c r="O151" s="3731"/>
      <c r="P151" s="3732"/>
      <c r="Q151" s="3732"/>
      <c r="R151" s="3733"/>
      <c r="S151" s="5083"/>
      <c r="T151" s="5084" t="s">
        <v>626</v>
      </c>
      <c r="U151" s="5085"/>
      <c r="V151" s="5086"/>
      <c r="W151" s="5087"/>
      <c r="X151" s="5088"/>
      <c r="Y151" s="5089"/>
      <c r="Z151" s="5090"/>
      <c r="AA151" s="5091"/>
      <c r="AB151" s="5092"/>
      <c r="AC151" s="5093"/>
      <c r="AD151" s="5094"/>
      <c r="AE151" s="5095"/>
      <c r="AF151" s="5096"/>
      <c r="AG151" s="5097"/>
      <c r="AH151" s="5098"/>
      <c r="AI151" s="5099"/>
      <c r="AJ151" s="5100"/>
      <c r="AK151" s="5101"/>
      <c r="AL151" s="5102"/>
      <c r="AM151" s="5103"/>
      <c r="AN151" s="5104"/>
      <c r="AO151" s="5105"/>
      <c r="AP151" s="5106"/>
      <c r="AQ151" s="5107"/>
      <c r="AR151" s="5108"/>
      <c r="AS151" s="5109"/>
      <c r="AT151" s="5110"/>
      <c r="AU151" s="5111"/>
      <c r="AV151" s="5112"/>
      <c r="AW151" s="5113"/>
      <c r="AX151" s="5114"/>
      <c r="AY151" s="5115"/>
      <c r="AZ151" s="5116"/>
      <c r="BA151" s="5117"/>
      <c r="BB151" s="5118"/>
      <c r="BC151" s="5119"/>
      <c r="BD151" s="5120"/>
      <c r="BE151" s="5121"/>
      <c r="BF151" s="5122"/>
      <c r="BG151" s="5123"/>
      <c r="BH151" s="5124"/>
      <c r="BI151" s="5125"/>
      <c r="BJ151" s="5126"/>
      <c r="BK151" s="5127"/>
      <c r="BL151" s="5128"/>
      <c r="BM151" s="5129"/>
      <c r="BN151" s="5130"/>
      <c r="BO151" s="5131"/>
      <c r="BP151" s="5132"/>
      <c r="BQ151" s="5133"/>
      <c r="BR151" s="5134"/>
      <c r="BS151" s="5135"/>
      <c r="BT151" s="5136"/>
      <c r="BU151" s="5137"/>
      <c r="BV151" s="5138"/>
      <c r="BW151" s="5139"/>
      <c r="BX151" s="5140"/>
      <c r="BY151" s="5141"/>
      <c r="BZ151" s="5142"/>
      <c r="CA151" s="5143"/>
      <c r="CB151" s="5144"/>
      <c r="CC151" s="5145"/>
      <c r="CD151" s="5146"/>
      <c r="CE151" s="5147"/>
      <c r="CF151" s="5148"/>
      <c r="CG151" s="5149"/>
      <c r="CH151" s="5150"/>
      <c r="CI151" s="5151"/>
      <c r="CJ151" s="5152"/>
      <c r="CK151" s="5153"/>
      <c r="CL151" s="5154"/>
      <c r="CM151" s="5155"/>
      <c r="CN151" s="5156"/>
      <c r="CO151" s="5157"/>
      <c r="CP151" s="5158"/>
      <c r="CQ151" s="3825"/>
      <c r="CR151" s="3581"/>
      <c r="CS151" s="3728"/>
      <c r="CT151" s="3728" t="str">
        <f>IF(T151="","",T151)</f>
        <v>Добавить вид теплоносителя (параметры теплоносителя)</v>
      </c>
      <c r="CU151" s="3728"/>
      <c r="CV151" s="3728"/>
    </row>
    <row s="5159" customFormat="1" customHeight="1" ht="15">
      <c r="A152" s="3716"/>
      <c r="B152" s="3716"/>
      <c r="C152" s="3716"/>
      <c r="D152" s="3716"/>
      <c r="E152" s="3717"/>
      <c r="F152" s="3717" t="s">
        <v>94</v>
      </c>
      <c r="G152" s="3717"/>
      <c r="H152" s="3717"/>
      <c r="I152" s="3730"/>
      <c r="J152" s="3716"/>
      <c r="K152" s="3716"/>
      <c r="L152" s="3719"/>
      <c r="M152" s="3573"/>
      <c r="N152" s="3731"/>
      <c r="O152" s="3731"/>
      <c r="P152" s="3732"/>
      <c r="Q152" s="3732"/>
      <c r="R152" s="3733"/>
      <c r="S152" s="5160"/>
      <c r="T152" s="5161" t="s">
        <v>627</v>
      </c>
      <c r="U152" s="5162"/>
      <c r="V152" s="5163"/>
      <c r="W152" s="5164"/>
      <c r="X152" s="5165"/>
      <c r="Y152" s="5166"/>
      <c r="Z152" s="5167"/>
      <c r="AA152" s="5168"/>
      <c r="AB152" s="5169"/>
      <c r="AC152" s="5170"/>
      <c r="AD152" s="5171"/>
      <c r="AE152" s="5172"/>
      <c r="AF152" s="5173"/>
      <c r="AG152" s="5174"/>
      <c r="AH152" s="5175"/>
      <c r="AI152" s="5176"/>
      <c r="AJ152" s="5177"/>
      <c r="AK152" s="5178"/>
      <c r="AL152" s="5179"/>
      <c r="AM152" s="5180"/>
      <c r="AN152" s="5181"/>
      <c r="AO152" s="5182"/>
      <c r="AP152" s="5183"/>
      <c r="AQ152" s="5184"/>
      <c r="AR152" s="5185"/>
      <c r="AS152" s="5186"/>
      <c r="AT152" s="5187"/>
      <c r="AU152" s="5188"/>
      <c r="AV152" s="5189"/>
      <c r="AW152" s="5190"/>
      <c r="AX152" s="5191"/>
      <c r="AY152" s="5192"/>
      <c r="AZ152" s="5193"/>
      <c r="BA152" s="5194"/>
      <c r="BB152" s="5195"/>
      <c r="BC152" s="5196"/>
      <c r="BD152" s="5197"/>
      <c r="BE152" s="5198"/>
      <c r="BF152" s="5199"/>
      <c r="BG152" s="5200"/>
      <c r="BH152" s="5201"/>
      <c r="BI152" s="5202"/>
      <c r="BJ152" s="5203"/>
      <c r="BK152" s="5204"/>
      <c r="BL152" s="5205"/>
      <c r="BM152" s="5206"/>
      <c r="BN152" s="5207"/>
      <c r="BO152" s="5208"/>
      <c r="BP152" s="5209"/>
      <c r="BQ152" s="5210"/>
      <c r="BR152" s="5211"/>
      <c r="BS152" s="5212"/>
      <c r="BT152" s="5213"/>
      <c r="BU152" s="5214"/>
      <c r="BV152" s="5215"/>
      <c r="BW152" s="5216"/>
      <c r="BX152" s="5217"/>
      <c r="BY152" s="5218"/>
      <c r="BZ152" s="5219"/>
      <c r="CA152" s="5220"/>
      <c r="CB152" s="5221"/>
      <c r="CC152" s="5222"/>
      <c r="CD152" s="5223"/>
      <c r="CE152" s="5224"/>
      <c r="CF152" s="5225"/>
      <c r="CG152" s="5226"/>
      <c r="CH152" s="5227"/>
      <c r="CI152" s="5228"/>
      <c r="CJ152" s="5229"/>
      <c r="CK152" s="5230"/>
      <c r="CL152" s="5231"/>
      <c r="CM152" s="5232"/>
      <c r="CN152" s="5233"/>
      <c r="CO152" s="5234"/>
      <c r="CP152" s="5235"/>
      <c r="CQ152" s="5236"/>
      <c r="CR152" s="3581"/>
      <c r="CS152" s="3728"/>
      <c r="CT152" s="3728" t="str">
        <f>IF(T152="","",T152)</f>
        <v>Добавить группу потребителей</v>
      </c>
      <c r="CU152" s="3728"/>
      <c r="CV152" s="3728"/>
    </row>
    <row s="5237" customFormat="1" customHeight="1" ht="14.25">
      <c r="A153" s="3716"/>
      <c r="B153" s="3716"/>
      <c r="C153" s="3716"/>
      <c r="D153" s="3716"/>
      <c r="E153" s="3717"/>
      <c r="F153" s="3717" t="s">
        <v>94</v>
      </c>
      <c r="G153" s="3717"/>
      <c r="H153" s="3718"/>
      <c r="I153" s="3716"/>
      <c r="J153" s="3716"/>
      <c r="K153" s="3716"/>
      <c r="L153" s="3719"/>
      <c r="M153" s="3720"/>
      <c r="N153" s="3720"/>
      <c r="O153" s="3573"/>
      <c r="P153" s="3905"/>
      <c r="Q153" s="3906"/>
      <c r="R153" s="3907"/>
      <c r="S153" s="3908"/>
      <c r="T153" s="3909"/>
      <c r="U153" s="3569"/>
      <c r="V153" s="3569"/>
      <c r="W153" s="3569"/>
      <c r="X153" s="3569"/>
      <c r="Y153" s="3569"/>
      <c r="Z153" s="3569"/>
      <c r="AA153" s="3569"/>
      <c r="AB153" s="3569"/>
      <c r="AC153" s="3569"/>
      <c r="AD153" s="3569"/>
      <c r="AE153" s="3569"/>
      <c r="AF153" s="3569"/>
      <c r="AG153" s="3569"/>
      <c r="AH153" s="3569"/>
      <c r="AI153" s="3569"/>
      <c r="AJ153" s="3569"/>
      <c r="AK153" s="3569"/>
      <c r="AL153" s="3569"/>
      <c r="AM153" s="3569"/>
      <c r="AN153" s="3569"/>
      <c r="AO153" s="3569"/>
      <c r="AP153" s="3569"/>
      <c r="AQ153" s="3569"/>
      <c r="AR153" s="3569"/>
      <c r="AS153" s="3569"/>
      <c r="AT153" s="3569"/>
      <c r="AU153" s="3569"/>
      <c r="AV153" s="3569"/>
      <c r="AW153" s="3569"/>
      <c r="AX153" s="3569"/>
      <c r="AY153" s="3569"/>
      <c r="AZ153" s="3569"/>
      <c r="BA153" s="3569"/>
      <c r="BB153" s="3569"/>
      <c r="BC153" s="3569"/>
      <c r="BD153" s="3569"/>
      <c r="BE153" s="3569"/>
      <c r="BF153" s="3569"/>
      <c r="BG153" s="3569"/>
      <c r="BH153" s="3569"/>
      <c r="BI153" s="3569"/>
      <c r="BJ153" s="3569"/>
      <c r="BK153" s="3569"/>
      <c r="BL153" s="3569"/>
      <c r="BM153" s="3569"/>
      <c r="BN153" s="3569"/>
      <c r="BO153" s="3569"/>
      <c r="BP153" s="3569"/>
      <c r="BQ153" s="3569"/>
      <c r="BR153" s="3569"/>
      <c r="BS153" s="3569"/>
      <c r="BT153" s="3569"/>
      <c r="BU153" s="3569"/>
      <c r="BV153" s="3569"/>
      <c r="BW153" s="3569"/>
      <c r="BX153" s="3569"/>
      <c r="BY153" s="3569"/>
      <c r="BZ153" s="3569"/>
      <c r="CA153" s="3569"/>
      <c r="CB153" s="3569"/>
      <c r="CC153" s="3569"/>
      <c r="CD153" s="3569"/>
      <c r="CE153" s="3569"/>
      <c r="CF153" s="3569"/>
      <c r="CG153" s="3569"/>
      <c r="CH153" s="3569"/>
      <c r="CI153" s="3569"/>
      <c r="CJ153" s="3569"/>
      <c r="CK153" s="3569"/>
      <c r="CL153" s="3569"/>
      <c r="CM153" s="3569"/>
      <c r="CN153" s="3569"/>
      <c r="CO153" s="3569"/>
      <c r="CP153" s="3569"/>
      <c r="CQ153" s="3910"/>
      <c r="CR153" s="3581"/>
      <c r="CS153" s="3728"/>
      <c r="CT153" s="3728" t="str">
        <f>IF(T153="","",T153)</f>
        <v/>
      </c>
      <c r="CU153" s="3728"/>
      <c r="CV153" s="3728"/>
    </row>
    <row s="5238" customFormat="1" customHeight="1" ht="0.75">
      <c r="A154" s="4239"/>
      <c r="B154" s="4239"/>
      <c r="C154" s="4239"/>
      <c r="D154" s="4239"/>
      <c r="E154" s="3717"/>
      <c r="F154" s="3717" t="s">
        <v>94</v>
      </c>
      <c r="G154" s="3718"/>
      <c r="H154" s="4239"/>
      <c r="I154" s="4239"/>
      <c r="J154" s="4239"/>
      <c r="K154" s="4239"/>
      <c r="L154" s="4240"/>
      <c r="M154" s="4241"/>
      <c r="N154" s="4241"/>
      <c r="O154" s="3581"/>
      <c r="P154" s="4242"/>
      <c r="Q154" s="4243"/>
      <c r="R154" s="4242"/>
      <c r="S154" s="4244"/>
      <c r="T154" s="4245" t="s">
        <v>254</v>
      </c>
      <c r="U154" s="3571"/>
      <c r="V154" s="3571"/>
      <c r="W154" s="3571"/>
      <c r="X154" s="3571"/>
      <c r="Y154" s="3571"/>
      <c r="Z154" s="3571"/>
      <c r="AA154" s="3571"/>
      <c r="AB154" s="3571"/>
      <c r="AC154" s="3571"/>
      <c r="AD154" s="3571"/>
      <c r="AE154" s="3571"/>
      <c r="AF154" s="3571"/>
      <c r="AG154" s="3571"/>
      <c r="AH154" s="3571"/>
      <c r="AI154" s="3571"/>
      <c r="AJ154" s="3571"/>
      <c r="AK154" s="3571"/>
      <c r="AL154" s="3571"/>
      <c r="AM154" s="3571"/>
      <c r="AN154" s="3571"/>
      <c r="AO154" s="3571"/>
      <c r="AP154" s="3571"/>
      <c r="AQ154" s="3571"/>
      <c r="AR154" s="3571"/>
      <c r="AS154" s="3571"/>
      <c r="AT154" s="3571"/>
      <c r="AU154" s="3571"/>
      <c r="AV154" s="3571"/>
      <c r="AW154" s="3571"/>
      <c r="AX154" s="3571"/>
      <c r="AY154" s="3571"/>
      <c r="AZ154" s="3571"/>
      <c r="BA154" s="3571"/>
      <c r="BB154" s="3571"/>
      <c r="BC154" s="3571"/>
      <c r="BD154" s="3571"/>
      <c r="BE154" s="3571"/>
      <c r="BF154" s="3571"/>
      <c r="BG154" s="3571"/>
      <c r="BH154" s="3571"/>
      <c r="BI154" s="3571"/>
      <c r="BJ154" s="3571"/>
      <c r="BK154" s="3571"/>
      <c r="BL154" s="3571"/>
      <c r="BM154" s="3571"/>
      <c r="BN154" s="3571"/>
      <c r="BO154" s="3571"/>
      <c r="BP154" s="3571"/>
      <c r="BQ154" s="3571"/>
      <c r="BR154" s="3571"/>
      <c r="BS154" s="3571"/>
      <c r="BT154" s="3571"/>
      <c r="BU154" s="3571"/>
      <c r="BV154" s="3571"/>
      <c r="BW154" s="3571"/>
      <c r="BX154" s="3571"/>
      <c r="BY154" s="3571"/>
      <c r="BZ154" s="3571"/>
      <c r="CA154" s="3571"/>
      <c r="CB154" s="3571"/>
      <c r="CC154" s="3571"/>
      <c r="CD154" s="3571"/>
      <c r="CE154" s="3571"/>
      <c r="CF154" s="3571"/>
      <c r="CG154" s="3571"/>
      <c r="CH154" s="3571"/>
      <c r="CI154" s="3571"/>
      <c r="CJ154" s="3571"/>
      <c r="CK154" s="3571"/>
      <c r="CL154" s="3571"/>
      <c r="CM154" s="3571"/>
      <c r="CN154" s="3571"/>
      <c r="CO154" s="3571"/>
      <c r="CP154" s="3571"/>
      <c r="CQ154" s="3571"/>
      <c r="CR154" s="3581"/>
      <c r="CS154" s="3728"/>
      <c r="CT154" s="3728" t="str">
        <f>IF(T154="","",T154)</f>
        <v>Добавить источник для дифференциации</v>
      </c>
      <c r="CU154" s="3728"/>
      <c r="CV154" s="3728"/>
    </row>
    <row s="5239" customFormat="1" customHeight="1" ht="0.75">
      <c r="A155" s="4239"/>
      <c r="B155" s="4239"/>
      <c r="C155" s="4239"/>
      <c r="D155" s="4239"/>
      <c r="E155" s="3717"/>
      <c r="F155" s="3718" t="s">
        <v>94</v>
      </c>
      <c r="G155" s="4239"/>
      <c r="H155" s="4239"/>
      <c r="I155" s="4239"/>
      <c r="J155" s="4239"/>
      <c r="K155" s="4239"/>
      <c r="L155" s="4240"/>
      <c r="M155" s="4247"/>
      <c r="N155" s="4247"/>
      <c r="O155" s="3581"/>
      <c r="P155" s="4242"/>
      <c r="Q155" s="4243"/>
      <c r="R155" s="4242"/>
      <c r="S155" s="4248"/>
      <c r="T155" s="4249" t="s">
        <v>255</v>
      </c>
      <c r="U155" s="3572"/>
      <c r="V155" s="3572"/>
      <c r="W155" s="3572"/>
      <c r="X155" s="3572"/>
      <c r="Y155" s="3572"/>
      <c r="Z155" s="3572"/>
      <c r="AA155" s="3572"/>
      <c r="AB155" s="3572"/>
      <c r="AC155" s="3572"/>
      <c r="AD155" s="3572"/>
      <c r="AE155" s="3572"/>
      <c r="AF155" s="3572"/>
      <c r="AG155" s="3572"/>
      <c r="AH155" s="3572"/>
      <c r="AI155" s="3572"/>
      <c r="AJ155" s="3572"/>
      <c r="AK155" s="3572"/>
      <c r="AL155" s="3572"/>
      <c r="AM155" s="3572"/>
      <c r="AN155" s="3572"/>
      <c r="AO155" s="3572"/>
      <c r="AP155" s="3572"/>
      <c r="AQ155" s="3572"/>
      <c r="AR155" s="3572"/>
      <c r="AS155" s="3572"/>
      <c r="AT155" s="3572"/>
      <c r="AU155" s="3572"/>
      <c r="AV155" s="3572"/>
      <c r="AW155" s="3572"/>
      <c r="AX155" s="3572"/>
      <c r="AY155" s="3572"/>
      <c r="AZ155" s="3572"/>
      <c r="BA155" s="3572"/>
      <c r="BB155" s="3572"/>
      <c r="BC155" s="3572"/>
      <c r="BD155" s="3572"/>
      <c r="BE155" s="3572"/>
      <c r="BF155" s="3572"/>
      <c r="BG155" s="3572"/>
      <c r="BH155" s="3572"/>
      <c r="BI155" s="3572"/>
      <c r="BJ155" s="3572"/>
      <c r="BK155" s="3572"/>
      <c r="BL155" s="3572"/>
      <c r="BM155" s="3572"/>
      <c r="BN155" s="3572"/>
      <c r="BO155" s="3572"/>
      <c r="BP155" s="3572"/>
      <c r="BQ155" s="3572"/>
      <c r="BR155" s="3572"/>
      <c r="BS155" s="3572"/>
      <c r="BT155" s="3572"/>
      <c r="BU155" s="3572"/>
      <c r="BV155" s="3572"/>
      <c r="BW155" s="3572"/>
      <c r="BX155" s="3572"/>
      <c r="BY155" s="3572"/>
      <c r="BZ155" s="3572"/>
      <c r="CA155" s="3572"/>
      <c r="CB155" s="3572"/>
      <c r="CC155" s="3572"/>
      <c r="CD155" s="3572"/>
      <c r="CE155" s="3572"/>
      <c r="CF155" s="3572"/>
      <c r="CG155" s="3572"/>
      <c r="CH155" s="3572"/>
      <c r="CI155" s="3572"/>
      <c r="CJ155" s="3572"/>
      <c r="CK155" s="3572"/>
      <c r="CL155" s="3572"/>
      <c r="CM155" s="3572"/>
      <c r="CN155" s="3572"/>
      <c r="CO155" s="3572"/>
      <c r="CP155" s="3572"/>
      <c r="CQ155" s="3572"/>
      <c r="CR155" s="3581"/>
      <c r="CS155" s="3728"/>
      <c r="CT155" s="3728" t="str">
        <f>IF(T155="","",T155)</f>
        <v>Добавить централизованную систему для дифференциации</v>
      </c>
      <c r="CU155" s="3728"/>
      <c r="CV155" s="3728"/>
    </row>
    <row s="5240" customFormat="1" customHeight="1" ht="21">
      <c r="A156" s="3716"/>
      <c r="B156" s="3716" t="s">
        <v>279</v>
      </c>
      <c r="C156" s="3716"/>
      <c r="D156" s="3716"/>
      <c r="E156" s="3717"/>
      <c r="F156" s="3718" t="s">
        <v>135</v>
      </c>
      <c r="G156" s="3716"/>
      <c r="H156" s="3716"/>
      <c r="I156" s="3716"/>
      <c r="J156" s="3716"/>
      <c r="K156" s="3716"/>
      <c r="L156" s="3719"/>
      <c r="M156" s="3720"/>
      <c r="N156" s="3720"/>
      <c r="O156" s="3720"/>
      <c r="P156" s="4073"/>
      <c r="Q156" s="3722"/>
      <c r="R156" s="3723"/>
      <c r="S156" s="3724" t="str">
        <f>INDEX(PT_DIFFERENTIATION_NUM_TER,MATCH(B156,PT_DIFFERENTIATION_TER_ID,0))</f>
        <v>1.9</v>
      </c>
      <c r="T156" s="4074" t="s">
        <v>612</v>
      </c>
      <c r="U156" s="3726"/>
      <c r="V156" s="3432"/>
      <c r="W156" s="3433"/>
      <c r="X156" s="3433"/>
      <c r="Y156" s="3433"/>
      <c r="Z156" s="3433"/>
      <c r="AA156" s="3433"/>
      <c r="AB156" s="3433"/>
      <c r="AC156" s="3434"/>
      <c r="AD156" s="3432" t="str">
        <f>INDEX(PT_DIFFERENTIATION_TER,MATCH(B156,PT_DIFFERENTIATION_TER_ID,0))</f>
        <v>Территория 9</v>
      </c>
      <c r="AE156" s="3433"/>
      <c r="AF156" s="3433"/>
      <c r="AG156" s="3433"/>
      <c r="AH156" s="3433"/>
      <c r="AI156" s="3433"/>
      <c r="AJ156" s="3433"/>
      <c r="AK156" s="3433"/>
      <c r="AL156" s="3432"/>
      <c r="AM156" s="3433"/>
      <c r="AN156" s="3433"/>
      <c r="AO156" s="3433"/>
      <c r="AP156" s="3433"/>
      <c r="AQ156" s="3433"/>
      <c r="AR156" s="3433"/>
      <c r="AS156" s="3434"/>
      <c r="AT156" s="3432"/>
      <c r="AU156" s="3433"/>
      <c r="AV156" s="3433"/>
      <c r="AW156" s="3433"/>
      <c r="AX156" s="3433"/>
      <c r="AY156" s="3433"/>
      <c r="AZ156" s="3433"/>
      <c r="BA156" s="3434"/>
      <c r="BB156" s="3432"/>
      <c r="BC156" s="3433"/>
      <c r="BD156" s="3433"/>
      <c r="BE156" s="3433"/>
      <c r="BF156" s="3433"/>
      <c r="BG156" s="3433"/>
      <c r="BH156" s="3433"/>
      <c r="BI156" s="3434"/>
      <c r="BJ156" s="3432"/>
      <c r="BK156" s="3433"/>
      <c r="BL156" s="3433"/>
      <c r="BM156" s="3433"/>
      <c r="BN156" s="3433"/>
      <c r="BO156" s="3433"/>
      <c r="BP156" s="3433"/>
      <c r="BQ156" s="3434"/>
      <c r="BR156" s="3432"/>
      <c r="BS156" s="3433"/>
      <c r="BT156" s="3433"/>
      <c r="BU156" s="3433"/>
      <c r="BV156" s="3433"/>
      <c r="BW156" s="3433"/>
      <c r="BX156" s="3433"/>
      <c r="BY156" s="3434"/>
      <c r="BZ156" s="3432"/>
      <c r="CA156" s="3433"/>
      <c r="CB156" s="3433"/>
      <c r="CC156" s="3433"/>
      <c r="CD156" s="3433"/>
      <c r="CE156" s="3433"/>
      <c r="CF156" s="3433"/>
      <c r="CG156" s="3434"/>
      <c r="CH156" s="3432"/>
      <c r="CI156" s="3433"/>
      <c r="CJ156" s="3433"/>
      <c r="CK156" s="3433"/>
      <c r="CL156" s="3433"/>
      <c r="CM156" s="3433"/>
      <c r="CN156" s="3433"/>
      <c r="CO156" s="3434"/>
      <c r="CP156" s="3434"/>
      <c r="CQ156" s="3727" t="s">
        <v>613</v>
      </c>
      <c r="CR156" s="3581"/>
      <c r="CS156" s="3728"/>
      <c r="CT156" s="3728" t="str">
        <f>IF(T156="","",T156)</f>
        <v>Территория действия тарифа</v>
      </c>
      <c r="CU156" s="3728"/>
      <c r="CV156" s="3728"/>
    </row>
    <row s="5241" customFormat="1" customHeight="1" ht="23.25">
      <c r="A157" s="3716"/>
      <c r="B157" s="3716"/>
      <c r="C157" s="3716" t="s">
        <v>280</v>
      </c>
      <c r="D157" s="3716"/>
      <c r="E157" s="3717"/>
      <c r="F157" s="3717" t="s">
        <v>130</v>
      </c>
      <c r="G157" s="3718">
        <v>1</v>
      </c>
      <c r="H157" s="3716"/>
      <c r="I157" s="3716"/>
      <c r="J157" s="3716"/>
      <c r="K157" s="3716"/>
      <c r="L157" s="3719"/>
      <c r="M157" s="3720"/>
      <c r="N157" s="3720"/>
      <c r="O157" s="3720"/>
      <c r="P157" s="3721"/>
      <c r="Q157" s="3722"/>
      <c r="R157" s="3723"/>
      <c r="S157" s="3724" t="str">
        <f>INDEX(PT_DIFFERENTIATION_NUM_CS,MATCH(C157,PT_DIFFERENTIATION_CS_ID,0))</f>
        <v>1.9.1</v>
      </c>
      <c r="T157" s="4076" t="s">
        <v>614</v>
      </c>
      <c r="U157" s="3726"/>
      <c r="V157" s="3432"/>
      <c r="W157" s="3433"/>
      <c r="X157" s="3433"/>
      <c r="Y157" s="3433"/>
      <c r="Z157" s="3433"/>
      <c r="AA157" s="3433"/>
      <c r="AB157" s="3433"/>
      <c r="AC157" s="3434"/>
      <c r="AD157" s="3432" t="str">
        <f>INDEX(PT_DIFFERENTIATION_CS,MATCH(C157,PT_DIFFERENTIATION_CS_ID,0))</f>
        <v>без дифференциации</v>
      </c>
      <c r="AE157" s="3433"/>
      <c r="AF157" s="3433"/>
      <c r="AG157" s="3433"/>
      <c r="AH157" s="3433"/>
      <c r="AI157" s="3433"/>
      <c r="AJ157" s="3433"/>
      <c r="AK157" s="3433"/>
      <c r="AL157" s="3432"/>
      <c r="AM157" s="3433"/>
      <c r="AN157" s="3433"/>
      <c r="AO157" s="3433"/>
      <c r="AP157" s="3433"/>
      <c r="AQ157" s="3433"/>
      <c r="AR157" s="3433"/>
      <c r="AS157" s="3434"/>
      <c r="AT157" s="3432"/>
      <c r="AU157" s="3433"/>
      <c r="AV157" s="3433"/>
      <c r="AW157" s="3433"/>
      <c r="AX157" s="3433"/>
      <c r="AY157" s="3433"/>
      <c r="AZ157" s="3433"/>
      <c r="BA157" s="3434"/>
      <c r="BB157" s="3432"/>
      <c r="BC157" s="3433"/>
      <c r="BD157" s="3433"/>
      <c r="BE157" s="3433"/>
      <c r="BF157" s="3433"/>
      <c r="BG157" s="3433"/>
      <c r="BH157" s="3433"/>
      <c r="BI157" s="3434"/>
      <c r="BJ157" s="3432"/>
      <c r="BK157" s="3433"/>
      <c r="BL157" s="3433"/>
      <c r="BM157" s="3433"/>
      <c r="BN157" s="3433"/>
      <c r="BO157" s="3433"/>
      <c r="BP157" s="3433"/>
      <c r="BQ157" s="3434"/>
      <c r="BR157" s="3432"/>
      <c r="BS157" s="3433"/>
      <c r="BT157" s="3433"/>
      <c r="BU157" s="3433"/>
      <c r="BV157" s="3433"/>
      <c r="BW157" s="3433"/>
      <c r="BX157" s="3433"/>
      <c r="BY157" s="3434"/>
      <c r="BZ157" s="3432"/>
      <c r="CA157" s="3433"/>
      <c r="CB157" s="3433"/>
      <c r="CC157" s="3433"/>
      <c r="CD157" s="3433"/>
      <c r="CE157" s="3433"/>
      <c r="CF157" s="3433"/>
      <c r="CG157" s="3434"/>
      <c r="CH157" s="3432"/>
      <c r="CI157" s="3433"/>
      <c r="CJ157" s="3433"/>
      <c r="CK157" s="3433"/>
      <c r="CL157" s="3433"/>
      <c r="CM157" s="3433"/>
      <c r="CN157" s="3433"/>
      <c r="CO157" s="3434"/>
      <c r="CP157" s="3434"/>
      <c r="CQ157" s="3727" t="s">
        <v>615</v>
      </c>
      <c r="CR157" s="3581"/>
      <c r="CS157" s="3728"/>
      <c r="CT157" s="3728" t="str">
        <f>IF(T157="","",T157)</f>
        <v>Наименование системы теплоснабжения </v>
      </c>
      <c r="CU157" s="3728"/>
      <c r="CV157" s="3728"/>
    </row>
    <row s="5242" customFormat="1" customHeight="1" ht="21">
      <c r="A158" s="3716"/>
      <c r="B158" s="3716"/>
      <c r="C158" s="3716"/>
      <c r="D158" s="3716" t="s">
        <v>281</v>
      </c>
      <c r="E158" s="3717"/>
      <c r="F158" s="3717" t="s">
        <v>130</v>
      </c>
      <c r="G158" s="3717"/>
      <c r="H158" s="3718">
        <v>1</v>
      </c>
      <c r="I158" s="3716"/>
      <c r="J158" s="3716"/>
      <c r="K158" s="3716"/>
      <c r="L158" s="3719"/>
      <c r="M158" s="3720"/>
      <c r="N158" s="3720"/>
      <c r="O158" s="3720"/>
      <c r="P158" s="3721"/>
      <c r="Q158" s="3722"/>
      <c r="R158" s="3723"/>
      <c r="S158" s="3724" t="str">
        <f>INDEX(PT_DIFFERENTIATION_NUM_IST_TE,MATCH(D158,PT_DIFFERENTIATION_IST_TE_ID,0))</f>
        <v>1.9.1.1</v>
      </c>
      <c r="T158" s="3725" t="s">
        <v>616</v>
      </c>
      <c r="U158" s="3726"/>
      <c r="V158" s="3432"/>
      <c r="W158" s="3433"/>
      <c r="X158" s="3433"/>
      <c r="Y158" s="3433"/>
      <c r="Z158" s="3433"/>
      <c r="AA158" s="3433"/>
      <c r="AB158" s="3433"/>
      <c r="AC158" s="3434"/>
      <c r="AD158" s="3432" t="str">
        <f>INDEX(PT_DIFFERENTIATION_IST_TE,MATCH(D158,PT_DIFFERENTIATION_IST_TE_ID,0))</f>
        <v>населенный пункт Высокий</v>
      </c>
      <c r="AE158" s="3433"/>
      <c r="AF158" s="3433"/>
      <c r="AG158" s="3433"/>
      <c r="AH158" s="3433"/>
      <c r="AI158" s="3433"/>
      <c r="AJ158" s="3433"/>
      <c r="AK158" s="3433"/>
      <c r="AL158" s="3432"/>
      <c r="AM158" s="3433"/>
      <c r="AN158" s="3433"/>
      <c r="AO158" s="3433"/>
      <c r="AP158" s="3433"/>
      <c r="AQ158" s="3433"/>
      <c r="AR158" s="3433"/>
      <c r="AS158" s="3434"/>
      <c r="AT158" s="3432"/>
      <c r="AU158" s="3433"/>
      <c r="AV158" s="3433"/>
      <c r="AW158" s="3433"/>
      <c r="AX158" s="3433"/>
      <c r="AY158" s="3433"/>
      <c r="AZ158" s="3433"/>
      <c r="BA158" s="3434"/>
      <c r="BB158" s="3432"/>
      <c r="BC158" s="3433"/>
      <c r="BD158" s="3433"/>
      <c r="BE158" s="3433"/>
      <c r="BF158" s="3433"/>
      <c r="BG158" s="3433"/>
      <c r="BH158" s="3433"/>
      <c r="BI158" s="3434"/>
      <c r="BJ158" s="3432"/>
      <c r="BK158" s="3433"/>
      <c r="BL158" s="3433"/>
      <c r="BM158" s="3433"/>
      <c r="BN158" s="3433"/>
      <c r="BO158" s="3433"/>
      <c r="BP158" s="3433"/>
      <c r="BQ158" s="3434"/>
      <c r="BR158" s="3432"/>
      <c r="BS158" s="3433"/>
      <c r="BT158" s="3433"/>
      <c r="BU158" s="3433"/>
      <c r="BV158" s="3433"/>
      <c r="BW158" s="3433"/>
      <c r="BX158" s="3433"/>
      <c r="BY158" s="3434"/>
      <c r="BZ158" s="3432"/>
      <c r="CA158" s="3433"/>
      <c r="CB158" s="3433"/>
      <c r="CC158" s="3433"/>
      <c r="CD158" s="3433"/>
      <c r="CE158" s="3433"/>
      <c r="CF158" s="3433"/>
      <c r="CG158" s="3434"/>
      <c r="CH158" s="3432"/>
      <c r="CI158" s="3433"/>
      <c r="CJ158" s="3433"/>
      <c r="CK158" s="3433"/>
      <c r="CL158" s="3433"/>
      <c r="CM158" s="3433"/>
      <c r="CN158" s="3433"/>
      <c r="CO158" s="3434"/>
      <c r="CP158" s="3434"/>
      <c r="CQ158" s="3727" t="s">
        <v>617</v>
      </c>
      <c r="CR158" s="3581"/>
      <c r="CS158" s="3728"/>
      <c r="CT158" s="3728" t="str">
        <f>IF(T158="","",T158)</f>
        <v>Источник тепловой энергии  </v>
      </c>
      <c r="CU158" s="3728"/>
      <c r="CV158" s="3728"/>
    </row>
    <row s="5243" customFormat="1" customHeight="1" ht="14.25">
      <c r="A159" s="3716"/>
      <c r="B159" s="3716"/>
      <c r="C159" s="3716"/>
      <c r="D159" s="3716"/>
      <c r="E159" s="3717"/>
      <c r="F159" s="3717" t="s">
        <v>130</v>
      </c>
      <c r="G159" s="3717"/>
      <c r="H159" s="3717"/>
      <c r="I159" s="3730" t="str">
        <f>S158&amp;".1"</f>
        <v>1.9.1.1.1</v>
      </c>
      <c r="J159" s="3716"/>
      <c r="K159" s="3716"/>
      <c r="L159" s="3719" t="s">
        <v>618</v>
      </c>
      <c r="M159" s="3573"/>
      <c r="N159" s="3731"/>
      <c r="O159" s="3731"/>
      <c r="P159" s="3732">
        <v>1</v>
      </c>
      <c r="Q159" s="3732"/>
      <c r="R159" s="3733"/>
      <c r="S159" s="3734"/>
      <c r="T159" s="3735"/>
      <c r="U159" s="3736"/>
      <c r="V159" s="3441"/>
      <c r="W159" s="3442"/>
      <c r="X159" s="3442"/>
      <c r="Y159" s="3442"/>
      <c r="Z159" s="3442"/>
      <c r="AA159" s="3442"/>
      <c r="AB159" s="3442"/>
      <c r="AC159" s="3443"/>
      <c r="AD159" s="3441"/>
      <c r="AE159" s="3442"/>
      <c r="AF159" s="3442"/>
      <c r="AG159" s="3442"/>
      <c r="AH159" s="3442"/>
      <c r="AI159" s="3442"/>
      <c r="AJ159" s="3442"/>
      <c r="AK159" s="3442"/>
      <c r="AL159" s="3441"/>
      <c r="AM159" s="3442"/>
      <c r="AN159" s="3442"/>
      <c r="AO159" s="3442"/>
      <c r="AP159" s="3442"/>
      <c r="AQ159" s="3442"/>
      <c r="AR159" s="3442"/>
      <c r="AS159" s="3443"/>
      <c r="AT159" s="3441"/>
      <c r="AU159" s="3442"/>
      <c r="AV159" s="3442"/>
      <c r="AW159" s="3442"/>
      <c r="AX159" s="3442"/>
      <c r="AY159" s="3442"/>
      <c r="AZ159" s="3442"/>
      <c r="BA159" s="3443"/>
      <c r="BB159" s="3441"/>
      <c r="BC159" s="3442"/>
      <c r="BD159" s="3442"/>
      <c r="BE159" s="3442"/>
      <c r="BF159" s="3442"/>
      <c r="BG159" s="3442"/>
      <c r="BH159" s="3442"/>
      <c r="BI159" s="3443"/>
      <c r="BJ159" s="3441"/>
      <c r="BK159" s="3442"/>
      <c r="BL159" s="3442"/>
      <c r="BM159" s="3442"/>
      <c r="BN159" s="3442"/>
      <c r="BO159" s="3442"/>
      <c r="BP159" s="3442"/>
      <c r="BQ159" s="3443"/>
      <c r="BR159" s="3441"/>
      <c r="BS159" s="3442"/>
      <c r="BT159" s="3442"/>
      <c r="BU159" s="3442"/>
      <c r="BV159" s="3442"/>
      <c r="BW159" s="3442"/>
      <c r="BX159" s="3442"/>
      <c r="BY159" s="3443"/>
      <c r="BZ159" s="3441"/>
      <c r="CA159" s="3442"/>
      <c r="CB159" s="3442"/>
      <c r="CC159" s="3442"/>
      <c r="CD159" s="3442"/>
      <c r="CE159" s="3442"/>
      <c r="CF159" s="3442"/>
      <c r="CG159" s="3443"/>
      <c r="CH159" s="3441"/>
      <c r="CI159" s="3442"/>
      <c r="CJ159" s="3442"/>
      <c r="CK159" s="3442"/>
      <c r="CL159" s="3442"/>
      <c r="CM159" s="3442"/>
      <c r="CN159" s="3442"/>
      <c r="CO159" s="3443"/>
      <c r="CP159" s="3443"/>
      <c r="CQ159" s="3737"/>
      <c r="CR159" s="3581"/>
      <c r="CS159" s="3728"/>
      <c r="CT159" s="3728" t="str">
        <f>IF(T159="","",T159)</f>
        <v/>
      </c>
      <c r="CU159" s="3728"/>
      <c r="CV159" s="3728"/>
    </row>
    <row s="5244" customFormat="1" customHeight="1" ht="21">
      <c r="A160" s="3716"/>
      <c r="B160" s="3716"/>
      <c r="C160" s="3716"/>
      <c r="D160" s="3716"/>
      <c r="E160" s="3717"/>
      <c r="F160" s="3717" t="s">
        <v>130</v>
      </c>
      <c r="G160" s="3717"/>
      <c r="H160" s="3717"/>
      <c r="I160" s="3739"/>
      <c r="J160" s="3730" t="str">
        <f>I159&amp;".1"</f>
        <v>1.9.1.1.1.1</v>
      </c>
      <c r="K160" s="3716"/>
      <c r="L160" s="3719" t="s">
        <v>621</v>
      </c>
      <c r="M160" s="3573"/>
      <c r="N160" s="3573"/>
      <c r="O160" s="3731"/>
      <c r="P160" s="3732"/>
      <c r="Q160" s="3732">
        <v>1</v>
      </c>
      <c r="R160" s="3740"/>
      <c r="S160" s="3724" t="str">
        <f>$J160</f>
        <v>1.9.1.1.1.1</v>
      </c>
      <c r="T160" s="3741" t="s">
        <v>622</v>
      </c>
      <c r="U160" s="3726"/>
      <c r="V160" s="3445"/>
      <c r="W160" s="3446"/>
      <c r="X160" s="3446"/>
      <c r="Y160" s="3446"/>
      <c r="Z160" s="3446"/>
      <c r="AA160" s="3446"/>
      <c r="AB160" s="3446"/>
      <c r="AC160" s="3447"/>
      <c r="AD160" s="3445" t="s">
        <v>662</v>
      </c>
      <c r="AE160" s="3446"/>
      <c r="AF160" s="3446"/>
      <c r="AG160" s="3446"/>
      <c r="AH160" s="3446"/>
      <c r="AI160" s="3446"/>
      <c r="AJ160" s="3446"/>
      <c r="AK160" s="3446"/>
      <c r="AL160" s="3445"/>
      <c r="AM160" s="3446"/>
      <c r="AN160" s="3446"/>
      <c r="AO160" s="3446"/>
      <c r="AP160" s="3446"/>
      <c r="AQ160" s="3446"/>
      <c r="AR160" s="3446"/>
      <c r="AS160" s="3447"/>
      <c r="AT160" s="3445"/>
      <c r="AU160" s="3446"/>
      <c r="AV160" s="3446"/>
      <c r="AW160" s="3446"/>
      <c r="AX160" s="3446"/>
      <c r="AY160" s="3446"/>
      <c r="AZ160" s="3446"/>
      <c r="BA160" s="3447"/>
      <c r="BB160" s="3445"/>
      <c r="BC160" s="3446"/>
      <c r="BD160" s="3446"/>
      <c r="BE160" s="3446"/>
      <c r="BF160" s="3446"/>
      <c r="BG160" s="3446"/>
      <c r="BH160" s="3446"/>
      <c r="BI160" s="3447"/>
      <c r="BJ160" s="3445"/>
      <c r="BK160" s="3446"/>
      <c r="BL160" s="3446"/>
      <c r="BM160" s="3446"/>
      <c r="BN160" s="3446"/>
      <c r="BO160" s="3446"/>
      <c r="BP160" s="3446"/>
      <c r="BQ160" s="3447"/>
      <c r="BR160" s="3445"/>
      <c r="BS160" s="3446"/>
      <c r="BT160" s="3446"/>
      <c r="BU160" s="3446"/>
      <c r="BV160" s="3446"/>
      <c r="BW160" s="3446"/>
      <c r="BX160" s="3446"/>
      <c r="BY160" s="3447"/>
      <c r="BZ160" s="3445"/>
      <c r="CA160" s="3446"/>
      <c r="CB160" s="3446"/>
      <c r="CC160" s="3446"/>
      <c r="CD160" s="3446"/>
      <c r="CE160" s="3446"/>
      <c r="CF160" s="3446"/>
      <c r="CG160" s="3447"/>
      <c r="CH160" s="3445"/>
      <c r="CI160" s="3446"/>
      <c r="CJ160" s="3446"/>
      <c r="CK160" s="3446"/>
      <c r="CL160" s="3446"/>
      <c r="CM160" s="3446"/>
      <c r="CN160" s="3446"/>
      <c r="CO160" s="3447"/>
      <c r="CP160" s="3447"/>
      <c r="CQ160" s="3727" t="s">
        <v>623</v>
      </c>
      <c r="CR160" s="3581"/>
      <c r="CS160" s="3728"/>
      <c r="CT160" s="3728" t="str">
        <f>IF(T160="","",T160)</f>
        <v>Группа потребителей</v>
      </c>
      <c r="CU160" s="3728"/>
      <c r="CV160" s="3728"/>
    </row>
    <row s="5245" customFormat="1" customHeight="1" ht="21">
      <c r="A161" s="3716"/>
      <c r="B161" s="3716"/>
      <c r="C161" s="3716"/>
      <c r="D161" s="3716"/>
      <c r="E161" s="3717"/>
      <c r="F161" s="3717" t="s">
        <v>130</v>
      </c>
      <c r="G161" s="3717"/>
      <c r="H161" s="3717"/>
      <c r="I161" s="3739"/>
      <c r="J161" s="3739"/>
      <c r="K161" s="3730" t="str">
        <f>J160&amp;".1"</f>
        <v>1.9.1.1.1.1.1</v>
      </c>
      <c r="L161" s="3719" t="s">
        <v>624</v>
      </c>
      <c r="M161" s="3573"/>
      <c r="N161" s="3573"/>
      <c r="O161" s="3573"/>
      <c r="P161" s="3732"/>
      <c r="Q161" s="3732"/>
      <c r="R161" s="3740">
        <v>1</v>
      </c>
      <c r="S161" s="3724" t="str">
        <f>$K161</f>
        <v>1.9.1.1.1.1.1</v>
      </c>
      <c r="T161" s="3743" t="s">
        <v>663</v>
      </c>
      <c r="U161" s="3726"/>
      <c r="V161" s="3448"/>
      <c r="W161" s="3449"/>
      <c r="X161" s="3448"/>
      <c r="Y161" s="3450"/>
      <c r="Z161" s="3451"/>
      <c r="AA161" s="2872" t="s">
        <v>63</v>
      </c>
      <c r="AB161" s="3451"/>
      <c r="AC161" s="2872" t="s">
        <v>63</v>
      </c>
      <c r="AD161" s="3448">
        <v>52.28</v>
      </c>
      <c r="AE161" s="3449"/>
      <c r="AF161" s="3448"/>
      <c r="AG161" s="3450"/>
      <c r="AH161" s="3451">
        <v>44197</v>
      </c>
      <c r="AI161" s="2872" t="s">
        <v>63</v>
      </c>
      <c r="AJ161" s="3451">
        <v>44377</v>
      </c>
      <c r="AK161" s="2872" t="s">
        <v>63</v>
      </c>
      <c r="AL161" s="3448">
        <v>61.17</v>
      </c>
      <c r="AM161" s="3449"/>
      <c r="AN161" s="3448"/>
      <c r="AO161" s="3450"/>
      <c r="AP161" s="3451">
        <v>44378</v>
      </c>
      <c r="AQ161" s="2872" t="s">
        <v>63</v>
      </c>
      <c r="AR161" s="3451">
        <v>44561</v>
      </c>
      <c r="AS161" s="2872" t="s">
        <v>63</v>
      </c>
      <c r="AT161" s="3448">
        <v>61.17</v>
      </c>
      <c r="AU161" s="3449"/>
      <c r="AV161" s="3448"/>
      <c r="AW161" s="3450"/>
      <c r="AX161" s="3451">
        <v>44562</v>
      </c>
      <c r="AY161" s="2872" t="s">
        <v>63</v>
      </c>
      <c r="AZ161" s="3451">
        <v>44601</v>
      </c>
      <c r="BA161" s="2872" t="s">
        <v>63</v>
      </c>
      <c r="BB161" s="3448">
        <v>61.17</v>
      </c>
      <c r="BC161" s="3449"/>
      <c r="BD161" s="3448"/>
      <c r="BE161" s="3450"/>
      <c r="BF161" s="3451">
        <v>44602</v>
      </c>
      <c r="BG161" s="2872" t="s">
        <v>63</v>
      </c>
      <c r="BH161" s="3451">
        <v>44742</v>
      </c>
      <c r="BI161" s="2872" t="s">
        <v>63</v>
      </c>
      <c r="BJ161" s="3448">
        <v>82.39</v>
      </c>
      <c r="BK161" s="3449"/>
      <c r="BL161" s="3448"/>
      <c r="BM161" s="3450"/>
      <c r="BN161" s="3451">
        <v>44743</v>
      </c>
      <c r="BO161" s="2872" t="s">
        <v>63</v>
      </c>
      <c r="BP161" s="3451">
        <v>44804</v>
      </c>
      <c r="BQ161" s="2872" t="s">
        <v>63</v>
      </c>
      <c r="BR161" s="3448">
        <v>82.39</v>
      </c>
      <c r="BS161" s="3449"/>
      <c r="BT161" s="3448"/>
      <c r="BU161" s="3450"/>
      <c r="BV161" s="3451">
        <v>44805</v>
      </c>
      <c r="BW161" s="2872" t="s">
        <v>63</v>
      </c>
      <c r="BX161" s="3451">
        <v>44895</v>
      </c>
      <c r="BY161" s="2872" t="s">
        <v>63</v>
      </c>
      <c r="BZ161" s="3448">
        <v>78.97</v>
      </c>
      <c r="CA161" s="3449"/>
      <c r="CB161" s="3448"/>
      <c r="CC161" s="3450"/>
      <c r="CD161" s="3451">
        <v>44896</v>
      </c>
      <c r="CE161" s="2872" t="s">
        <v>63</v>
      </c>
      <c r="CF161" s="3451">
        <v>45174</v>
      </c>
      <c r="CG161" s="2872" t="s">
        <v>63</v>
      </c>
      <c r="CH161" s="3448">
        <v>78.97</v>
      </c>
      <c r="CI161" s="3449"/>
      <c r="CJ161" s="3448"/>
      <c r="CK161" s="3450"/>
      <c r="CL161" s="3451">
        <v>45175</v>
      </c>
      <c r="CM161" s="2872" t="s">
        <v>63</v>
      </c>
      <c r="CN161" s="3451">
        <v>45291</v>
      </c>
      <c r="CO161" s="2872" t="s">
        <v>63</v>
      </c>
      <c r="CP161" s="3449"/>
      <c r="CQ161" s="3744" t="s">
        <v>625</v>
      </c>
      <c r="CR161" s="3581">
        <f>STRCHECKDATE(V162:CP162)</f>
      </c>
      <c r="CS161" s="3728"/>
      <c r="CT161" s="3728" t="str">
        <f>IF(T161="","",T161)</f>
        <v>вода</v>
      </c>
      <c r="CU161" s="3728"/>
      <c r="CV161" s="3728"/>
    </row>
    <row s="5246" customFormat="1" customHeight="1" ht="0.75">
      <c r="A162" s="3716"/>
      <c r="B162" s="3716"/>
      <c r="C162" s="3716"/>
      <c r="D162" s="3716"/>
      <c r="E162" s="3717"/>
      <c r="F162" s="3717" t="s">
        <v>130</v>
      </c>
      <c r="G162" s="3717"/>
      <c r="H162" s="3717"/>
      <c r="I162" s="3739"/>
      <c r="J162" s="3739"/>
      <c r="K162" s="3730"/>
      <c r="L162" s="3719"/>
      <c r="M162" s="3573"/>
      <c r="N162" s="3573"/>
      <c r="O162" s="3573"/>
      <c r="P162" s="3732"/>
      <c r="Q162" s="3732"/>
      <c r="R162" s="3740"/>
      <c r="S162" s="3746"/>
      <c r="T162" s="3726"/>
      <c r="U162" s="3726"/>
      <c r="V162" s="3449"/>
      <c r="W162" s="3449"/>
      <c r="X162" s="3449"/>
      <c r="Y162" s="3452" t="str">
        <f>Z161&amp;"-"&amp;AB161</f>
        <v>-</v>
      </c>
      <c r="Z162" s="3453"/>
      <c r="AA162" s="2872"/>
      <c r="AB162" s="3453"/>
      <c r="AC162" s="2872"/>
      <c r="AD162" s="3449"/>
      <c r="AE162" s="3449"/>
      <c r="AF162" s="3449"/>
      <c r="AG162" s="3452" t="str">
        <f>AH161&amp;"-"&amp;AJ161</f>
        <v>44197-44377</v>
      </c>
      <c r="AH162" s="3453"/>
      <c r="AI162" s="2872"/>
      <c r="AJ162" s="3453"/>
      <c r="AK162" s="2872"/>
      <c r="AL162" s="3449"/>
      <c r="AM162" s="3449"/>
      <c r="AN162" s="3449"/>
      <c r="AO162" s="3452" t="str">
        <f>AP161&amp;"-"&amp;AR161</f>
        <v>44378-44561</v>
      </c>
      <c r="AP162" s="3453"/>
      <c r="AQ162" s="2872"/>
      <c r="AR162" s="3453"/>
      <c r="AS162" s="2872"/>
      <c r="AT162" s="3449"/>
      <c r="AU162" s="3449"/>
      <c r="AV162" s="3449"/>
      <c r="AW162" s="3452" t="str">
        <f>AX161&amp;"-"&amp;AZ161</f>
        <v>44562-44601</v>
      </c>
      <c r="AX162" s="3453"/>
      <c r="AY162" s="2872"/>
      <c r="AZ162" s="3453"/>
      <c r="BA162" s="2872"/>
      <c r="BB162" s="3449"/>
      <c r="BC162" s="3449"/>
      <c r="BD162" s="3449"/>
      <c r="BE162" s="3452" t="str">
        <f>BF161&amp;"-"&amp;BH161</f>
        <v>44602-44742</v>
      </c>
      <c r="BF162" s="3453"/>
      <c r="BG162" s="2872"/>
      <c r="BH162" s="3453"/>
      <c r="BI162" s="2872"/>
      <c r="BJ162" s="3449"/>
      <c r="BK162" s="3449"/>
      <c r="BL162" s="3449"/>
      <c r="BM162" s="3452" t="str">
        <f>BN161&amp;"-"&amp;BP161</f>
        <v>44743-44804</v>
      </c>
      <c r="BN162" s="3453"/>
      <c r="BO162" s="2872"/>
      <c r="BP162" s="3453"/>
      <c r="BQ162" s="2872"/>
      <c r="BR162" s="3449"/>
      <c r="BS162" s="3449"/>
      <c r="BT162" s="3449"/>
      <c r="BU162" s="3452" t="str">
        <f>BV161&amp;"-"&amp;BX161</f>
        <v>44805-44895</v>
      </c>
      <c r="BV162" s="3453"/>
      <c r="BW162" s="2872"/>
      <c r="BX162" s="3453"/>
      <c r="BY162" s="2872"/>
      <c r="BZ162" s="3449"/>
      <c r="CA162" s="3449"/>
      <c r="CB162" s="3449"/>
      <c r="CC162" s="3452" t="str">
        <f>CD161&amp;"-"&amp;CF161</f>
        <v>44896-45174</v>
      </c>
      <c r="CD162" s="3453"/>
      <c r="CE162" s="2872"/>
      <c r="CF162" s="3453"/>
      <c r="CG162" s="2872"/>
      <c r="CH162" s="3449"/>
      <c r="CI162" s="3449"/>
      <c r="CJ162" s="3449"/>
      <c r="CK162" s="3452" t="str">
        <f>CL161&amp;"-"&amp;CN161</f>
        <v>45175-45291</v>
      </c>
      <c r="CL162" s="3453"/>
      <c r="CM162" s="2872"/>
      <c r="CN162" s="3453"/>
      <c r="CO162" s="2872"/>
      <c r="CP162" s="3449"/>
      <c r="CQ162" s="3747"/>
      <c r="CR162" s="3581"/>
      <c r="CS162" s="3728"/>
      <c r="CT162" s="3728" t="str">
        <f>IF(T162="","",T162)</f>
        <v/>
      </c>
      <c r="CU162" s="3728"/>
      <c r="CV162" s="3728"/>
    </row>
    <row s="5247" customFormat="1" customHeight="1" ht="15">
      <c r="A163" s="3716"/>
      <c r="B163" s="3716"/>
      <c r="C163" s="3716"/>
      <c r="D163" s="3716"/>
      <c r="E163" s="3717"/>
      <c r="F163" s="3717" t="s">
        <v>130</v>
      </c>
      <c r="G163" s="3717"/>
      <c r="H163" s="3717"/>
      <c r="I163" s="3739"/>
      <c r="J163" s="3730"/>
      <c r="K163" s="3716"/>
      <c r="L163" s="3719"/>
      <c r="M163" s="3573"/>
      <c r="N163" s="3573"/>
      <c r="O163" s="3731"/>
      <c r="P163" s="3732"/>
      <c r="Q163" s="3732"/>
      <c r="R163" s="3733"/>
      <c r="S163" s="5248"/>
      <c r="T163" s="5249" t="s">
        <v>626</v>
      </c>
      <c r="U163" s="5250"/>
      <c r="V163" s="5251"/>
      <c r="W163" s="5252"/>
      <c r="X163" s="5253"/>
      <c r="Y163" s="5254"/>
      <c r="Z163" s="5255"/>
      <c r="AA163" s="5256"/>
      <c r="AB163" s="5257"/>
      <c r="AC163" s="5258"/>
      <c r="AD163" s="5259"/>
      <c r="AE163" s="5260"/>
      <c r="AF163" s="5261"/>
      <c r="AG163" s="5262"/>
      <c r="AH163" s="5263"/>
      <c r="AI163" s="5264"/>
      <c r="AJ163" s="5265"/>
      <c r="AK163" s="5266"/>
      <c r="AL163" s="5267"/>
      <c r="AM163" s="5268"/>
      <c r="AN163" s="5269"/>
      <c r="AO163" s="5270"/>
      <c r="AP163" s="5271"/>
      <c r="AQ163" s="5272"/>
      <c r="AR163" s="5273"/>
      <c r="AS163" s="5274"/>
      <c r="AT163" s="5275"/>
      <c r="AU163" s="5276"/>
      <c r="AV163" s="5277"/>
      <c r="AW163" s="5278"/>
      <c r="AX163" s="5279"/>
      <c r="AY163" s="5280"/>
      <c r="AZ163" s="5281"/>
      <c r="BA163" s="5282"/>
      <c r="BB163" s="5283"/>
      <c r="BC163" s="5284"/>
      <c r="BD163" s="5285"/>
      <c r="BE163" s="5286"/>
      <c r="BF163" s="5287"/>
      <c r="BG163" s="5288"/>
      <c r="BH163" s="5289"/>
      <c r="BI163" s="5290"/>
      <c r="BJ163" s="5291"/>
      <c r="BK163" s="5292"/>
      <c r="BL163" s="5293"/>
      <c r="BM163" s="5294"/>
      <c r="BN163" s="5295"/>
      <c r="BO163" s="5296"/>
      <c r="BP163" s="5297"/>
      <c r="BQ163" s="5298"/>
      <c r="BR163" s="5299"/>
      <c r="BS163" s="5300"/>
      <c r="BT163" s="5301"/>
      <c r="BU163" s="5302"/>
      <c r="BV163" s="5303"/>
      <c r="BW163" s="5304"/>
      <c r="BX163" s="5305"/>
      <c r="BY163" s="5306"/>
      <c r="BZ163" s="5307"/>
      <c r="CA163" s="5308"/>
      <c r="CB163" s="5309"/>
      <c r="CC163" s="5310"/>
      <c r="CD163" s="5311"/>
      <c r="CE163" s="5312"/>
      <c r="CF163" s="5313"/>
      <c r="CG163" s="5314"/>
      <c r="CH163" s="5315"/>
      <c r="CI163" s="5316"/>
      <c r="CJ163" s="5317"/>
      <c r="CK163" s="5318"/>
      <c r="CL163" s="5319"/>
      <c r="CM163" s="5320"/>
      <c r="CN163" s="5321"/>
      <c r="CO163" s="5322"/>
      <c r="CP163" s="5323"/>
      <c r="CQ163" s="3825"/>
      <c r="CR163" s="3581"/>
      <c r="CS163" s="3728"/>
      <c r="CT163" s="3728" t="str">
        <f>IF(T163="","",T163)</f>
        <v>Добавить вид теплоносителя (параметры теплоносителя)</v>
      </c>
      <c r="CU163" s="3728"/>
      <c r="CV163" s="3728"/>
    </row>
    <row s="5324" customFormat="1" customHeight="1" ht="15">
      <c r="A164" s="3716"/>
      <c r="B164" s="3716"/>
      <c r="C164" s="3716"/>
      <c r="D164" s="3716"/>
      <c r="E164" s="3717"/>
      <c r="F164" s="3717" t="s">
        <v>130</v>
      </c>
      <c r="G164" s="3717"/>
      <c r="H164" s="3717"/>
      <c r="I164" s="3730"/>
      <c r="J164" s="3716"/>
      <c r="K164" s="3716"/>
      <c r="L164" s="3719"/>
      <c r="M164" s="3573"/>
      <c r="N164" s="3731"/>
      <c r="O164" s="3731"/>
      <c r="P164" s="3732"/>
      <c r="Q164" s="3732"/>
      <c r="R164" s="3733"/>
      <c r="S164" s="5325"/>
      <c r="T164" s="5326" t="s">
        <v>627</v>
      </c>
      <c r="U164" s="5327"/>
      <c r="V164" s="5328"/>
      <c r="W164" s="5329"/>
      <c r="X164" s="5330"/>
      <c r="Y164" s="5331"/>
      <c r="Z164" s="5332"/>
      <c r="AA164" s="5333"/>
      <c r="AB164" s="5334"/>
      <c r="AC164" s="5335"/>
      <c r="AD164" s="5336"/>
      <c r="AE164" s="5337"/>
      <c r="AF164" s="5338"/>
      <c r="AG164" s="5339"/>
      <c r="AH164" s="5340"/>
      <c r="AI164" s="5341"/>
      <c r="AJ164" s="5342"/>
      <c r="AK164" s="5343"/>
      <c r="AL164" s="5344"/>
      <c r="AM164" s="5345"/>
      <c r="AN164" s="5346"/>
      <c r="AO164" s="5347"/>
      <c r="AP164" s="5348"/>
      <c r="AQ164" s="5349"/>
      <c r="AR164" s="5350"/>
      <c r="AS164" s="5351"/>
      <c r="AT164" s="5352"/>
      <c r="AU164" s="5353"/>
      <c r="AV164" s="5354"/>
      <c r="AW164" s="5355"/>
      <c r="AX164" s="5356"/>
      <c r="AY164" s="5357"/>
      <c r="AZ164" s="5358"/>
      <c r="BA164" s="5359"/>
      <c r="BB164" s="5360"/>
      <c r="BC164" s="5361"/>
      <c r="BD164" s="5362"/>
      <c r="BE164" s="5363"/>
      <c r="BF164" s="5364"/>
      <c r="BG164" s="5365"/>
      <c r="BH164" s="5366"/>
      <c r="BI164" s="5367"/>
      <c r="BJ164" s="5368"/>
      <c r="BK164" s="5369"/>
      <c r="BL164" s="5370"/>
      <c r="BM164" s="5371"/>
      <c r="BN164" s="5372"/>
      <c r="BO164" s="5373"/>
      <c r="BP164" s="5374"/>
      <c r="BQ164" s="5375"/>
      <c r="BR164" s="5376"/>
      <c r="BS164" s="5377"/>
      <c r="BT164" s="5378"/>
      <c r="BU164" s="5379"/>
      <c r="BV164" s="5380"/>
      <c r="BW164" s="5381"/>
      <c r="BX164" s="5382"/>
      <c r="BY164" s="5383"/>
      <c r="BZ164" s="5384"/>
      <c r="CA164" s="5385"/>
      <c r="CB164" s="5386"/>
      <c r="CC164" s="5387"/>
      <c r="CD164" s="5388"/>
      <c r="CE164" s="5389"/>
      <c r="CF164" s="5390"/>
      <c r="CG164" s="5391"/>
      <c r="CH164" s="5392"/>
      <c r="CI164" s="5393"/>
      <c r="CJ164" s="5394"/>
      <c r="CK164" s="5395"/>
      <c r="CL164" s="5396"/>
      <c r="CM164" s="5397"/>
      <c r="CN164" s="5398"/>
      <c r="CO164" s="5399"/>
      <c r="CP164" s="5400"/>
      <c r="CQ164" s="5401"/>
      <c r="CR164" s="3581"/>
      <c r="CS164" s="3728"/>
      <c r="CT164" s="3728" t="str">
        <f>IF(T164="","",T164)</f>
        <v>Добавить группу потребителей</v>
      </c>
      <c r="CU164" s="3728"/>
      <c r="CV164" s="3728"/>
    </row>
    <row s="5402" customFormat="1" customHeight="1" ht="14.25">
      <c r="A165" s="3716"/>
      <c r="B165" s="3716"/>
      <c r="C165" s="3716"/>
      <c r="D165" s="3716"/>
      <c r="E165" s="3717"/>
      <c r="F165" s="3717" t="s">
        <v>130</v>
      </c>
      <c r="G165" s="3717"/>
      <c r="H165" s="3718"/>
      <c r="I165" s="3716"/>
      <c r="J165" s="3716"/>
      <c r="K165" s="3716"/>
      <c r="L165" s="3719"/>
      <c r="M165" s="3720"/>
      <c r="N165" s="3720"/>
      <c r="O165" s="3573"/>
      <c r="P165" s="3905"/>
      <c r="Q165" s="3906"/>
      <c r="R165" s="3907"/>
      <c r="S165" s="3908"/>
      <c r="T165" s="3909"/>
      <c r="U165" s="3569"/>
      <c r="V165" s="3569"/>
      <c r="W165" s="3569"/>
      <c r="X165" s="3569"/>
      <c r="Y165" s="3569"/>
      <c r="Z165" s="3569"/>
      <c r="AA165" s="3569"/>
      <c r="AB165" s="3569"/>
      <c r="AC165" s="3569"/>
      <c r="AD165" s="3569"/>
      <c r="AE165" s="3569"/>
      <c r="AF165" s="3569"/>
      <c r="AG165" s="3569"/>
      <c r="AH165" s="3569"/>
      <c r="AI165" s="3569"/>
      <c r="AJ165" s="3569"/>
      <c r="AK165" s="3569"/>
      <c r="AL165" s="3569"/>
      <c r="AM165" s="3569"/>
      <c r="AN165" s="3569"/>
      <c r="AO165" s="3569"/>
      <c r="AP165" s="3569"/>
      <c r="AQ165" s="3569"/>
      <c r="AR165" s="3569"/>
      <c r="AS165" s="3569"/>
      <c r="AT165" s="3569"/>
      <c r="AU165" s="3569"/>
      <c r="AV165" s="3569"/>
      <c r="AW165" s="3569"/>
      <c r="AX165" s="3569"/>
      <c r="AY165" s="3569"/>
      <c r="AZ165" s="3569"/>
      <c r="BA165" s="3569"/>
      <c r="BB165" s="3569"/>
      <c r="BC165" s="3569"/>
      <c r="BD165" s="3569"/>
      <c r="BE165" s="3569"/>
      <c r="BF165" s="3569"/>
      <c r="BG165" s="3569"/>
      <c r="BH165" s="3569"/>
      <c r="BI165" s="3569"/>
      <c r="BJ165" s="3569"/>
      <c r="BK165" s="3569"/>
      <c r="BL165" s="3569"/>
      <c r="BM165" s="3569"/>
      <c r="BN165" s="3569"/>
      <c r="BO165" s="3569"/>
      <c r="BP165" s="3569"/>
      <c r="BQ165" s="3569"/>
      <c r="BR165" s="3569"/>
      <c r="BS165" s="3569"/>
      <c r="BT165" s="3569"/>
      <c r="BU165" s="3569"/>
      <c r="BV165" s="3569"/>
      <c r="BW165" s="3569"/>
      <c r="BX165" s="3569"/>
      <c r="BY165" s="3569"/>
      <c r="BZ165" s="3569"/>
      <c r="CA165" s="3569"/>
      <c r="CB165" s="3569"/>
      <c r="CC165" s="3569"/>
      <c r="CD165" s="3569"/>
      <c r="CE165" s="3569"/>
      <c r="CF165" s="3569"/>
      <c r="CG165" s="3569"/>
      <c r="CH165" s="3569"/>
      <c r="CI165" s="3569"/>
      <c r="CJ165" s="3569"/>
      <c r="CK165" s="3569"/>
      <c r="CL165" s="3569"/>
      <c r="CM165" s="3569"/>
      <c r="CN165" s="3569"/>
      <c r="CO165" s="3569"/>
      <c r="CP165" s="3569"/>
      <c r="CQ165" s="3910"/>
      <c r="CR165" s="3581"/>
      <c r="CS165" s="3728"/>
      <c r="CT165" s="3728" t="str">
        <f>IF(T165="","",T165)</f>
        <v/>
      </c>
      <c r="CU165" s="3728"/>
      <c r="CV165" s="3728"/>
    </row>
    <row s="5403" customFormat="1" customHeight="1" ht="0.75">
      <c r="A166" s="4239"/>
      <c r="B166" s="4239"/>
      <c r="C166" s="4239"/>
      <c r="D166" s="4239"/>
      <c r="E166" s="3717"/>
      <c r="F166" s="3717" t="s">
        <v>130</v>
      </c>
      <c r="G166" s="3718"/>
      <c r="H166" s="4239"/>
      <c r="I166" s="4239"/>
      <c r="J166" s="4239"/>
      <c r="K166" s="4239"/>
      <c r="L166" s="4240"/>
      <c r="M166" s="4241"/>
      <c r="N166" s="4241"/>
      <c r="O166" s="3581"/>
      <c r="P166" s="4242"/>
      <c r="Q166" s="4243"/>
      <c r="R166" s="4242"/>
      <c r="S166" s="4244"/>
      <c r="T166" s="4245" t="s">
        <v>254</v>
      </c>
      <c r="U166" s="3571"/>
      <c r="V166" s="3571"/>
      <c r="W166" s="3571"/>
      <c r="X166" s="3571"/>
      <c r="Y166" s="3571"/>
      <c r="Z166" s="3571"/>
      <c r="AA166" s="3571"/>
      <c r="AB166" s="3571"/>
      <c r="AC166" s="3571"/>
      <c r="AD166" s="3571"/>
      <c r="AE166" s="3571"/>
      <c r="AF166" s="3571"/>
      <c r="AG166" s="3571"/>
      <c r="AH166" s="3571"/>
      <c r="AI166" s="3571"/>
      <c r="AJ166" s="3571"/>
      <c r="AK166" s="3571"/>
      <c r="AL166" s="3571"/>
      <c r="AM166" s="3571"/>
      <c r="AN166" s="3571"/>
      <c r="AO166" s="3571"/>
      <c r="AP166" s="3571"/>
      <c r="AQ166" s="3571"/>
      <c r="AR166" s="3571"/>
      <c r="AS166" s="3571"/>
      <c r="AT166" s="3571"/>
      <c r="AU166" s="3571"/>
      <c r="AV166" s="3571"/>
      <c r="AW166" s="3571"/>
      <c r="AX166" s="3571"/>
      <c r="AY166" s="3571"/>
      <c r="AZ166" s="3571"/>
      <c r="BA166" s="3571"/>
      <c r="BB166" s="3571"/>
      <c r="BC166" s="3571"/>
      <c r="BD166" s="3571"/>
      <c r="BE166" s="3571"/>
      <c r="BF166" s="3571"/>
      <c r="BG166" s="3571"/>
      <c r="BH166" s="3571"/>
      <c r="BI166" s="3571"/>
      <c r="BJ166" s="3571"/>
      <c r="BK166" s="3571"/>
      <c r="BL166" s="3571"/>
      <c r="BM166" s="3571"/>
      <c r="BN166" s="3571"/>
      <c r="BO166" s="3571"/>
      <c r="BP166" s="3571"/>
      <c r="BQ166" s="3571"/>
      <c r="BR166" s="3571"/>
      <c r="BS166" s="3571"/>
      <c r="BT166" s="3571"/>
      <c r="BU166" s="3571"/>
      <c r="BV166" s="3571"/>
      <c r="BW166" s="3571"/>
      <c r="BX166" s="3571"/>
      <c r="BY166" s="3571"/>
      <c r="BZ166" s="3571"/>
      <c r="CA166" s="3571"/>
      <c r="CB166" s="3571"/>
      <c r="CC166" s="3571"/>
      <c r="CD166" s="3571"/>
      <c r="CE166" s="3571"/>
      <c r="CF166" s="3571"/>
      <c r="CG166" s="3571"/>
      <c r="CH166" s="3571"/>
      <c r="CI166" s="3571"/>
      <c r="CJ166" s="3571"/>
      <c r="CK166" s="3571"/>
      <c r="CL166" s="3571"/>
      <c r="CM166" s="3571"/>
      <c r="CN166" s="3571"/>
      <c r="CO166" s="3571"/>
      <c r="CP166" s="3571"/>
      <c r="CQ166" s="3571"/>
      <c r="CR166" s="3581"/>
      <c r="CS166" s="3728"/>
      <c r="CT166" s="3728" t="str">
        <f>IF(T166="","",T166)</f>
        <v>Добавить источник для дифференциации</v>
      </c>
      <c r="CU166" s="3728"/>
      <c r="CV166" s="3728"/>
    </row>
    <row s="5404" customFormat="1" customHeight="1" ht="0.75">
      <c r="A167" s="4239"/>
      <c r="B167" s="4239"/>
      <c r="C167" s="4239"/>
      <c r="D167" s="4239"/>
      <c r="E167" s="3717"/>
      <c r="F167" s="3718" t="s">
        <v>130</v>
      </c>
      <c r="G167" s="4239"/>
      <c r="H167" s="4239"/>
      <c r="I167" s="4239"/>
      <c r="J167" s="4239"/>
      <c r="K167" s="4239"/>
      <c r="L167" s="4240"/>
      <c r="M167" s="4247"/>
      <c r="N167" s="4247"/>
      <c r="O167" s="3581"/>
      <c r="P167" s="4242"/>
      <c r="Q167" s="4243"/>
      <c r="R167" s="4242"/>
      <c r="S167" s="4248"/>
      <c r="T167" s="4249" t="s">
        <v>255</v>
      </c>
      <c r="U167" s="3572"/>
      <c r="V167" s="3572"/>
      <c r="W167" s="3572"/>
      <c r="X167" s="3572"/>
      <c r="Y167" s="3572"/>
      <c r="Z167" s="3572"/>
      <c r="AA167" s="3572"/>
      <c r="AB167" s="3572"/>
      <c r="AC167" s="3572"/>
      <c r="AD167" s="3572"/>
      <c r="AE167" s="3572"/>
      <c r="AF167" s="3572"/>
      <c r="AG167" s="3572"/>
      <c r="AH167" s="3572"/>
      <c r="AI167" s="3572"/>
      <c r="AJ167" s="3572"/>
      <c r="AK167" s="3572"/>
      <c r="AL167" s="3572"/>
      <c r="AM167" s="3572"/>
      <c r="AN167" s="3572"/>
      <c r="AO167" s="3572"/>
      <c r="AP167" s="3572"/>
      <c r="AQ167" s="3572"/>
      <c r="AR167" s="3572"/>
      <c r="AS167" s="3572"/>
      <c r="AT167" s="3572"/>
      <c r="AU167" s="3572"/>
      <c r="AV167" s="3572"/>
      <c r="AW167" s="3572"/>
      <c r="AX167" s="3572"/>
      <c r="AY167" s="3572"/>
      <c r="AZ167" s="3572"/>
      <c r="BA167" s="3572"/>
      <c r="BB167" s="3572"/>
      <c r="BC167" s="3572"/>
      <c r="BD167" s="3572"/>
      <c r="BE167" s="3572"/>
      <c r="BF167" s="3572"/>
      <c r="BG167" s="3572"/>
      <c r="BH167" s="3572"/>
      <c r="BI167" s="3572"/>
      <c r="BJ167" s="3572"/>
      <c r="BK167" s="3572"/>
      <c r="BL167" s="3572"/>
      <c r="BM167" s="3572"/>
      <c r="BN167" s="3572"/>
      <c r="BO167" s="3572"/>
      <c r="BP167" s="3572"/>
      <c r="BQ167" s="3572"/>
      <c r="BR167" s="3572"/>
      <c r="BS167" s="3572"/>
      <c r="BT167" s="3572"/>
      <c r="BU167" s="3572"/>
      <c r="BV167" s="3572"/>
      <c r="BW167" s="3572"/>
      <c r="BX167" s="3572"/>
      <c r="BY167" s="3572"/>
      <c r="BZ167" s="3572"/>
      <c r="CA167" s="3572"/>
      <c r="CB167" s="3572"/>
      <c r="CC167" s="3572"/>
      <c r="CD167" s="3572"/>
      <c r="CE167" s="3572"/>
      <c r="CF167" s="3572"/>
      <c r="CG167" s="3572"/>
      <c r="CH167" s="3572"/>
      <c r="CI167" s="3572"/>
      <c r="CJ167" s="3572"/>
      <c r="CK167" s="3572"/>
      <c r="CL167" s="3572"/>
      <c r="CM167" s="3572"/>
      <c r="CN167" s="3572"/>
      <c r="CO167" s="3572"/>
      <c r="CP167" s="3572"/>
      <c r="CQ167" s="3572"/>
      <c r="CR167" s="3581"/>
      <c r="CS167" s="3728"/>
      <c r="CT167" s="3728" t="str">
        <f>IF(T167="","",T167)</f>
        <v>Добавить централизованную систему для дифференциации</v>
      </c>
      <c r="CU167" s="3728"/>
      <c r="CV167" s="3728"/>
    </row>
    <row s="5405" customFormat="1" customHeight="1" ht="21">
      <c r="A168" s="3716"/>
      <c r="B168" s="3716" t="s">
        <v>283</v>
      </c>
      <c r="C168" s="3716"/>
      <c r="D168" s="3716"/>
      <c r="E168" s="3717"/>
      <c r="F168" s="3718" t="s">
        <v>139</v>
      </c>
      <c r="G168" s="3716"/>
      <c r="H168" s="3716"/>
      <c r="I168" s="3716"/>
      <c r="J168" s="3716"/>
      <c r="K168" s="3716"/>
      <c r="L168" s="3719"/>
      <c r="M168" s="3720"/>
      <c r="N168" s="3720"/>
      <c r="O168" s="3720"/>
      <c r="P168" s="4073"/>
      <c r="Q168" s="3722"/>
      <c r="R168" s="3723"/>
      <c r="S168" s="3724" t="str">
        <f>INDEX(PT_DIFFERENTIATION_NUM_TER,MATCH(B168,PT_DIFFERENTIATION_TER_ID,0))</f>
        <v>1.10</v>
      </c>
      <c r="T168" s="4074" t="s">
        <v>612</v>
      </c>
      <c r="U168" s="3726"/>
      <c r="V168" s="3432"/>
      <c r="W168" s="3433"/>
      <c r="X168" s="3433"/>
      <c r="Y168" s="3433"/>
      <c r="Z168" s="3433"/>
      <c r="AA168" s="3433"/>
      <c r="AB168" s="3433"/>
      <c r="AC168" s="3434"/>
      <c r="AD168" s="3432" t="str">
        <f>INDEX(PT_DIFFERENTIATION_TER,MATCH(B168,PT_DIFFERENTIATION_TER_ID,0))</f>
        <v>Территория 10</v>
      </c>
      <c r="AE168" s="3433"/>
      <c r="AF168" s="3433"/>
      <c r="AG168" s="3433"/>
      <c r="AH168" s="3433"/>
      <c r="AI168" s="3433"/>
      <c r="AJ168" s="3433"/>
      <c r="AK168" s="3433"/>
      <c r="AL168" s="3432"/>
      <c r="AM168" s="3433"/>
      <c r="AN168" s="3433"/>
      <c r="AO168" s="3433"/>
      <c r="AP168" s="3433"/>
      <c r="AQ168" s="3433"/>
      <c r="AR168" s="3433"/>
      <c r="AS168" s="3434"/>
      <c r="AT168" s="3432"/>
      <c r="AU168" s="3433"/>
      <c r="AV168" s="3433"/>
      <c r="AW168" s="3433"/>
      <c r="AX168" s="3433"/>
      <c r="AY168" s="3433"/>
      <c r="AZ168" s="3433"/>
      <c r="BA168" s="3434"/>
      <c r="BB168" s="3432"/>
      <c r="BC168" s="3433"/>
      <c r="BD168" s="3433"/>
      <c r="BE168" s="3433"/>
      <c r="BF168" s="3433"/>
      <c r="BG168" s="3433"/>
      <c r="BH168" s="3433"/>
      <c r="BI168" s="3434"/>
      <c r="BJ168" s="3432"/>
      <c r="BK168" s="3433"/>
      <c r="BL168" s="3433"/>
      <c r="BM168" s="3433"/>
      <c r="BN168" s="3433"/>
      <c r="BO168" s="3433"/>
      <c r="BP168" s="3433"/>
      <c r="BQ168" s="3434"/>
      <c r="BR168" s="3432"/>
      <c r="BS168" s="3433"/>
      <c r="BT168" s="3433"/>
      <c r="BU168" s="3433"/>
      <c r="BV168" s="3433"/>
      <c r="BW168" s="3433"/>
      <c r="BX168" s="3433"/>
      <c r="BY168" s="3434"/>
      <c r="BZ168" s="3432"/>
      <c r="CA168" s="3433"/>
      <c r="CB168" s="3433"/>
      <c r="CC168" s="3433"/>
      <c r="CD168" s="3433"/>
      <c r="CE168" s="3433"/>
      <c r="CF168" s="3433"/>
      <c r="CG168" s="3434"/>
      <c r="CH168" s="3432"/>
      <c r="CI168" s="3433"/>
      <c r="CJ168" s="3433"/>
      <c r="CK168" s="3433"/>
      <c r="CL168" s="3433"/>
      <c r="CM168" s="3433"/>
      <c r="CN168" s="3433"/>
      <c r="CO168" s="3434"/>
      <c r="CP168" s="3434"/>
      <c r="CQ168" s="3727" t="s">
        <v>613</v>
      </c>
      <c r="CR168" s="3581"/>
      <c r="CS168" s="3728"/>
      <c r="CT168" s="3728" t="str">
        <f>IF(T168="","",T168)</f>
        <v>Территория действия тарифа</v>
      </c>
      <c r="CU168" s="3728"/>
      <c r="CV168" s="3728"/>
    </row>
    <row s="5406" customFormat="1" customHeight="1" ht="23.25">
      <c r="A169" s="3716"/>
      <c r="B169" s="3716"/>
      <c r="C169" s="3716" t="s">
        <v>284</v>
      </c>
      <c r="D169" s="3716"/>
      <c r="E169" s="3717"/>
      <c r="F169" s="3717" t="s">
        <v>135</v>
      </c>
      <c r="G169" s="3718">
        <v>1</v>
      </c>
      <c r="H169" s="3716"/>
      <c r="I169" s="3716"/>
      <c r="J169" s="3716"/>
      <c r="K169" s="3716"/>
      <c r="L169" s="3719"/>
      <c r="M169" s="3720"/>
      <c r="N169" s="3720"/>
      <c r="O169" s="3720"/>
      <c r="P169" s="3721"/>
      <c r="Q169" s="3722"/>
      <c r="R169" s="3723"/>
      <c r="S169" s="3724" t="str">
        <f>INDEX(PT_DIFFERENTIATION_NUM_CS,MATCH(C169,PT_DIFFERENTIATION_CS_ID,0))</f>
        <v>1.10.1</v>
      </c>
      <c r="T169" s="4076" t="s">
        <v>614</v>
      </c>
      <c r="U169" s="3726"/>
      <c r="V169" s="3432"/>
      <c r="W169" s="3433"/>
      <c r="X169" s="3433"/>
      <c r="Y169" s="3433"/>
      <c r="Z169" s="3433"/>
      <c r="AA169" s="3433"/>
      <c r="AB169" s="3433"/>
      <c r="AC169" s="3434"/>
      <c r="AD169" s="3432" t="str">
        <f>INDEX(PT_DIFFERENTIATION_CS,MATCH(C169,PT_DIFFERENTIATION_CS_ID,0))</f>
        <v>без дифференциации</v>
      </c>
      <c r="AE169" s="3433"/>
      <c r="AF169" s="3433"/>
      <c r="AG169" s="3433"/>
      <c r="AH169" s="3433"/>
      <c r="AI169" s="3433"/>
      <c r="AJ169" s="3433"/>
      <c r="AK169" s="3433"/>
      <c r="AL169" s="3432"/>
      <c r="AM169" s="3433"/>
      <c r="AN169" s="3433"/>
      <c r="AO169" s="3433"/>
      <c r="AP169" s="3433"/>
      <c r="AQ169" s="3433"/>
      <c r="AR169" s="3433"/>
      <c r="AS169" s="3434"/>
      <c r="AT169" s="3432"/>
      <c r="AU169" s="3433"/>
      <c r="AV169" s="3433"/>
      <c r="AW169" s="3433"/>
      <c r="AX169" s="3433"/>
      <c r="AY169" s="3433"/>
      <c r="AZ169" s="3433"/>
      <c r="BA169" s="3434"/>
      <c r="BB169" s="3432"/>
      <c r="BC169" s="3433"/>
      <c r="BD169" s="3433"/>
      <c r="BE169" s="3433"/>
      <c r="BF169" s="3433"/>
      <c r="BG169" s="3433"/>
      <c r="BH169" s="3433"/>
      <c r="BI169" s="3434"/>
      <c r="BJ169" s="3432"/>
      <c r="BK169" s="3433"/>
      <c r="BL169" s="3433"/>
      <c r="BM169" s="3433"/>
      <c r="BN169" s="3433"/>
      <c r="BO169" s="3433"/>
      <c r="BP169" s="3433"/>
      <c r="BQ169" s="3434"/>
      <c r="BR169" s="3432"/>
      <c r="BS169" s="3433"/>
      <c r="BT169" s="3433"/>
      <c r="BU169" s="3433"/>
      <c r="BV169" s="3433"/>
      <c r="BW169" s="3433"/>
      <c r="BX169" s="3433"/>
      <c r="BY169" s="3434"/>
      <c r="BZ169" s="3432"/>
      <c r="CA169" s="3433"/>
      <c r="CB169" s="3433"/>
      <c r="CC169" s="3433"/>
      <c r="CD169" s="3433"/>
      <c r="CE169" s="3433"/>
      <c r="CF169" s="3433"/>
      <c r="CG169" s="3434"/>
      <c r="CH169" s="3432"/>
      <c r="CI169" s="3433"/>
      <c r="CJ169" s="3433"/>
      <c r="CK169" s="3433"/>
      <c r="CL169" s="3433"/>
      <c r="CM169" s="3433"/>
      <c r="CN169" s="3433"/>
      <c r="CO169" s="3434"/>
      <c r="CP169" s="3434"/>
      <c r="CQ169" s="3727" t="s">
        <v>615</v>
      </c>
      <c r="CR169" s="3581"/>
      <c r="CS169" s="3728"/>
      <c r="CT169" s="3728" t="str">
        <f>IF(T169="","",T169)</f>
        <v>Наименование системы теплоснабжения </v>
      </c>
      <c r="CU169" s="3728"/>
      <c r="CV169" s="3728"/>
    </row>
    <row s="5407" customFormat="1" customHeight="1" ht="21">
      <c r="A170" s="3716"/>
      <c r="B170" s="3716"/>
      <c r="C170" s="3716"/>
      <c r="D170" s="3716" t="s">
        <v>285</v>
      </c>
      <c r="E170" s="3717"/>
      <c r="F170" s="3717" t="s">
        <v>135</v>
      </c>
      <c r="G170" s="3717"/>
      <c r="H170" s="3718">
        <v>1</v>
      </c>
      <c r="I170" s="3716"/>
      <c r="J170" s="3716"/>
      <c r="K170" s="3716"/>
      <c r="L170" s="3719"/>
      <c r="M170" s="3720"/>
      <c r="N170" s="3720"/>
      <c r="O170" s="3720"/>
      <c r="P170" s="3721"/>
      <c r="Q170" s="3722"/>
      <c r="R170" s="3723"/>
      <c r="S170" s="3724" t="str">
        <f>INDEX(PT_DIFFERENTIATION_NUM_IST_TE,MATCH(D170,PT_DIFFERENTIATION_IST_TE_ID,0))</f>
        <v>1.10.1.1</v>
      </c>
      <c r="T170" s="3725" t="s">
        <v>616</v>
      </c>
      <c r="U170" s="3726"/>
      <c r="V170" s="3432"/>
      <c r="W170" s="3433"/>
      <c r="X170" s="3433"/>
      <c r="Y170" s="3433"/>
      <c r="Z170" s="3433"/>
      <c r="AA170" s="3433"/>
      <c r="AB170" s="3433"/>
      <c r="AC170" s="3434"/>
      <c r="AD170" s="3432" t="str">
        <f>INDEX(PT_DIFFERENTIATION_IST_TE,MATCH(D170,PT_DIFFERENTIATION_IST_TE_ID,0))</f>
        <v>город Гаджиево, н.п.Оленья Губа, город Полярный</v>
      </c>
      <c r="AE170" s="3433"/>
      <c r="AF170" s="3433"/>
      <c r="AG170" s="3433"/>
      <c r="AH170" s="3433"/>
      <c r="AI170" s="3433"/>
      <c r="AJ170" s="3433"/>
      <c r="AK170" s="3433"/>
      <c r="AL170" s="3432"/>
      <c r="AM170" s="3433"/>
      <c r="AN170" s="3433"/>
      <c r="AO170" s="3433"/>
      <c r="AP170" s="3433"/>
      <c r="AQ170" s="3433"/>
      <c r="AR170" s="3433"/>
      <c r="AS170" s="3434"/>
      <c r="AT170" s="3432"/>
      <c r="AU170" s="3433"/>
      <c r="AV170" s="3433"/>
      <c r="AW170" s="3433"/>
      <c r="AX170" s="3433"/>
      <c r="AY170" s="3433"/>
      <c r="AZ170" s="3433"/>
      <c r="BA170" s="3434"/>
      <c r="BB170" s="3432"/>
      <c r="BC170" s="3433"/>
      <c r="BD170" s="3433"/>
      <c r="BE170" s="3433"/>
      <c r="BF170" s="3433"/>
      <c r="BG170" s="3433"/>
      <c r="BH170" s="3433"/>
      <c r="BI170" s="3434"/>
      <c r="BJ170" s="3432"/>
      <c r="BK170" s="3433"/>
      <c r="BL170" s="3433"/>
      <c r="BM170" s="3433"/>
      <c r="BN170" s="3433"/>
      <c r="BO170" s="3433"/>
      <c r="BP170" s="3433"/>
      <c r="BQ170" s="3434"/>
      <c r="BR170" s="3432"/>
      <c r="BS170" s="3433"/>
      <c r="BT170" s="3433"/>
      <c r="BU170" s="3433"/>
      <c r="BV170" s="3433"/>
      <c r="BW170" s="3433"/>
      <c r="BX170" s="3433"/>
      <c r="BY170" s="3434"/>
      <c r="BZ170" s="3432"/>
      <c r="CA170" s="3433"/>
      <c r="CB170" s="3433"/>
      <c r="CC170" s="3433"/>
      <c r="CD170" s="3433"/>
      <c r="CE170" s="3433"/>
      <c r="CF170" s="3433"/>
      <c r="CG170" s="3434"/>
      <c r="CH170" s="3432"/>
      <c r="CI170" s="3433"/>
      <c r="CJ170" s="3433"/>
      <c r="CK170" s="3433"/>
      <c r="CL170" s="3433"/>
      <c r="CM170" s="3433"/>
      <c r="CN170" s="3433"/>
      <c r="CO170" s="3434"/>
      <c r="CP170" s="3434"/>
      <c r="CQ170" s="3727" t="s">
        <v>617</v>
      </c>
      <c r="CR170" s="3581"/>
      <c r="CS170" s="3728"/>
      <c r="CT170" s="3728" t="str">
        <f>IF(T170="","",T170)</f>
        <v>Источник тепловой энергии  </v>
      </c>
      <c r="CU170" s="3728"/>
      <c r="CV170" s="3728"/>
    </row>
    <row s="5408" customFormat="1" customHeight="1" ht="14.25">
      <c r="A171" s="3716"/>
      <c r="B171" s="3716"/>
      <c r="C171" s="3716"/>
      <c r="D171" s="3716"/>
      <c r="E171" s="3717"/>
      <c r="F171" s="3717" t="s">
        <v>135</v>
      </c>
      <c r="G171" s="3717"/>
      <c r="H171" s="3717"/>
      <c r="I171" s="3730" t="str">
        <f>S170&amp;".1"</f>
        <v>1.10.1.1.1</v>
      </c>
      <c r="J171" s="3716"/>
      <c r="K171" s="3716"/>
      <c r="L171" s="3719" t="s">
        <v>618</v>
      </c>
      <c r="M171" s="3573"/>
      <c r="N171" s="3731"/>
      <c r="O171" s="3731"/>
      <c r="P171" s="3732">
        <v>1</v>
      </c>
      <c r="Q171" s="3732"/>
      <c r="R171" s="3733"/>
      <c r="S171" s="3734"/>
      <c r="T171" s="3735"/>
      <c r="U171" s="3736"/>
      <c r="V171" s="3441"/>
      <c r="W171" s="3442"/>
      <c r="X171" s="3442"/>
      <c r="Y171" s="3442"/>
      <c r="Z171" s="3442"/>
      <c r="AA171" s="3442"/>
      <c r="AB171" s="3442"/>
      <c r="AC171" s="3443"/>
      <c r="AD171" s="3441"/>
      <c r="AE171" s="3442"/>
      <c r="AF171" s="3442"/>
      <c r="AG171" s="3442"/>
      <c r="AH171" s="3442"/>
      <c r="AI171" s="3442"/>
      <c r="AJ171" s="3442"/>
      <c r="AK171" s="3442"/>
      <c r="AL171" s="3441"/>
      <c r="AM171" s="3442"/>
      <c r="AN171" s="3442"/>
      <c r="AO171" s="3442"/>
      <c r="AP171" s="3442"/>
      <c r="AQ171" s="3442"/>
      <c r="AR171" s="3442"/>
      <c r="AS171" s="3443"/>
      <c r="AT171" s="3441"/>
      <c r="AU171" s="3442"/>
      <c r="AV171" s="3442"/>
      <c r="AW171" s="3442"/>
      <c r="AX171" s="3442"/>
      <c r="AY171" s="3442"/>
      <c r="AZ171" s="3442"/>
      <c r="BA171" s="3443"/>
      <c r="BB171" s="3441"/>
      <c r="BC171" s="3442"/>
      <c r="BD171" s="3442"/>
      <c r="BE171" s="3442"/>
      <c r="BF171" s="3442"/>
      <c r="BG171" s="3442"/>
      <c r="BH171" s="3442"/>
      <c r="BI171" s="3443"/>
      <c r="BJ171" s="3441"/>
      <c r="BK171" s="3442"/>
      <c r="BL171" s="3442"/>
      <c r="BM171" s="3442"/>
      <c r="BN171" s="3442"/>
      <c r="BO171" s="3442"/>
      <c r="BP171" s="3442"/>
      <c r="BQ171" s="3443"/>
      <c r="BR171" s="3441"/>
      <c r="BS171" s="3442"/>
      <c r="BT171" s="3442"/>
      <c r="BU171" s="3442"/>
      <c r="BV171" s="3442"/>
      <c r="BW171" s="3442"/>
      <c r="BX171" s="3442"/>
      <c r="BY171" s="3443"/>
      <c r="BZ171" s="3441"/>
      <c r="CA171" s="3442"/>
      <c r="CB171" s="3442"/>
      <c r="CC171" s="3442"/>
      <c r="CD171" s="3442"/>
      <c r="CE171" s="3442"/>
      <c r="CF171" s="3442"/>
      <c r="CG171" s="3443"/>
      <c r="CH171" s="3441"/>
      <c r="CI171" s="3442"/>
      <c r="CJ171" s="3442"/>
      <c r="CK171" s="3442"/>
      <c r="CL171" s="3442"/>
      <c r="CM171" s="3442"/>
      <c r="CN171" s="3442"/>
      <c r="CO171" s="3443"/>
      <c r="CP171" s="3443"/>
      <c r="CQ171" s="3737"/>
      <c r="CR171" s="3581"/>
      <c r="CS171" s="3728"/>
      <c r="CT171" s="3728" t="str">
        <f>IF(T171="","",T171)</f>
        <v/>
      </c>
      <c r="CU171" s="3728"/>
      <c r="CV171" s="3728"/>
    </row>
    <row s="5409" customFormat="1" customHeight="1" ht="21">
      <c r="A172" s="3716"/>
      <c r="B172" s="3716"/>
      <c r="C172" s="3716"/>
      <c r="D172" s="3716"/>
      <c r="E172" s="3717"/>
      <c r="F172" s="3717" t="s">
        <v>135</v>
      </c>
      <c r="G172" s="3717"/>
      <c r="H172" s="3717"/>
      <c r="I172" s="3739"/>
      <c r="J172" s="3730" t="str">
        <f>I171&amp;".1"</f>
        <v>1.10.1.1.1.1</v>
      </c>
      <c r="K172" s="3716"/>
      <c r="L172" s="3719" t="s">
        <v>621</v>
      </c>
      <c r="M172" s="3573"/>
      <c r="N172" s="3573"/>
      <c r="O172" s="3731"/>
      <c r="P172" s="3732"/>
      <c r="Q172" s="3732">
        <v>1</v>
      </c>
      <c r="R172" s="3740"/>
      <c r="S172" s="3724" t="str">
        <f>$J172</f>
        <v>1.10.1.1.1.1</v>
      </c>
      <c r="T172" s="3741" t="s">
        <v>622</v>
      </c>
      <c r="U172" s="3726"/>
      <c r="V172" s="3445"/>
      <c r="W172" s="3446"/>
      <c r="X172" s="3446"/>
      <c r="Y172" s="3446"/>
      <c r="Z172" s="3446"/>
      <c r="AA172" s="3446"/>
      <c r="AB172" s="3446"/>
      <c r="AC172" s="3447"/>
      <c r="AD172" s="3445" t="s">
        <v>662</v>
      </c>
      <c r="AE172" s="3446"/>
      <c r="AF172" s="3446"/>
      <c r="AG172" s="3446"/>
      <c r="AH172" s="3446"/>
      <c r="AI172" s="3446"/>
      <c r="AJ172" s="3446"/>
      <c r="AK172" s="3446"/>
      <c r="AL172" s="3445"/>
      <c r="AM172" s="3446"/>
      <c r="AN172" s="3446"/>
      <c r="AO172" s="3446"/>
      <c r="AP172" s="3446"/>
      <c r="AQ172" s="3446"/>
      <c r="AR172" s="3446"/>
      <c r="AS172" s="3447"/>
      <c r="AT172" s="3445"/>
      <c r="AU172" s="3446"/>
      <c r="AV172" s="3446"/>
      <c r="AW172" s="3446"/>
      <c r="AX172" s="3446"/>
      <c r="AY172" s="3446"/>
      <c r="AZ172" s="3446"/>
      <c r="BA172" s="3447"/>
      <c r="BB172" s="3445"/>
      <c r="BC172" s="3446"/>
      <c r="BD172" s="3446"/>
      <c r="BE172" s="3446"/>
      <c r="BF172" s="3446"/>
      <c r="BG172" s="3446"/>
      <c r="BH172" s="3446"/>
      <c r="BI172" s="3447"/>
      <c r="BJ172" s="3445"/>
      <c r="BK172" s="3446"/>
      <c r="BL172" s="3446"/>
      <c r="BM172" s="3446"/>
      <c r="BN172" s="3446"/>
      <c r="BO172" s="3446"/>
      <c r="BP172" s="3446"/>
      <c r="BQ172" s="3447"/>
      <c r="BR172" s="3445"/>
      <c r="BS172" s="3446"/>
      <c r="BT172" s="3446"/>
      <c r="BU172" s="3446"/>
      <c r="BV172" s="3446"/>
      <c r="BW172" s="3446"/>
      <c r="BX172" s="3446"/>
      <c r="BY172" s="3447"/>
      <c r="BZ172" s="3445"/>
      <c r="CA172" s="3446"/>
      <c r="CB172" s="3446"/>
      <c r="CC172" s="3446"/>
      <c r="CD172" s="3446"/>
      <c r="CE172" s="3446"/>
      <c r="CF172" s="3446"/>
      <c r="CG172" s="3447"/>
      <c r="CH172" s="3445"/>
      <c r="CI172" s="3446"/>
      <c r="CJ172" s="3446"/>
      <c r="CK172" s="3446"/>
      <c r="CL172" s="3446"/>
      <c r="CM172" s="3446"/>
      <c r="CN172" s="3446"/>
      <c r="CO172" s="3447"/>
      <c r="CP172" s="3447"/>
      <c r="CQ172" s="3727" t="s">
        <v>623</v>
      </c>
      <c r="CR172" s="3581"/>
      <c r="CS172" s="3728"/>
      <c r="CT172" s="3728" t="str">
        <f>IF(T172="","",T172)</f>
        <v>Группа потребителей</v>
      </c>
      <c r="CU172" s="3728"/>
      <c r="CV172" s="3728"/>
    </row>
    <row s="5410" customFormat="1" customHeight="1" ht="21">
      <c r="A173" s="3716"/>
      <c r="B173" s="3716"/>
      <c r="C173" s="3716"/>
      <c r="D173" s="3716"/>
      <c r="E173" s="3717"/>
      <c r="F173" s="3717" t="s">
        <v>135</v>
      </c>
      <c r="G173" s="3717"/>
      <c r="H173" s="3717"/>
      <c r="I173" s="3739"/>
      <c r="J173" s="3739"/>
      <c r="K173" s="3730" t="str">
        <f>J172&amp;".1"</f>
        <v>1.10.1.1.1.1.1</v>
      </c>
      <c r="L173" s="3719" t="s">
        <v>624</v>
      </c>
      <c r="M173" s="3573"/>
      <c r="N173" s="3573"/>
      <c r="O173" s="3573"/>
      <c r="P173" s="3732"/>
      <c r="Q173" s="3732"/>
      <c r="R173" s="3740">
        <v>1</v>
      </c>
      <c r="S173" s="3724" t="str">
        <f>$K173</f>
        <v>1.10.1.1.1.1.1</v>
      </c>
      <c r="T173" s="3743" t="s">
        <v>663</v>
      </c>
      <c r="U173" s="3726"/>
      <c r="V173" s="3448"/>
      <c r="W173" s="3449"/>
      <c r="X173" s="3448"/>
      <c r="Y173" s="3450"/>
      <c r="Z173" s="3451"/>
      <c r="AA173" s="2872" t="s">
        <v>63</v>
      </c>
      <c r="AB173" s="3451"/>
      <c r="AC173" s="2872" t="s">
        <v>63</v>
      </c>
      <c r="AD173" s="3448">
        <v>35.06</v>
      </c>
      <c r="AE173" s="3449"/>
      <c r="AF173" s="3448"/>
      <c r="AG173" s="3450"/>
      <c r="AH173" s="3451">
        <v>44197</v>
      </c>
      <c r="AI173" s="2872" t="s">
        <v>63</v>
      </c>
      <c r="AJ173" s="3451">
        <v>44377</v>
      </c>
      <c r="AK173" s="2872" t="s">
        <v>63</v>
      </c>
      <c r="AL173" s="3448">
        <v>36.17</v>
      </c>
      <c r="AM173" s="3449"/>
      <c r="AN173" s="3448"/>
      <c r="AO173" s="3450"/>
      <c r="AP173" s="3451">
        <v>44378</v>
      </c>
      <c r="AQ173" s="2872" t="s">
        <v>63</v>
      </c>
      <c r="AR173" s="3451">
        <v>44561</v>
      </c>
      <c r="AS173" s="2872" t="s">
        <v>63</v>
      </c>
      <c r="AT173" s="3448">
        <v>36.17</v>
      </c>
      <c r="AU173" s="3449"/>
      <c r="AV173" s="3448"/>
      <c r="AW173" s="3450"/>
      <c r="AX173" s="3451">
        <v>44562</v>
      </c>
      <c r="AY173" s="2872" t="s">
        <v>63</v>
      </c>
      <c r="AZ173" s="3451">
        <v>44601</v>
      </c>
      <c r="BA173" s="2872" t="s">
        <v>63</v>
      </c>
      <c r="BB173" s="3448">
        <v>39.38</v>
      </c>
      <c r="BC173" s="3449"/>
      <c r="BD173" s="3448"/>
      <c r="BE173" s="3450"/>
      <c r="BF173" s="3451">
        <v>44602</v>
      </c>
      <c r="BG173" s="2872" t="s">
        <v>63</v>
      </c>
      <c r="BH173" s="3451">
        <v>44742</v>
      </c>
      <c r="BI173" s="2872" t="s">
        <v>63</v>
      </c>
      <c r="BJ173" s="3448">
        <v>39.38</v>
      </c>
      <c r="BK173" s="3449"/>
      <c r="BL173" s="3448"/>
      <c r="BM173" s="3450"/>
      <c r="BN173" s="3451">
        <v>44743</v>
      </c>
      <c r="BO173" s="2872" t="s">
        <v>63</v>
      </c>
      <c r="BP173" s="3451">
        <v>44804</v>
      </c>
      <c r="BQ173" s="2872" t="s">
        <v>63</v>
      </c>
      <c r="BR173" s="3448">
        <v>39.38</v>
      </c>
      <c r="BS173" s="3449"/>
      <c r="BT173" s="3448"/>
      <c r="BU173" s="3450"/>
      <c r="BV173" s="3451">
        <v>44805</v>
      </c>
      <c r="BW173" s="2872" t="s">
        <v>63</v>
      </c>
      <c r="BX173" s="3451">
        <v>44895</v>
      </c>
      <c r="BY173" s="2872" t="s">
        <v>63</v>
      </c>
      <c r="BZ173" s="3448">
        <v>47.62</v>
      </c>
      <c r="CA173" s="3449"/>
      <c r="CB173" s="3448"/>
      <c r="CC173" s="3450"/>
      <c r="CD173" s="3451">
        <v>44896</v>
      </c>
      <c r="CE173" s="2872" t="s">
        <v>63</v>
      </c>
      <c r="CF173" s="3451">
        <v>45174</v>
      </c>
      <c r="CG173" s="2872" t="s">
        <v>63</v>
      </c>
      <c r="CH173" s="3448">
        <v>47.62</v>
      </c>
      <c r="CI173" s="3449"/>
      <c r="CJ173" s="3448"/>
      <c r="CK173" s="3450"/>
      <c r="CL173" s="3451">
        <v>45175</v>
      </c>
      <c r="CM173" s="2872" t="s">
        <v>63</v>
      </c>
      <c r="CN173" s="3451">
        <v>45291</v>
      </c>
      <c r="CO173" s="2872" t="s">
        <v>63</v>
      </c>
      <c r="CP173" s="3449"/>
      <c r="CQ173" s="3744" t="s">
        <v>625</v>
      </c>
      <c r="CR173" s="3581">
        <f>STRCHECKDATE(V174:CP174)</f>
      </c>
      <c r="CS173" s="3728"/>
      <c r="CT173" s="3728" t="str">
        <f>IF(T173="","",T173)</f>
        <v>вода</v>
      </c>
      <c r="CU173" s="3728"/>
      <c r="CV173" s="3728"/>
    </row>
    <row s="5411" customFormat="1" customHeight="1" ht="0.75">
      <c r="A174" s="3716"/>
      <c r="B174" s="3716"/>
      <c r="C174" s="3716"/>
      <c r="D174" s="3716"/>
      <c r="E174" s="3717"/>
      <c r="F174" s="3717" t="s">
        <v>135</v>
      </c>
      <c r="G174" s="3717"/>
      <c r="H174" s="3717"/>
      <c r="I174" s="3739"/>
      <c r="J174" s="3739"/>
      <c r="K174" s="3730"/>
      <c r="L174" s="3719"/>
      <c r="M174" s="3573"/>
      <c r="N174" s="3573"/>
      <c r="O174" s="3573"/>
      <c r="P174" s="3732"/>
      <c r="Q174" s="3732"/>
      <c r="R174" s="3740"/>
      <c r="S174" s="3746"/>
      <c r="T174" s="3726"/>
      <c r="U174" s="3726"/>
      <c r="V174" s="3449"/>
      <c r="W174" s="3449"/>
      <c r="X174" s="3449"/>
      <c r="Y174" s="3452" t="str">
        <f>Z173&amp;"-"&amp;AB173</f>
        <v>-</v>
      </c>
      <c r="Z174" s="3453"/>
      <c r="AA174" s="2872"/>
      <c r="AB174" s="3453"/>
      <c r="AC174" s="2872"/>
      <c r="AD174" s="3449"/>
      <c r="AE174" s="3449"/>
      <c r="AF174" s="3449"/>
      <c r="AG174" s="3452" t="str">
        <f>AH173&amp;"-"&amp;AJ173</f>
        <v>44197-44377</v>
      </c>
      <c r="AH174" s="3453"/>
      <c r="AI174" s="2872"/>
      <c r="AJ174" s="3453"/>
      <c r="AK174" s="2872"/>
      <c r="AL174" s="3449"/>
      <c r="AM174" s="3449"/>
      <c r="AN174" s="3449"/>
      <c r="AO174" s="3452" t="str">
        <f>AP173&amp;"-"&amp;AR173</f>
        <v>44378-44561</v>
      </c>
      <c r="AP174" s="3453"/>
      <c r="AQ174" s="2872"/>
      <c r="AR174" s="3453"/>
      <c r="AS174" s="2872"/>
      <c r="AT174" s="3449"/>
      <c r="AU174" s="3449"/>
      <c r="AV174" s="3449"/>
      <c r="AW174" s="3452" t="str">
        <f>AX173&amp;"-"&amp;AZ173</f>
        <v>44562-44601</v>
      </c>
      <c r="AX174" s="3453"/>
      <c r="AY174" s="2872"/>
      <c r="AZ174" s="3453"/>
      <c r="BA174" s="2872"/>
      <c r="BB174" s="3449"/>
      <c r="BC174" s="3449"/>
      <c r="BD174" s="3449"/>
      <c r="BE174" s="3452" t="str">
        <f>BF173&amp;"-"&amp;BH173</f>
        <v>44602-44742</v>
      </c>
      <c r="BF174" s="3453"/>
      <c r="BG174" s="2872"/>
      <c r="BH174" s="3453"/>
      <c r="BI174" s="2872"/>
      <c r="BJ174" s="3449"/>
      <c r="BK174" s="3449"/>
      <c r="BL174" s="3449"/>
      <c r="BM174" s="3452" t="str">
        <f>BN173&amp;"-"&amp;BP173</f>
        <v>44743-44804</v>
      </c>
      <c r="BN174" s="3453"/>
      <c r="BO174" s="2872"/>
      <c r="BP174" s="3453"/>
      <c r="BQ174" s="2872"/>
      <c r="BR174" s="3449"/>
      <c r="BS174" s="3449"/>
      <c r="BT174" s="3449"/>
      <c r="BU174" s="3452" t="str">
        <f>BV173&amp;"-"&amp;BX173</f>
        <v>44805-44895</v>
      </c>
      <c r="BV174" s="3453"/>
      <c r="BW174" s="2872"/>
      <c r="BX174" s="3453"/>
      <c r="BY174" s="2872"/>
      <c r="BZ174" s="3449"/>
      <c r="CA174" s="3449"/>
      <c r="CB174" s="3449"/>
      <c r="CC174" s="3452" t="str">
        <f>CD173&amp;"-"&amp;CF173</f>
        <v>44896-45174</v>
      </c>
      <c r="CD174" s="3453"/>
      <c r="CE174" s="2872"/>
      <c r="CF174" s="3453"/>
      <c r="CG174" s="2872"/>
      <c r="CH174" s="3449"/>
      <c r="CI174" s="3449"/>
      <c r="CJ174" s="3449"/>
      <c r="CK174" s="3452" t="str">
        <f>CL173&amp;"-"&amp;CN173</f>
        <v>45175-45291</v>
      </c>
      <c r="CL174" s="3453"/>
      <c r="CM174" s="2872"/>
      <c r="CN174" s="3453"/>
      <c r="CO174" s="2872"/>
      <c r="CP174" s="3449"/>
      <c r="CQ174" s="3747"/>
      <c r="CR174" s="3581"/>
      <c r="CS174" s="3728"/>
      <c r="CT174" s="3728" t="str">
        <f>IF(T174="","",T174)</f>
        <v/>
      </c>
      <c r="CU174" s="3728"/>
      <c r="CV174" s="3728"/>
    </row>
    <row s="5412" customFormat="1" customHeight="1" ht="15">
      <c r="A175" s="3716"/>
      <c r="B175" s="3716"/>
      <c r="C175" s="3716"/>
      <c r="D175" s="3716"/>
      <c r="E175" s="3717"/>
      <c r="F175" s="3717" t="s">
        <v>135</v>
      </c>
      <c r="G175" s="3717"/>
      <c r="H175" s="3717"/>
      <c r="I175" s="3739"/>
      <c r="J175" s="3730"/>
      <c r="K175" s="3716"/>
      <c r="L175" s="3719"/>
      <c r="M175" s="3573"/>
      <c r="N175" s="3573"/>
      <c r="O175" s="3731"/>
      <c r="P175" s="3732"/>
      <c r="Q175" s="3732"/>
      <c r="R175" s="3733"/>
      <c r="S175" s="5413"/>
      <c r="T175" s="5414" t="s">
        <v>626</v>
      </c>
      <c r="U175" s="5415"/>
      <c r="V175" s="5416"/>
      <c r="W175" s="5417"/>
      <c r="X175" s="5418"/>
      <c r="Y175" s="5419"/>
      <c r="Z175" s="5420"/>
      <c r="AA175" s="5421"/>
      <c r="AB175" s="5422"/>
      <c r="AC175" s="5423"/>
      <c r="AD175" s="5424"/>
      <c r="AE175" s="5425"/>
      <c r="AF175" s="5426"/>
      <c r="AG175" s="5427"/>
      <c r="AH175" s="5428"/>
      <c r="AI175" s="5429"/>
      <c r="AJ175" s="5430"/>
      <c r="AK175" s="5431"/>
      <c r="AL175" s="5432"/>
      <c r="AM175" s="5433"/>
      <c r="AN175" s="5434"/>
      <c r="AO175" s="5435"/>
      <c r="AP175" s="5436"/>
      <c r="AQ175" s="5437"/>
      <c r="AR175" s="5438"/>
      <c r="AS175" s="5439"/>
      <c r="AT175" s="5440"/>
      <c r="AU175" s="5441"/>
      <c r="AV175" s="5442"/>
      <c r="AW175" s="5443"/>
      <c r="AX175" s="5444"/>
      <c r="AY175" s="5445"/>
      <c r="AZ175" s="5446"/>
      <c r="BA175" s="5447"/>
      <c r="BB175" s="5448"/>
      <c r="BC175" s="5449"/>
      <c r="BD175" s="5450"/>
      <c r="BE175" s="5451"/>
      <c r="BF175" s="5452"/>
      <c r="BG175" s="5453"/>
      <c r="BH175" s="5454"/>
      <c r="BI175" s="5455"/>
      <c r="BJ175" s="5456"/>
      <c r="BK175" s="5457"/>
      <c r="BL175" s="5458"/>
      <c r="BM175" s="5459"/>
      <c r="BN175" s="5460"/>
      <c r="BO175" s="5461"/>
      <c r="BP175" s="5462"/>
      <c r="BQ175" s="5463"/>
      <c r="BR175" s="5464"/>
      <c r="BS175" s="5465"/>
      <c r="BT175" s="5466"/>
      <c r="BU175" s="5467"/>
      <c r="BV175" s="5468"/>
      <c r="BW175" s="5469"/>
      <c r="BX175" s="5470"/>
      <c r="BY175" s="5471"/>
      <c r="BZ175" s="5472"/>
      <c r="CA175" s="5473"/>
      <c r="CB175" s="5474"/>
      <c r="CC175" s="5475"/>
      <c r="CD175" s="5476"/>
      <c r="CE175" s="5477"/>
      <c r="CF175" s="5478"/>
      <c r="CG175" s="5479"/>
      <c r="CH175" s="5480"/>
      <c r="CI175" s="5481"/>
      <c r="CJ175" s="5482"/>
      <c r="CK175" s="5483"/>
      <c r="CL175" s="5484"/>
      <c r="CM175" s="5485"/>
      <c r="CN175" s="5486"/>
      <c r="CO175" s="5487"/>
      <c r="CP175" s="5488"/>
      <c r="CQ175" s="3825"/>
      <c r="CR175" s="3581"/>
      <c r="CS175" s="3728"/>
      <c r="CT175" s="3728" t="str">
        <f>IF(T175="","",T175)</f>
        <v>Добавить вид теплоносителя (параметры теплоносителя)</v>
      </c>
      <c r="CU175" s="3728"/>
      <c r="CV175" s="3728"/>
    </row>
    <row s="5489" customFormat="1" customHeight="1" ht="15">
      <c r="A176" s="3716"/>
      <c r="B176" s="3716"/>
      <c r="C176" s="3716"/>
      <c r="D176" s="3716"/>
      <c r="E176" s="3717"/>
      <c r="F176" s="3717" t="s">
        <v>135</v>
      </c>
      <c r="G176" s="3717"/>
      <c r="H176" s="3717"/>
      <c r="I176" s="3730"/>
      <c r="J176" s="3716"/>
      <c r="K176" s="3716"/>
      <c r="L176" s="3719"/>
      <c r="M176" s="3573"/>
      <c r="N176" s="3731"/>
      <c r="O176" s="3731"/>
      <c r="P176" s="3732"/>
      <c r="Q176" s="3732"/>
      <c r="R176" s="3733"/>
      <c r="S176" s="5490"/>
      <c r="T176" s="5491" t="s">
        <v>627</v>
      </c>
      <c r="U176" s="5492"/>
      <c r="V176" s="5493"/>
      <c r="W176" s="5494"/>
      <c r="X176" s="5495"/>
      <c r="Y176" s="5496"/>
      <c r="Z176" s="5497"/>
      <c r="AA176" s="5498"/>
      <c r="AB176" s="5499"/>
      <c r="AC176" s="5500"/>
      <c r="AD176" s="5501"/>
      <c r="AE176" s="5502"/>
      <c r="AF176" s="5503"/>
      <c r="AG176" s="5504"/>
      <c r="AH176" s="5505"/>
      <c r="AI176" s="5506"/>
      <c r="AJ176" s="5507"/>
      <c r="AK176" s="5508"/>
      <c r="AL176" s="5509"/>
      <c r="AM176" s="5510"/>
      <c r="AN176" s="5511"/>
      <c r="AO176" s="5512"/>
      <c r="AP176" s="5513"/>
      <c r="AQ176" s="5514"/>
      <c r="AR176" s="5515"/>
      <c r="AS176" s="5516"/>
      <c r="AT176" s="5517"/>
      <c r="AU176" s="5518"/>
      <c r="AV176" s="5519"/>
      <c r="AW176" s="5520"/>
      <c r="AX176" s="5521"/>
      <c r="AY176" s="5522"/>
      <c r="AZ176" s="5523"/>
      <c r="BA176" s="5524"/>
      <c r="BB176" s="5525"/>
      <c r="BC176" s="5526"/>
      <c r="BD176" s="5527"/>
      <c r="BE176" s="5528"/>
      <c r="BF176" s="5529"/>
      <c r="BG176" s="5530"/>
      <c r="BH176" s="5531"/>
      <c r="BI176" s="5532"/>
      <c r="BJ176" s="5533"/>
      <c r="BK176" s="5534"/>
      <c r="BL176" s="5535"/>
      <c r="BM176" s="5536"/>
      <c r="BN176" s="5537"/>
      <c r="BO176" s="5538"/>
      <c r="BP176" s="5539"/>
      <c r="BQ176" s="5540"/>
      <c r="BR176" s="5541"/>
      <c r="BS176" s="5542"/>
      <c r="BT176" s="5543"/>
      <c r="BU176" s="5544"/>
      <c r="BV176" s="5545"/>
      <c r="BW176" s="5546"/>
      <c r="BX176" s="5547"/>
      <c r="BY176" s="5548"/>
      <c r="BZ176" s="5549"/>
      <c r="CA176" s="5550"/>
      <c r="CB176" s="5551"/>
      <c r="CC176" s="5552"/>
      <c r="CD176" s="5553"/>
      <c r="CE176" s="5554"/>
      <c r="CF176" s="5555"/>
      <c r="CG176" s="5556"/>
      <c r="CH176" s="5557"/>
      <c r="CI176" s="5558"/>
      <c r="CJ176" s="5559"/>
      <c r="CK176" s="5560"/>
      <c r="CL176" s="5561"/>
      <c r="CM176" s="5562"/>
      <c r="CN176" s="5563"/>
      <c r="CO176" s="5564"/>
      <c r="CP176" s="5565"/>
      <c r="CQ176" s="5566"/>
      <c r="CR176" s="3581"/>
      <c r="CS176" s="3728"/>
      <c r="CT176" s="3728" t="str">
        <f>IF(T176="","",T176)</f>
        <v>Добавить группу потребителей</v>
      </c>
      <c r="CU176" s="3728"/>
      <c r="CV176" s="3728"/>
    </row>
    <row s="5567" customFormat="1" customHeight="1" ht="14.25">
      <c r="A177" s="3716"/>
      <c r="B177" s="3716"/>
      <c r="C177" s="3716"/>
      <c r="D177" s="3716"/>
      <c r="E177" s="3717"/>
      <c r="F177" s="3717" t="s">
        <v>135</v>
      </c>
      <c r="G177" s="3717"/>
      <c r="H177" s="3718"/>
      <c r="I177" s="3716"/>
      <c r="J177" s="3716"/>
      <c r="K177" s="3716"/>
      <c r="L177" s="3719"/>
      <c r="M177" s="3720"/>
      <c r="N177" s="3720"/>
      <c r="O177" s="3573"/>
      <c r="P177" s="3905"/>
      <c r="Q177" s="3906"/>
      <c r="R177" s="3907"/>
      <c r="S177" s="3908"/>
      <c r="T177" s="3909"/>
      <c r="U177" s="3569"/>
      <c r="V177" s="3569"/>
      <c r="W177" s="3569"/>
      <c r="X177" s="3569"/>
      <c r="Y177" s="3569"/>
      <c r="Z177" s="3569"/>
      <c r="AA177" s="3569"/>
      <c r="AB177" s="3569"/>
      <c r="AC177" s="3569"/>
      <c r="AD177" s="3569"/>
      <c r="AE177" s="3569"/>
      <c r="AF177" s="3569"/>
      <c r="AG177" s="3569"/>
      <c r="AH177" s="3569"/>
      <c r="AI177" s="3569"/>
      <c r="AJ177" s="3569"/>
      <c r="AK177" s="3569"/>
      <c r="AL177" s="3569"/>
      <c r="AM177" s="3569"/>
      <c r="AN177" s="3569"/>
      <c r="AO177" s="3569"/>
      <c r="AP177" s="3569"/>
      <c r="AQ177" s="3569"/>
      <c r="AR177" s="3569"/>
      <c r="AS177" s="3569"/>
      <c r="AT177" s="3569"/>
      <c r="AU177" s="3569"/>
      <c r="AV177" s="3569"/>
      <c r="AW177" s="3569"/>
      <c r="AX177" s="3569"/>
      <c r="AY177" s="3569"/>
      <c r="AZ177" s="3569"/>
      <c r="BA177" s="3569"/>
      <c r="BB177" s="3569"/>
      <c r="BC177" s="3569"/>
      <c r="BD177" s="3569"/>
      <c r="BE177" s="3569"/>
      <c r="BF177" s="3569"/>
      <c r="BG177" s="3569"/>
      <c r="BH177" s="3569"/>
      <c r="BI177" s="3569"/>
      <c r="BJ177" s="3569"/>
      <c r="BK177" s="3569"/>
      <c r="BL177" s="3569"/>
      <c r="BM177" s="3569"/>
      <c r="BN177" s="3569"/>
      <c r="BO177" s="3569"/>
      <c r="BP177" s="3569"/>
      <c r="BQ177" s="3569"/>
      <c r="BR177" s="3569"/>
      <c r="BS177" s="3569"/>
      <c r="BT177" s="3569"/>
      <c r="BU177" s="3569"/>
      <c r="BV177" s="3569"/>
      <c r="BW177" s="3569"/>
      <c r="BX177" s="3569"/>
      <c r="BY177" s="3569"/>
      <c r="BZ177" s="3569"/>
      <c r="CA177" s="3569"/>
      <c r="CB177" s="3569"/>
      <c r="CC177" s="3569"/>
      <c r="CD177" s="3569"/>
      <c r="CE177" s="3569"/>
      <c r="CF177" s="3569"/>
      <c r="CG177" s="3569"/>
      <c r="CH177" s="3569"/>
      <c r="CI177" s="3569"/>
      <c r="CJ177" s="3569"/>
      <c r="CK177" s="3569"/>
      <c r="CL177" s="3569"/>
      <c r="CM177" s="3569"/>
      <c r="CN177" s="3569"/>
      <c r="CO177" s="3569"/>
      <c r="CP177" s="3569"/>
      <c r="CQ177" s="3910"/>
      <c r="CR177" s="3581"/>
      <c r="CS177" s="3728"/>
      <c r="CT177" s="3728" t="str">
        <f>IF(T177="","",T177)</f>
        <v/>
      </c>
      <c r="CU177" s="3728"/>
      <c r="CV177" s="3728"/>
    </row>
    <row s="5568" customFormat="1" customHeight="1" ht="21">
      <c r="A178" s="3716"/>
      <c r="B178" s="3716"/>
      <c r="C178" s="3716"/>
      <c r="D178" s="3716" t="s">
        <v>287</v>
      </c>
      <c r="E178" s="3717"/>
      <c r="F178" s="3717"/>
      <c r="G178" s="3717"/>
      <c r="H178" s="3718" t="s">
        <v>104</v>
      </c>
      <c r="I178" s="3716"/>
      <c r="J178" s="3716"/>
      <c r="K178" s="3716"/>
      <c r="L178" s="3719"/>
      <c r="M178" s="3720"/>
      <c r="N178" s="3720"/>
      <c r="O178" s="3720"/>
      <c r="P178" s="3721"/>
      <c r="Q178" s="3722"/>
      <c r="R178" s="3723"/>
      <c r="S178" s="3724" t="str">
        <f>INDEX(PT_DIFFERENTIATION_NUM_IST_TE,MATCH(D178,PT_DIFFERENTIATION_IST_TE_ID,0))</f>
        <v>1.10.1.2</v>
      </c>
      <c r="T178" s="3725" t="s">
        <v>616</v>
      </c>
      <c r="U178" s="3726"/>
      <c r="V178" s="3432"/>
      <c r="W178" s="3433"/>
      <c r="X178" s="3433"/>
      <c r="Y178" s="3433"/>
      <c r="Z178" s="3433"/>
      <c r="AA178" s="3433"/>
      <c r="AB178" s="3433"/>
      <c r="AC178" s="3434"/>
      <c r="AD178" s="3432" t="str">
        <f>INDEX(PT_DIFFERENTIATION_IST_TE,MATCH(D178,PT_DIFFERENTIATION_IST_TE_ID,0))</f>
        <v>город Снежногорск</v>
      </c>
      <c r="AE178" s="3433"/>
      <c r="AF178" s="3433"/>
      <c r="AG178" s="3433"/>
      <c r="AH178" s="3433"/>
      <c r="AI178" s="3433"/>
      <c r="AJ178" s="3433"/>
      <c r="AK178" s="3433"/>
      <c r="AL178" s="3432"/>
      <c r="AM178" s="3433"/>
      <c r="AN178" s="3433"/>
      <c r="AO178" s="3433"/>
      <c r="AP178" s="3433"/>
      <c r="AQ178" s="3433"/>
      <c r="AR178" s="3433"/>
      <c r="AS178" s="3434"/>
      <c r="AT178" s="3432"/>
      <c r="AU178" s="3433"/>
      <c r="AV178" s="3433"/>
      <c r="AW178" s="3433"/>
      <c r="AX178" s="3433"/>
      <c r="AY178" s="3433"/>
      <c r="AZ178" s="3433"/>
      <c r="BA178" s="3434"/>
      <c r="BB178" s="3432"/>
      <c r="BC178" s="3433"/>
      <c r="BD178" s="3433"/>
      <c r="BE178" s="3433"/>
      <c r="BF178" s="3433"/>
      <c r="BG178" s="3433"/>
      <c r="BH178" s="3433"/>
      <c r="BI178" s="3434"/>
      <c r="BJ178" s="3432"/>
      <c r="BK178" s="3433"/>
      <c r="BL178" s="3433"/>
      <c r="BM178" s="3433"/>
      <c r="BN178" s="3433"/>
      <c r="BO178" s="3433"/>
      <c r="BP178" s="3433"/>
      <c r="BQ178" s="3434"/>
      <c r="BR178" s="3432"/>
      <c r="BS178" s="3433"/>
      <c r="BT178" s="3433"/>
      <c r="BU178" s="3433"/>
      <c r="BV178" s="3433"/>
      <c r="BW178" s="3433"/>
      <c r="BX178" s="3433"/>
      <c r="BY178" s="3434"/>
      <c r="BZ178" s="3432"/>
      <c r="CA178" s="3433"/>
      <c r="CB178" s="3433"/>
      <c r="CC178" s="3433"/>
      <c r="CD178" s="3433"/>
      <c r="CE178" s="3433"/>
      <c r="CF178" s="3433"/>
      <c r="CG178" s="3434"/>
      <c r="CH178" s="3432"/>
      <c r="CI178" s="3433"/>
      <c r="CJ178" s="3433"/>
      <c r="CK178" s="3433"/>
      <c r="CL178" s="3433"/>
      <c r="CM178" s="3433"/>
      <c r="CN178" s="3433"/>
      <c r="CO178" s="3434"/>
      <c r="CP178" s="3434"/>
      <c r="CQ178" s="3727" t="s">
        <v>617</v>
      </c>
      <c r="CR178" s="3581"/>
      <c r="CS178" s="3728"/>
      <c r="CT178" s="3728" t="str">
        <f>IF(T178="","",T178)</f>
        <v>Источник тепловой энергии  </v>
      </c>
      <c r="CU178" s="3728"/>
      <c r="CV178" s="3728"/>
    </row>
    <row s="5569" customFormat="1" customHeight="1" ht="14.25">
      <c r="A179" s="3716"/>
      <c r="B179" s="3716"/>
      <c r="C179" s="3716"/>
      <c r="D179" s="3716"/>
      <c r="E179" s="3717"/>
      <c r="F179" s="3717"/>
      <c r="G179" s="3717"/>
      <c r="H179" s="3717">
        <v>1</v>
      </c>
      <c r="I179" s="3730" t="str">
        <f>S178&amp;".1"</f>
        <v>1.10.1.2.1</v>
      </c>
      <c r="J179" s="3716"/>
      <c r="K179" s="3716"/>
      <c r="L179" s="3719" t="s">
        <v>618</v>
      </c>
      <c r="M179" s="3573"/>
      <c r="N179" s="3731"/>
      <c r="O179" s="3731"/>
      <c r="P179" s="3732">
        <v>1</v>
      </c>
      <c r="Q179" s="3732"/>
      <c r="R179" s="3733"/>
      <c r="S179" s="3734"/>
      <c r="T179" s="3735"/>
      <c r="U179" s="3736"/>
      <c r="V179" s="3441"/>
      <c r="W179" s="3442"/>
      <c r="X179" s="3442"/>
      <c r="Y179" s="3442"/>
      <c r="Z179" s="3442"/>
      <c r="AA179" s="3442"/>
      <c r="AB179" s="3442"/>
      <c r="AC179" s="3443"/>
      <c r="AD179" s="3441"/>
      <c r="AE179" s="3442"/>
      <c r="AF179" s="3442"/>
      <c r="AG179" s="3442"/>
      <c r="AH179" s="3442"/>
      <c r="AI179" s="3442"/>
      <c r="AJ179" s="3442"/>
      <c r="AK179" s="3442"/>
      <c r="AL179" s="3441"/>
      <c r="AM179" s="3442"/>
      <c r="AN179" s="3442"/>
      <c r="AO179" s="3442"/>
      <c r="AP179" s="3442"/>
      <c r="AQ179" s="3442"/>
      <c r="AR179" s="3442"/>
      <c r="AS179" s="3443"/>
      <c r="AT179" s="3441"/>
      <c r="AU179" s="3442"/>
      <c r="AV179" s="3442"/>
      <c r="AW179" s="3442"/>
      <c r="AX179" s="3442"/>
      <c r="AY179" s="3442"/>
      <c r="AZ179" s="3442"/>
      <c r="BA179" s="3443"/>
      <c r="BB179" s="3441"/>
      <c r="BC179" s="3442"/>
      <c r="BD179" s="3442"/>
      <c r="BE179" s="3442"/>
      <c r="BF179" s="3442"/>
      <c r="BG179" s="3442"/>
      <c r="BH179" s="3442"/>
      <c r="BI179" s="3443"/>
      <c r="BJ179" s="3441"/>
      <c r="BK179" s="3442"/>
      <c r="BL179" s="3442"/>
      <c r="BM179" s="3442"/>
      <c r="BN179" s="3442"/>
      <c r="BO179" s="3442"/>
      <c r="BP179" s="3442"/>
      <c r="BQ179" s="3443"/>
      <c r="BR179" s="3441"/>
      <c r="BS179" s="3442"/>
      <c r="BT179" s="3442"/>
      <c r="BU179" s="3442"/>
      <c r="BV179" s="3442"/>
      <c r="BW179" s="3442"/>
      <c r="BX179" s="3442"/>
      <c r="BY179" s="3443"/>
      <c r="BZ179" s="3441"/>
      <c r="CA179" s="3442"/>
      <c r="CB179" s="3442"/>
      <c r="CC179" s="3442"/>
      <c r="CD179" s="3442"/>
      <c r="CE179" s="3442"/>
      <c r="CF179" s="3442"/>
      <c r="CG179" s="3443"/>
      <c r="CH179" s="3441"/>
      <c r="CI179" s="3442"/>
      <c r="CJ179" s="3442"/>
      <c r="CK179" s="3442"/>
      <c r="CL179" s="3442"/>
      <c r="CM179" s="3442"/>
      <c r="CN179" s="3442"/>
      <c r="CO179" s="3443"/>
      <c r="CP179" s="3443"/>
      <c r="CQ179" s="3737"/>
      <c r="CR179" s="3581"/>
      <c r="CS179" s="3728"/>
      <c r="CT179" s="3728" t="str">
        <f>IF(T179="","",T179)</f>
        <v/>
      </c>
      <c r="CU179" s="3728"/>
      <c r="CV179" s="3728"/>
    </row>
    <row s="5570" customFormat="1" customHeight="1" ht="21">
      <c r="A180" s="3716"/>
      <c r="B180" s="3716"/>
      <c r="C180" s="3716"/>
      <c r="D180" s="3716"/>
      <c r="E180" s="3717"/>
      <c r="F180" s="3717"/>
      <c r="G180" s="3717"/>
      <c r="H180" s="3717">
        <v>1</v>
      </c>
      <c r="I180" s="3739"/>
      <c r="J180" s="3730" t="str">
        <f>I179&amp;".1"</f>
        <v>1.10.1.2.1.1</v>
      </c>
      <c r="K180" s="3716"/>
      <c r="L180" s="3719" t="s">
        <v>621</v>
      </c>
      <c r="M180" s="3573"/>
      <c r="N180" s="3573"/>
      <c r="O180" s="3731"/>
      <c r="P180" s="3732"/>
      <c r="Q180" s="3732">
        <v>1</v>
      </c>
      <c r="R180" s="3740"/>
      <c r="S180" s="3724" t="str">
        <f>$J180</f>
        <v>1.10.1.2.1.1</v>
      </c>
      <c r="T180" s="3741" t="s">
        <v>622</v>
      </c>
      <c r="U180" s="3726"/>
      <c r="V180" s="3445"/>
      <c r="W180" s="3446"/>
      <c r="X180" s="3446"/>
      <c r="Y180" s="3446"/>
      <c r="Z180" s="3446"/>
      <c r="AA180" s="3446"/>
      <c r="AB180" s="3446"/>
      <c r="AC180" s="3447"/>
      <c r="AD180" s="3445" t="s">
        <v>662</v>
      </c>
      <c r="AE180" s="3446"/>
      <c r="AF180" s="3446"/>
      <c r="AG180" s="3446"/>
      <c r="AH180" s="3446"/>
      <c r="AI180" s="3446"/>
      <c r="AJ180" s="3446"/>
      <c r="AK180" s="3446"/>
      <c r="AL180" s="3445"/>
      <c r="AM180" s="3446"/>
      <c r="AN180" s="3446"/>
      <c r="AO180" s="3446"/>
      <c r="AP180" s="3446"/>
      <c r="AQ180" s="3446"/>
      <c r="AR180" s="3446"/>
      <c r="AS180" s="3447"/>
      <c r="AT180" s="3445"/>
      <c r="AU180" s="3446"/>
      <c r="AV180" s="3446"/>
      <c r="AW180" s="3446"/>
      <c r="AX180" s="3446"/>
      <c r="AY180" s="3446"/>
      <c r="AZ180" s="3446"/>
      <c r="BA180" s="3447"/>
      <c r="BB180" s="3445"/>
      <c r="BC180" s="3446"/>
      <c r="BD180" s="3446"/>
      <c r="BE180" s="3446"/>
      <c r="BF180" s="3446"/>
      <c r="BG180" s="3446"/>
      <c r="BH180" s="3446"/>
      <c r="BI180" s="3447"/>
      <c r="BJ180" s="3445"/>
      <c r="BK180" s="3446"/>
      <c r="BL180" s="3446"/>
      <c r="BM180" s="3446"/>
      <c r="BN180" s="3446"/>
      <c r="BO180" s="3446"/>
      <c r="BP180" s="3446"/>
      <c r="BQ180" s="3447"/>
      <c r="BR180" s="3445"/>
      <c r="BS180" s="3446"/>
      <c r="BT180" s="3446"/>
      <c r="BU180" s="3446"/>
      <c r="BV180" s="3446"/>
      <c r="BW180" s="3446"/>
      <c r="BX180" s="3446"/>
      <c r="BY180" s="3447"/>
      <c r="BZ180" s="3445"/>
      <c r="CA180" s="3446"/>
      <c r="CB180" s="3446"/>
      <c r="CC180" s="3446"/>
      <c r="CD180" s="3446"/>
      <c r="CE180" s="3446"/>
      <c r="CF180" s="3446"/>
      <c r="CG180" s="3447"/>
      <c r="CH180" s="3445"/>
      <c r="CI180" s="3446"/>
      <c r="CJ180" s="3446"/>
      <c r="CK180" s="3446"/>
      <c r="CL180" s="3446"/>
      <c r="CM180" s="3446"/>
      <c r="CN180" s="3446"/>
      <c r="CO180" s="3447"/>
      <c r="CP180" s="3447"/>
      <c r="CQ180" s="3727" t="s">
        <v>623</v>
      </c>
      <c r="CR180" s="3581"/>
      <c r="CS180" s="3728"/>
      <c r="CT180" s="3728" t="str">
        <f>IF(T180="","",T180)</f>
        <v>Группа потребителей</v>
      </c>
      <c r="CU180" s="3728"/>
      <c r="CV180" s="3728"/>
    </row>
    <row s="5571" customFormat="1" customHeight="1" ht="21">
      <c r="A181" s="3716"/>
      <c r="B181" s="3716"/>
      <c r="C181" s="3716"/>
      <c r="D181" s="3716"/>
      <c r="E181" s="3717"/>
      <c r="F181" s="3717"/>
      <c r="G181" s="3717"/>
      <c r="H181" s="3717">
        <v>1</v>
      </c>
      <c r="I181" s="3739"/>
      <c r="J181" s="3739"/>
      <c r="K181" s="3730" t="str">
        <f>J180&amp;".1"</f>
        <v>1.10.1.2.1.1.1</v>
      </c>
      <c r="L181" s="3719" t="s">
        <v>624</v>
      </c>
      <c r="M181" s="3573"/>
      <c r="N181" s="3573"/>
      <c r="O181" s="3573"/>
      <c r="P181" s="3732"/>
      <c r="Q181" s="3732"/>
      <c r="R181" s="3740">
        <v>1</v>
      </c>
      <c r="S181" s="3724" t="str">
        <f>$K181</f>
        <v>1.10.1.2.1.1.1</v>
      </c>
      <c r="T181" s="3743" t="s">
        <v>663</v>
      </c>
      <c r="U181" s="3726"/>
      <c r="V181" s="3448"/>
      <c r="W181" s="3449"/>
      <c r="X181" s="3448"/>
      <c r="Y181" s="3450"/>
      <c r="Z181" s="3451"/>
      <c r="AA181" s="2872" t="s">
        <v>63</v>
      </c>
      <c r="AB181" s="3451"/>
      <c r="AC181" s="2872" t="s">
        <v>63</v>
      </c>
      <c r="AD181" s="3448">
        <v>28.18</v>
      </c>
      <c r="AE181" s="3449"/>
      <c r="AF181" s="3448"/>
      <c r="AG181" s="3450"/>
      <c r="AH181" s="3451">
        <v>44197</v>
      </c>
      <c r="AI181" s="2872" t="s">
        <v>63</v>
      </c>
      <c r="AJ181" s="3451">
        <v>44377</v>
      </c>
      <c r="AK181" s="2872" t="s">
        <v>63</v>
      </c>
      <c r="AL181" s="3448">
        <v>31</v>
      </c>
      <c r="AM181" s="3449"/>
      <c r="AN181" s="3448"/>
      <c r="AO181" s="3450"/>
      <c r="AP181" s="3451">
        <v>44378</v>
      </c>
      <c r="AQ181" s="2872" t="s">
        <v>63</v>
      </c>
      <c r="AR181" s="3451">
        <v>44561</v>
      </c>
      <c r="AS181" s="2872" t="s">
        <v>63</v>
      </c>
      <c r="AT181" s="3448">
        <v>26.89</v>
      </c>
      <c r="AU181" s="3449"/>
      <c r="AV181" s="3448"/>
      <c r="AW181" s="3450"/>
      <c r="AX181" s="3451">
        <v>44562</v>
      </c>
      <c r="AY181" s="2872" t="s">
        <v>63</v>
      </c>
      <c r="AZ181" s="3451">
        <v>44601</v>
      </c>
      <c r="BA181" s="2872" t="s">
        <v>63</v>
      </c>
      <c r="BB181" s="3448">
        <v>26.89</v>
      </c>
      <c r="BC181" s="3449"/>
      <c r="BD181" s="3448"/>
      <c r="BE181" s="3450"/>
      <c r="BF181" s="3451">
        <v>44602</v>
      </c>
      <c r="BG181" s="2872" t="s">
        <v>63</v>
      </c>
      <c r="BH181" s="3451">
        <v>44742</v>
      </c>
      <c r="BI181" s="2872" t="s">
        <v>63</v>
      </c>
      <c r="BJ181" s="3448">
        <v>26.89</v>
      </c>
      <c r="BK181" s="3449"/>
      <c r="BL181" s="3448"/>
      <c r="BM181" s="3450"/>
      <c r="BN181" s="3451">
        <v>44743</v>
      </c>
      <c r="BO181" s="2872" t="s">
        <v>63</v>
      </c>
      <c r="BP181" s="3451">
        <v>44804</v>
      </c>
      <c r="BQ181" s="2872" t="s">
        <v>63</v>
      </c>
      <c r="BR181" s="3448">
        <v>26.89</v>
      </c>
      <c r="BS181" s="3449"/>
      <c r="BT181" s="3448"/>
      <c r="BU181" s="3450"/>
      <c r="BV181" s="3451">
        <v>44805</v>
      </c>
      <c r="BW181" s="2872" t="s">
        <v>63</v>
      </c>
      <c r="BX181" s="3451">
        <v>44895</v>
      </c>
      <c r="BY181" s="2872" t="s">
        <v>63</v>
      </c>
      <c r="BZ181" s="3448">
        <v>30.29</v>
      </c>
      <c r="CA181" s="3449"/>
      <c r="CB181" s="3448"/>
      <c r="CC181" s="3450"/>
      <c r="CD181" s="3451">
        <v>44896</v>
      </c>
      <c r="CE181" s="2872" t="s">
        <v>63</v>
      </c>
      <c r="CF181" s="3451">
        <v>45174</v>
      </c>
      <c r="CG181" s="2872" t="s">
        <v>63</v>
      </c>
      <c r="CH181" s="3448">
        <v>30.29</v>
      </c>
      <c r="CI181" s="3449"/>
      <c r="CJ181" s="3448"/>
      <c r="CK181" s="3450"/>
      <c r="CL181" s="3451">
        <v>45175</v>
      </c>
      <c r="CM181" s="2872" t="s">
        <v>63</v>
      </c>
      <c r="CN181" s="3451">
        <v>45291</v>
      </c>
      <c r="CO181" s="2872" t="s">
        <v>63</v>
      </c>
      <c r="CP181" s="3449"/>
      <c r="CQ181" s="3744" t="s">
        <v>625</v>
      </c>
      <c r="CR181" s="3581">
        <f>STRCHECKDATE(V182:CP182)</f>
      </c>
      <c r="CS181" s="3728"/>
      <c r="CT181" s="3728" t="str">
        <f>IF(T181="","",T181)</f>
        <v>вода</v>
      </c>
      <c r="CU181" s="3728"/>
      <c r="CV181" s="3728"/>
    </row>
    <row s="5572" customFormat="1" customHeight="1" ht="0.75">
      <c r="A182" s="3716"/>
      <c r="B182" s="3716"/>
      <c r="C182" s="3716"/>
      <c r="D182" s="3716"/>
      <c r="E182" s="3717"/>
      <c r="F182" s="3717"/>
      <c r="G182" s="3717"/>
      <c r="H182" s="3717">
        <v>1</v>
      </c>
      <c r="I182" s="3739"/>
      <c r="J182" s="3739"/>
      <c r="K182" s="3730"/>
      <c r="L182" s="3719"/>
      <c r="M182" s="3573"/>
      <c r="N182" s="3573"/>
      <c r="O182" s="3573"/>
      <c r="P182" s="3732"/>
      <c r="Q182" s="3732"/>
      <c r="R182" s="3740"/>
      <c r="S182" s="3746"/>
      <c r="T182" s="3726"/>
      <c r="U182" s="3726"/>
      <c r="V182" s="3449"/>
      <c r="W182" s="3449"/>
      <c r="X182" s="3449"/>
      <c r="Y182" s="3452" t="str">
        <f>Z181&amp;"-"&amp;AB181</f>
        <v>-</v>
      </c>
      <c r="Z182" s="3453"/>
      <c r="AA182" s="2872"/>
      <c r="AB182" s="3453"/>
      <c r="AC182" s="2872"/>
      <c r="AD182" s="3449"/>
      <c r="AE182" s="3449"/>
      <c r="AF182" s="3449"/>
      <c r="AG182" s="3452" t="str">
        <f>AH181&amp;"-"&amp;AJ181</f>
        <v>44197-44377</v>
      </c>
      <c r="AH182" s="3453"/>
      <c r="AI182" s="2872"/>
      <c r="AJ182" s="3453"/>
      <c r="AK182" s="2872"/>
      <c r="AL182" s="3449"/>
      <c r="AM182" s="3449"/>
      <c r="AN182" s="3449"/>
      <c r="AO182" s="3452" t="str">
        <f>AP181&amp;"-"&amp;AR181</f>
        <v>44378-44561</v>
      </c>
      <c r="AP182" s="3453"/>
      <c r="AQ182" s="2872"/>
      <c r="AR182" s="3453"/>
      <c r="AS182" s="2872"/>
      <c r="AT182" s="3449"/>
      <c r="AU182" s="3449"/>
      <c r="AV182" s="3449"/>
      <c r="AW182" s="3452" t="str">
        <f>AX181&amp;"-"&amp;AZ181</f>
        <v>44562-44601</v>
      </c>
      <c r="AX182" s="3453"/>
      <c r="AY182" s="2872"/>
      <c r="AZ182" s="3453"/>
      <c r="BA182" s="2872"/>
      <c r="BB182" s="3449"/>
      <c r="BC182" s="3449"/>
      <c r="BD182" s="3449"/>
      <c r="BE182" s="3452" t="str">
        <f>BF181&amp;"-"&amp;BH181</f>
        <v>44602-44742</v>
      </c>
      <c r="BF182" s="3453"/>
      <c r="BG182" s="2872"/>
      <c r="BH182" s="3453"/>
      <c r="BI182" s="2872"/>
      <c r="BJ182" s="3449"/>
      <c r="BK182" s="3449"/>
      <c r="BL182" s="3449"/>
      <c r="BM182" s="3452" t="str">
        <f>BN181&amp;"-"&amp;BP181</f>
        <v>44743-44804</v>
      </c>
      <c r="BN182" s="3453"/>
      <c r="BO182" s="2872"/>
      <c r="BP182" s="3453"/>
      <c r="BQ182" s="2872"/>
      <c r="BR182" s="3449"/>
      <c r="BS182" s="3449"/>
      <c r="BT182" s="3449"/>
      <c r="BU182" s="3452" t="str">
        <f>BV181&amp;"-"&amp;BX181</f>
        <v>44805-44895</v>
      </c>
      <c r="BV182" s="3453"/>
      <c r="BW182" s="2872"/>
      <c r="BX182" s="3453"/>
      <c r="BY182" s="2872"/>
      <c r="BZ182" s="3449"/>
      <c r="CA182" s="3449"/>
      <c r="CB182" s="3449"/>
      <c r="CC182" s="3452" t="str">
        <f>CD181&amp;"-"&amp;CF181</f>
        <v>44896-45174</v>
      </c>
      <c r="CD182" s="3453"/>
      <c r="CE182" s="2872"/>
      <c r="CF182" s="3453"/>
      <c r="CG182" s="2872"/>
      <c r="CH182" s="3449"/>
      <c r="CI182" s="3449"/>
      <c r="CJ182" s="3449"/>
      <c r="CK182" s="3452" t="str">
        <f>CL181&amp;"-"&amp;CN181</f>
        <v>45175-45291</v>
      </c>
      <c r="CL182" s="3453"/>
      <c r="CM182" s="2872"/>
      <c r="CN182" s="3453"/>
      <c r="CO182" s="2872"/>
      <c r="CP182" s="3449"/>
      <c r="CQ182" s="3747"/>
      <c r="CR182" s="3581"/>
      <c r="CS182" s="3728"/>
      <c r="CT182" s="3728" t="str">
        <f>IF(T182="","",T182)</f>
        <v/>
      </c>
      <c r="CU182" s="3728"/>
      <c r="CV182" s="3728"/>
    </row>
    <row s="5573" customFormat="1" customHeight="1" ht="15">
      <c r="A183" s="3716"/>
      <c r="B183" s="3716"/>
      <c r="C183" s="3716"/>
      <c r="D183" s="3716"/>
      <c r="E183" s="3717"/>
      <c r="F183" s="3717"/>
      <c r="G183" s="3717"/>
      <c r="H183" s="3717">
        <v>1</v>
      </c>
      <c r="I183" s="3739"/>
      <c r="J183" s="3730"/>
      <c r="K183" s="3716"/>
      <c r="L183" s="3719"/>
      <c r="M183" s="3573"/>
      <c r="N183" s="3573"/>
      <c r="O183" s="3731"/>
      <c r="P183" s="3732"/>
      <c r="Q183" s="3732"/>
      <c r="R183" s="3733"/>
      <c r="S183" s="5574"/>
      <c r="T183" s="5575" t="s">
        <v>626</v>
      </c>
      <c r="U183" s="5576"/>
      <c r="V183" s="5577"/>
      <c r="W183" s="5578"/>
      <c r="X183" s="5579"/>
      <c r="Y183" s="5580"/>
      <c r="Z183" s="5581"/>
      <c r="AA183" s="5582"/>
      <c r="AB183" s="5583"/>
      <c r="AC183" s="5584"/>
      <c r="AD183" s="5585"/>
      <c r="AE183" s="5586"/>
      <c r="AF183" s="5587"/>
      <c r="AG183" s="5588"/>
      <c r="AH183" s="5589"/>
      <c r="AI183" s="5590"/>
      <c r="AJ183" s="5591"/>
      <c r="AK183" s="5592"/>
      <c r="AL183" s="5593"/>
      <c r="AM183" s="5594"/>
      <c r="AN183" s="5595"/>
      <c r="AO183" s="5596"/>
      <c r="AP183" s="5597"/>
      <c r="AQ183" s="5598"/>
      <c r="AR183" s="5599"/>
      <c r="AS183" s="5600"/>
      <c r="AT183" s="5601"/>
      <c r="AU183" s="5602"/>
      <c r="AV183" s="5603"/>
      <c r="AW183" s="5604"/>
      <c r="AX183" s="5605"/>
      <c r="AY183" s="5606"/>
      <c r="AZ183" s="5607"/>
      <c r="BA183" s="5608"/>
      <c r="BB183" s="5609"/>
      <c r="BC183" s="5610"/>
      <c r="BD183" s="5611"/>
      <c r="BE183" s="5612"/>
      <c r="BF183" s="5613"/>
      <c r="BG183" s="5614"/>
      <c r="BH183" s="5615"/>
      <c r="BI183" s="5616"/>
      <c r="BJ183" s="5617"/>
      <c r="BK183" s="5618"/>
      <c r="BL183" s="5619"/>
      <c r="BM183" s="5620"/>
      <c r="BN183" s="5621"/>
      <c r="BO183" s="5622"/>
      <c r="BP183" s="5623"/>
      <c r="BQ183" s="5624"/>
      <c r="BR183" s="5625"/>
      <c r="BS183" s="5626"/>
      <c r="BT183" s="5627"/>
      <c r="BU183" s="5628"/>
      <c r="BV183" s="5629"/>
      <c r="BW183" s="5630"/>
      <c r="BX183" s="5631"/>
      <c r="BY183" s="5632"/>
      <c r="BZ183" s="5633"/>
      <c r="CA183" s="5634"/>
      <c r="CB183" s="5635"/>
      <c r="CC183" s="5636"/>
      <c r="CD183" s="5637"/>
      <c r="CE183" s="5638"/>
      <c r="CF183" s="5639"/>
      <c r="CG183" s="5640"/>
      <c r="CH183" s="5641"/>
      <c r="CI183" s="5642"/>
      <c r="CJ183" s="5643"/>
      <c r="CK183" s="5644"/>
      <c r="CL183" s="5645"/>
      <c r="CM183" s="5646"/>
      <c r="CN183" s="5647"/>
      <c r="CO183" s="5648"/>
      <c r="CP183" s="5649"/>
      <c r="CQ183" s="3825"/>
      <c r="CR183" s="3581"/>
      <c r="CS183" s="3728"/>
      <c r="CT183" s="3728" t="str">
        <f>IF(T183="","",T183)</f>
        <v>Добавить вид теплоносителя (параметры теплоносителя)</v>
      </c>
      <c r="CU183" s="3728"/>
      <c r="CV183" s="3728"/>
    </row>
    <row s="5650" customFormat="1" customHeight="1" ht="15">
      <c r="A184" s="3716"/>
      <c r="B184" s="3716"/>
      <c r="C184" s="3716"/>
      <c r="D184" s="3716"/>
      <c r="E184" s="3717"/>
      <c r="F184" s="3717"/>
      <c r="G184" s="3717"/>
      <c r="H184" s="3717">
        <v>1</v>
      </c>
      <c r="I184" s="3730"/>
      <c r="J184" s="3716"/>
      <c r="K184" s="3716"/>
      <c r="L184" s="3719"/>
      <c r="M184" s="3573"/>
      <c r="N184" s="3731"/>
      <c r="O184" s="3731"/>
      <c r="P184" s="3732"/>
      <c r="Q184" s="3732"/>
      <c r="R184" s="3733"/>
      <c r="S184" s="5651"/>
      <c r="T184" s="5652" t="s">
        <v>627</v>
      </c>
      <c r="U184" s="5653"/>
      <c r="V184" s="5654"/>
      <c r="W184" s="5655"/>
      <c r="X184" s="5656"/>
      <c r="Y184" s="5657"/>
      <c r="Z184" s="5658"/>
      <c r="AA184" s="5659"/>
      <c r="AB184" s="5660"/>
      <c r="AC184" s="5661"/>
      <c r="AD184" s="5662"/>
      <c r="AE184" s="5663"/>
      <c r="AF184" s="5664"/>
      <c r="AG184" s="5665"/>
      <c r="AH184" s="5666"/>
      <c r="AI184" s="5667"/>
      <c r="AJ184" s="5668"/>
      <c r="AK184" s="5669"/>
      <c r="AL184" s="5670"/>
      <c r="AM184" s="5671"/>
      <c r="AN184" s="5672"/>
      <c r="AO184" s="5673"/>
      <c r="AP184" s="5674"/>
      <c r="AQ184" s="5675"/>
      <c r="AR184" s="5676"/>
      <c r="AS184" s="5677"/>
      <c r="AT184" s="5678"/>
      <c r="AU184" s="5679"/>
      <c r="AV184" s="5680"/>
      <c r="AW184" s="5681"/>
      <c r="AX184" s="5682"/>
      <c r="AY184" s="5683"/>
      <c r="AZ184" s="5684"/>
      <c r="BA184" s="5685"/>
      <c r="BB184" s="5686"/>
      <c r="BC184" s="5687"/>
      <c r="BD184" s="5688"/>
      <c r="BE184" s="5689"/>
      <c r="BF184" s="5690"/>
      <c r="BG184" s="5691"/>
      <c r="BH184" s="5692"/>
      <c r="BI184" s="5693"/>
      <c r="BJ184" s="5694"/>
      <c r="BK184" s="5695"/>
      <c r="BL184" s="5696"/>
      <c r="BM184" s="5697"/>
      <c r="BN184" s="5698"/>
      <c r="BO184" s="5699"/>
      <c r="BP184" s="5700"/>
      <c r="BQ184" s="5701"/>
      <c r="BR184" s="5702"/>
      <c r="BS184" s="5703"/>
      <c r="BT184" s="5704"/>
      <c r="BU184" s="5705"/>
      <c r="BV184" s="5706"/>
      <c r="BW184" s="5707"/>
      <c r="BX184" s="5708"/>
      <c r="BY184" s="5709"/>
      <c r="BZ184" s="5710"/>
      <c r="CA184" s="5711"/>
      <c r="CB184" s="5712"/>
      <c r="CC184" s="5713"/>
      <c r="CD184" s="5714"/>
      <c r="CE184" s="5715"/>
      <c r="CF184" s="5716"/>
      <c r="CG184" s="5717"/>
      <c r="CH184" s="5718"/>
      <c r="CI184" s="5719"/>
      <c r="CJ184" s="5720"/>
      <c r="CK184" s="5721"/>
      <c r="CL184" s="5722"/>
      <c r="CM184" s="5723"/>
      <c r="CN184" s="5724"/>
      <c r="CO184" s="5725"/>
      <c r="CP184" s="5726"/>
      <c r="CQ184" s="5727"/>
      <c r="CR184" s="3581"/>
      <c r="CS184" s="3728"/>
      <c r="CT184" s="3728" t="str">
        <f>IF(T184="","",T184)</f>
        <v>Добавить группу потребителей</v>
      </c>
      <c r="CU184" s="3728"/>
      <c r="CV184" s="3728"/>
    </row>
    <row s="5728" customFormat="1" customHeight="1" ht="14.25">
      <c r="A185" s="3716"/>
      <c r="B185" s="3716"/>
      <c r="C185" s="3716"/>
      <c r="D185" s="3716"/>
      <c r="E185" s="3717"/>
      <c r="F185" s="3717"/>
      <c r="G185" s="3717"/>
      <c r="H185" s="3718">
        <v>1</v>
      </c>
      <c r="I185" s="3716"/>
      <c r="J185" s="3716"/>
      <c r="K185" s="3716"/>
      <c r="L185" s="3719"/>
      <c r="M185" s="3720"/>
      <c r="N185" s="3720"/>
      <c r="O185" s="3573"/>
      <c r="P185" s="3905"/>
      <c r="Q185" s="3906"/>
      <c r="R185" s="3907"/>
      <c r="S185" s="3908"/>
      <c r="T185" s="3909"/>
      <c r="U185" s="3569"/>
      <c r="V185" s="3569"/>
      <c r="W185" s="3569"/>
      <c r="X185" s="3569"/>
      <c r="Y185" s="3569"/>
      <c r="Z185" s="3569"/>
      <c r="AA185" s="3569"/>
      <c r="AB185" s="3569"/>
      <c r="AC185" s="3569"/>
      <c r="AD185" s="3569"/>
      <c r="AE185" s="3569"/>
      <c r="AF185" s="3569"/>
      <c r="AG185" s="3569"/>
      <c r="AH185" s="3569"/>
      <c r="AI185" s="3569"/>
      <c r="AJ185" s="3569"/>
      <c r="AK185" s="3569"/>
      <c r="AL185" s="3569"/>
      <c r="AM185" s="3569"/>
      <c r="AN185" s="3569"/>
      <c r="AO185" s="3569"/>
      <c r="AP185" s="3569"/>
      <c r="AQ185" s="3569"/>
      <c r="AR185" s="3569"/>
      <c r="AS185" s="3569"/>
      <c r="AT185" s="3569"/>
      <c r="AU185" s="3569"/>
      <c r="AV185" s="3569"/>
      <c r="AW185" s="3569"/>
      <c r="AX185" s="3569"/>
      <c r="AY185" s="3569"/>
      <c r="AZ185" s="3569"/>
      <c r="BA185" s="3569"/>
      <c r="BB185" s="3569"/>
      <c r="BC185" s="3569"/>
      <c r="BD185" s="3569"/>
      <c r="BE185" s="3569"/>
      <c r="BF185" s="3569"/>
      <c r="BG185" s="3569"/>
      <c r="BH185" s="3569"/>
      <c r="BI185" s="3569"/>
      <c r="BJ185" s="3569"/>
      <c r="BK185" s="3569"/>
      <c r="BL185" s="3569"/>
      <c r="BM185" s="3569"/>
      <c r="BN185" s="3569"/>
      <c r="BO185" s="3569"/>
      <c r="BP185" s="3569"/>
      <c r="BQ185" s="3569"/>
      <c r="BR185" s="3569"/>
      <c r="BS185" s="3569"/>
      <c r="BT185" s="3569"/>
      <c r="BU185" s="3569"/>
      <c r="BV185" s="3569"/>
      <c r="BW185" s="3569"/>
      <c r="BX185" s="3569"/>
      <c r="BY185" s="3569"/>
      <c r="BZ185" s="3569"/>
      <c r="CA185" s="3569"/>
      <c r="CB185" s="3569"/>
      <c r="CC185" s="3569"/>
      <c r="CD185" s="3569"/>
      <c r="CE185" s="3569"/>
      <c r="CF185" s="3569"/>
      <c r="CG185" s="3569"/>
      <c r="CH185" s="3569"/>
      <c r="CI185" s="3569"/>
      <c r="CJ185" s="3569"/>
      <c r="CK185" s="3569"/>
      <c r="CL185" s="3569"/>
      <c r="CM185" s="3569"/>
      <c r="CN185" s="3569"/>
      <c r="CO185" s="3569"/>
      <c r="CP185" s="3569"/>
      <c r="CQ185" s="3910"/>
      <c r="CR185" s="3581"/>
      <c r="CS185" s="3728"/>
      <c r="CT185" s="3728" t="str">
        <f>IF(T185="","",T185)</f>
        <v/>
      </c>
      <c r="CU185" s="3728"/>
      <c r="CV185" s="3728"/>
    </row>
    <row s="5729" customFormat="1" customHeight="1" ht="0.75">
      <c r="A186" s="4239"/>
      <c r="B186" s="4239"/>
      <c r="C186" s="4239"/>
      <c r="D186" s="4239"/>
      <c r="E186" s="3717"/>
      <c r="F186" s="3717" t="s">
        <v>135</v>
      </c>
      <c r="G186" s="3718"/>
      <c r="H186" s="4239"/>
      <c r="I186" s="4239"/>
      <c r="J186" s="4239"/>
      <c r="K186" s="4239"/>
      <c r="L186" s="4240"/>
      <c r="M186" s="4241"/>
      <c r="N186" s="4241"/>
      <c r="O186" s="3581"/>
      <c r="P186" s="4242"/>
      <c r="Q186" s="4243"/>
      <c r="R186" s="4242"/>
      <c r="S186" s="4244"/>
      <c r="T186" s="4245" t="s">
        <v>254</v>
      </c>
      <c r="U186" s="3571"/>
      <c r="V186" s="3571"/>
      <c r="W186" s="3571"/>
      <c r="X186" s="3571"/>
      <c r="Y186" s="3571"/>
      <c r="Z186" s="3571"/>
      <c r="AA186" s="3571"/>
      <c r="AB186" s="3571"/>
      <c r="AC186" s="3571"/>
      <c r="AD186" s="3571"/>
      <c r="AE186" s="3571"/>
      <c r="AF186" s="3571"/>
      <c r="AG186" s="3571"/>
      <c r="AH186" s="3571"/>
      <c r="AI186" s="3571"/>
      <c r="AJ186" s="3571"/>
      <c r="AK186" s="3571"/>
      <c r="AL186" s="3571"/>
      <c r="AM186" s="3571"/>
      <c r="AN186" s="3571"/>
      <c r="AO186" s="3571"/>
      <c r="AP186" s="3571"/>
      <c r="AQ186" s="3571"/>
      <c r="AR186" s="3571"/>
      <c r="AS186" s="3571"/>
      <c r="AT186" s="3571"/>
      <c r="AU186" s="3571"/>
      <c r="AV186" s="3571"/>
      <c r="AW186" s="3571"/>
      <c r="AX186" s="3571"/>
      <c r="AY186" s="3571"/>
      <c r="AZ186" s="3571"/>
      <c r="BA186" s="3571"/>
      <c r="BB186" s="3571"/>
      <c r="BC186" s="3571"/>
      <c r="BD186" s="3571"/>
      <c r="BE186" s="3571"/>
      <c r="BF186" s="3571"/>
      <c r="BG186" s="3571"/>
      <c r="BH186" s="3571"/>
      <c r="BI186" s="3571"/>
      <c r="BJ186" s="3571"/>
      <c r="BK186" s="3571"/>
      <c r="BL186" s="3571"/>
      <c r="BM186" s="3571"/>
      <c r="BN186" s="3571"/>
      <c r="BO186" s="3571"/>
      <c r="BP186" s="3571"/>
      <c r="BQ186" s="3571"/>
      <c r="BR186" s="3571"/>
      <c r="BS186" s="3571"/>
      <c r="BT186" s="3571"/>
      <c r="BU186" s="3571"/>
      <c r="BV186" s="3571"/>
      <c r="BW186" s="3571"/>
      <c r="BX186" s="3571"/>
      <c r="BY186" s="3571"/>
      <c r="BZ186" s="3571"/>
      <c r="CA186" s="3571"/>
      <c r="CB186" s="3571"/>
      <c r="CC186" s="3571"/>
      <c r="CD186" s="3571"/>
      <c r="CE186" s="3571"/>
      <c r="CF186" s="3571"/>
      <c r="CG186" s="3571"/>
      <c r="CH186" s="3571"/>
      <c r="CI186" s="3571"/>
      <c r="CJ186" s="3571"/>
      <c r="CK186" s="3571"/>
      <c r="CL186" s="3571"/>
      <c r="CM186" s="3571"/>
      <c r="CN186" s="3571"/>
      <c r="CO186" s="3571"/>
      <c r="CP186" s="3571"/>
      <c r="CQ186" s="3571"/>
      <c r="CR186" s="3581"/>
      <c r="CS186" s="3728"/>
      <c r="CT186" s="3728" t="str">
        <f>IF(T186="","",T186)</f>
        <v>Добавить источник для дифференциации</v>
      </c>
      <c r="CU186" s="3728"/>
      <c r="CV186" s="3728"/>
    </row>
    <row s="5730" customFormat="1" customHeight="1" ht="0.75">
      <c r="A187" s="4239"/>
      <c r="B187" s="4239"/>
      <c r="C187" s="4239"/>
      <c r="D187" s="4239"/>
      <c r="E187" s="3717"/>
      <c r="F187" s="3718" t="s">
        <v>135</v>
      </c>
      <c r="G187" s="4239"/>
      <c r="H187" s="4239"/>
      <c r="I187" s="4239"/>
      <c r="J187" s="4239"/>
      <c r="K187" s="4239"/>
      <c r="L187" s="4240"/>
      <c r="M187" s="4247"/>
      <c r="N187" s="4247"/>
      <c r="O187" s="3581"/>
      <c r="P187" s="4242"/>
      <c r="Q187" s="4243"/>
      <c r="R187" s="4242"/>
      <c r="S187" s="4248"/>
      <c r="T187" s="4249" t="s">
        <v>255</v>
      </c>
      <c r="U187" s="3572"/>
      <c r="V187" s="3572"/>
      <c r="W187" s="3572"/>
      <c r="X187" s="3572"/>
      <c r="Y187" s="3572"/>
      <c r="Z187" s="3572"/>
      <c r="AA187" s="3572"/>
      <c r="AB187" s="3572"/>
      <c r="AC187" s="3572"/>
      <c r="AD187" s="3572"/>
      <c r="AE187" s="3572"/>
      <c r="AF187" s="3572"/>
      <c r="AG187" s="3572"/>
      <c r="AH187" s="3572"/>
      <c r="AI187" s="3572"/>
      <c r="AJ187" s="3572"/>
      <c r="AK187" s="3572"/>
      <c r="AL187" s="3572"/>
      <c r="AM187" s="3572"/>
      <c r="AN187" s="3572"/>
      <c r="AO187" s="3572"/>
      <c r="AP187" s="3572"/>
      <c r="AQ187" s="3572"/>
      <c r="AR187" s="3572"/>
      <c r="AS187" s="3572"/>
      <c r="AT187" s="3572"/>
      <c r="AU187" s="3572"/>
      <c r="AV187" s="3572"/>
      <c r="AW187" s="3572"/>
      <c r="AX187" s="3572"/>
      <c r="AY187" s="3572"/>
      <c r="AZ187" s="3572"/>
      <c r="BA187" s="3572"/>
      <c r="BB187" s="3572"/>
      <c r="BC187" s="3572"/>
      <c r="BD187" s="3572"/>
      <c r="BE187" s="3572"/>
      <c r="BF187" s="3572"/>
      <c r="BG187" s="3572"/>
      <c r="BH187" s="3572"/>
      <c r="BI187" s="3572"/>
      <c r="BJ187" s="3572"/>
      <c r="BK187" s="3572"/>
      <c r="BL187" s="3572"/>
      <c r="BM187" s="3572"/>
      <c r="BN187" s="3572"/>
      <c r="BO187" s="3572"/>
      <c r="BP187" s="3572"/>
      <c r="BQ187" s="3572"/>
      <c r="BR187" s="3572"/>
      <c r="BS187" s="3572"/>
      <c r="BT187" s="3572"/>
      <c r="BU187" s="3572"/>
      <c r="BV187" s="3572"/>
      <c r="BW187" s="3572"/>
      <c r="BX187" s="3572"/>
      <c r="BY187" s="3572"/>
      <c r="BZ187" s="3572"/>
      <c r="CA187" s="3572"/>
      <c r="CB187" s="3572"/>
      <c r="CC187" s="3572"/>
      <c r="CD187" s="3572"/>
      <c r="CE187" s="3572"/>
      <c r="CF187" s="3572"/>
      <c r="CG187" s="3572"/>
      <c r="CH187" s="3572"/>
      <c r="CI187" s="3572"/>
      <c r="CJ187" s="3572"/>
      <c r="CK187" s="3572"/>
      <c r="CL187" s="3572"/>
      <c r="CM187" s="3572"/>
      <c r="CN187" s="3572"/>
      <c r="CO187" s="3572"/>
      <c r="CP187" s="3572"/>
      <c r="CQ187" s="3572"/>
      <c r="CR187" s="3581"/>
      <c r="CS187" s="3728"/>
      <c r="CT187" s="3728" t="str">
        <f>IF(T187="","",T187)</f>
        <v>Добавить централизованную систему для дифференциации</v>
      </c>
      <c r="CU187" s="3728"/>
      <c r="CV187" s="3728"/>
    </row>
    <row s="5731" customFormat="1" customHeight="1" ht="21">
      <c r="A188" s="3716"/>
      <c r="B188" s="3716" t="s">
        <v>289</v>
      </c>
      <c r="C188" s="3716"/>
      <c r="D188" s="3716"/>
      <c r="E188" s="3717"/>
      <c r="F188" s="3718" t="s">
        <v>143</v>
      </c>
      <c r="G188" s="3716"/>
      <c r="H188" s="3716"/>
      <c r="I188" s="3716"/>
      <c r="J188" s="3716"/>
      <c r="K188" s="3716"/>
      <c r="L188" s="3719"/>
      <c r="M188" s="3720"/>
      <c r="N188" s="3720"/>
      <c r="O188" s="3720"/>
      <c r="P188" s="4073"/>
      <c r="Q188" s="3722"/>
      <c r="R188" s="3723"/>
      <c r="S188" s="3724" t="str">
        <f>INDEX(PT_DIFFERENTIATION_NUM_TER,MATCH(B188,PT_DIFFERENTIATION_TER_ID,0))</f>
        <v>1.11</v>
      </c>
      <c r="T188" s="4074" t="s">
        <v>612</v>
      </c>
      <c r="U188" s="3726"/>
      <c r="V188" s="3432"/>
      <c r="W188" s="3433"/>
      <c r="X188" s="3433"/>
      <c r="Y188" s="3433"/>
      <c r="Z188" s="3433"/>
      <c r="AA188" s="3433"/>
      <c r="AB188" s="3433"/>
      <c r="AC188" s="3434"/>
      <c r="AD188" s="3432" t="str">
        <f>INDEX(PT_DIFFERENTIATION_TER,MATCH(B188,PT_DIFFERENTIATION_TER_ID,0))</f>
        <v>Территория 11</v>
      </c>
      <c r="AE188" s="3433"/>
      <c r="AF188" s="3433"/>
      <c r="AG188" s="3433"/>
      <c r="AH188" s="3433"/>
      <c r="AI188" s="3433"/>
      <c r="AJ188" s="3433"/>
      <c r="AK188" s="3433"/>
      <c r="AL188" s="3432"/>
      <c r="AM188" s="3433"/>
      <c r="AN188" s="3433"/>
      <c r="AO188" s="3433"/>
      <c r="AP188" s="3433"/>
      <c r="AQ188" s="3433"/>
      <c r="AR188" s="3433"/>
      <c r="AS188" s="3434"/>
      <c r="AT188" s="3432"/>
      <c r="AU188" s="3433"/>
      <c r="AV188" s="3433"/>
      <c r="AW188" s="3433"/>
      <c r="AX188" s="3433"/>
      <c r="AY188" s="3433"/>
      <c r="AZ188" s="3433"/>
      <c r="BA188" s="3434"/>
      <c r="BB188" s="3432"/>
      <c r="BC188" s="3433"/>
      <c r="BD188" s="3433"/>
      <c r="BE188" s="3433"/>
      <c r="BF188" s="3433"/>
      <c r="BG188" s="3433"/>
      <c r="BH188" s="3433"/>
      <c r="BI188" s="3434"/>
      <c r="BJ188" s="3432"/>
      <c r="BK188" s="3433"/>
      <c r="BL188" s="3433"/>
      <c r="BM188" s="3433"/>
      <c r="BN188" s="3433"/>
      <c r="BO188" s="3433"/>
      <c r="BP188" s="3433"/>
      <c r="BQ188" s="3434"/>
      <c r="BR188" s="3432"/>
      <c r="BS188" s="3433"/>
      <c r="BT188" s="3433"/>
      <c r="BU188" s="3433"/>
      <c r="BV188" s="3433"/>
      <c r="BW188" s="3433"/>
      <c r="BX188" s="3433"/>
      <c r="BY188" s="3434"/>
      <c r="BZ188" s="3432"/>
      <c r="CA188" s="3433"/>
      <c r="CB188" s="3433"/>
      <c r="CC188" s="3433"/>
      <c r="CD188" s="3433"/>
      <c r="CE188" s="3433"/>
      <c r="CF188" s="3433"/>
      <c r="CG188" s="3434"/>
      <c r="CH188" s="3432"/>
      <c r="CI188" s="3433"/>
      <c r="CJ188" s="3433"/>
      <c r="CK188" s="3433"/>
      <c r="CL188" s="3433"/>
      <c r="CM188" s="3433"/>
      <c r="CN188" s="3433"/>
      <c r="CO188" s="3434"/>
      <c r="CP188" s="3434"/>
      <c r="CQ188" s="3727" t="s">
        <v>613</v>
      </c>
      <c r="CR188" s="3581"/>
      <c r="CS188" s="3728"/>
      <c r="CT188" s="3728" t="str">
        <f>IF(T188="","",T188)</f>
        <v>Территория действия тарифа</v>
      </c>
      <c r="CU188" s="3728"/>
      <c r="CV188" s="3728"/>
    </row>
    <row s="5732" customFormat="1" customHeight="1" ht="23.25">
      <c r="A189" s="3716"/>
      <c r="B189" s="3716"/>
      <c r="C189" s="3716" t="s">
        <v>290</v>
      </c>
      <c r="D189" s="3716"/>
      <c r="E189" s="3717"/>
      <c r="F189" s="3717" t="s">
        <v>139</v>
      </c>
      <c r="G189" s="3718">
        <v>1</v>
      </c>
      <c r="H189" s="3716"/>
      <c r="I189" s="3716"/>
      <c r="J189" s="3716"/>
      <c r="K189" s="3716"/>
      <c r="L189" s="3719"/>
      <c r="M189" s="3720"/>
      <c r="N189" s="3720"/>
      <c r="O189" s="3720"/>
      <c r="P189" s="3721"/>
      <c r="Q189" s="3722"/>
      <c r="R189" s="3723"/>
      <c r="S189" s="3724" t="str">
        <f>INDEX(PT_DIFFERENTIATION_NUM_CS,MATCH(C189,PT_DIFFERENTIATION_CS_ID,0))</f>
        <v>1.11.1</v>
      </c>
      <c r="T189" s="4076" t="s">
        <v>614</v>
      </c>
      <c r="U189" s="3726"/>
      <c r="V189" s="3432"/>
      <c r="W189" s="3433"/>
      <c r="X189" s="3433"/>
      <c r="Y189" s="3433"/>
      <c r="Z189" s="3433"/>
      <c r="AA189" s="3433"/>
      <c r="AB189" s="3433"/>
      <c r="AC189" s="3434"/>
      <c r="AD189" s="3432" t="str">
        <f>INDEX(PT_DIFFERENTIATION_CS,MATCH(C189,PT_DIFFERENTIATION_CS_ID,0))</f>
        <v>без дифференциации</v>
      </c>
      <c r="AE189" s="3433"/>
      <c r="AF189" s="3433"/>
      <c r="AG189" s="3433"/>
      <c r="AH189" s="3433"/>
      <c r="AI189" s="3433"/>
      <c r="AJ189" s="3433"/>
      <c r="AK189" s="3433"/>
      <c r="AL189" s="3432"/>
      <c r="AM189" s="3433"/>
      <c r="AN189" s="3433"/>
      <c r="AO189" s="3433"/>
      <c r="AP189" s="3433"/>
      <c r="AQ189" s="3433"/>
      <c r="AR189" s="3433"/>
      <c r="AS189" s="3434"/>
      <c r="AT189" s="3432"/>
      <c r="AU189" s="3433"/>
      <c r="AV189" s="3433"/>
      <c r="AW189" s="3433"/>
      <c r="AX189" s="3433"/>
      <c r="AY189" s="3433"/>
      <c r="AZ189" s="3433"/>
      <c r="BA189" s="3434"/>
      <c r="BB189" s="3432"/>
      <c r="BC189" s="3433"/>
      <c r="BD189" s="3433"/>
      <c r="BE189" s="3433"/>
      <c r="BF189" s="3433"/>
      <c r="BG189" s="3433"/>
      <c r="BH189" s="3433"/>
      <c r="BI189" s="3434"/>
      <c r="BJ189" s="3432"/>
      <c r="BK189" s="3433"/>
      <c r="BL189" s="3433"/>
      <c r="BM189" s="3433"/>
      <c r="BN189" s="3433"/>
      <c r="BO189" s="3433"/>
      <c r="BP189" s="3433"/>
      <c r="BQ189" s="3434"/>
      <c r="BR189" s="3432"/>
      <c r="BS189" s="3433"/>
      <c r="BT189" s="3433"/>
      <c r="BU189" s="3433"/>
      <c r="BV189" s="3433"/>
      <c r="BW189" s="3433"/>
      <c r="BX189" s="3433"/>
      <c r="BY189" s="3434"/>
      <c r="BZ189" s="3432"/>
      <c r="CA189" s="3433"/>
      <c r="CB189" s="3433"/>
      <c r="CC189" s="3433"/>
      <c r="CD189" s="3433"/>
      <c r="CE189" s="3433"/>
      <c r="CF189" s="3433"/>
      <c r="CG189" s="3434"/>
      <c r="CH189" s="3432"/>
      <c r="CI189" s="3433"/>
      <c r="CJ189" s="3433"/>
      <c r="CK189" s="3433"/>
      <c r="CL189" s="3433"/>
      <c r="CM189" s="3433"/>
      <c r="CN189" s="3433"/>
      <c r="CO189" s="3434"/>
      <c r="CP189" s="3434"/>
      <c r="CQ189" s="3727" t="s">
        <v>615</v>
      </c>
      <c r="CR189" s="3581"/>
      <c r="CS189" s="3728"/>
      <c r="CT189" s="3728" t="str">
        <f>IF(T189="","",T189)</f>
        <v>Наименование системы теплоснабжения </v>
      </c>
      <c r="CU189" s="3728"/>
      <c r="CV189" s="3728"/>
    </row>
    <row s="5733" customFormat="1" customHeight="1" ht="21">
      <c r="A190" s="3716"/>
      <c r="B190" s="3716"/>
      <c r="C190" s="3716"/>
      <c r="D190" s="3716" t="s">
        <v>291</v>
      </c>
      <c r="E190" s="3717"/>
      <c r="F190" s="3717" t="s">
        <v>139</v>
      </c>
      <c r="G190" s="3717"/>
      <c r="H190" s="3718">
        <v>1</v>
      </c>
      <c r="I190" s="3716"/>
      <c r="J190" s="3716"/>
      <c r="K190" s="3716"/>
      <c r="L190" s="3719"/>
      <c r="M190" s="3720"/>
      <c r="N190" s="3720"/>
      <c r="O190" s="3720"/>
      <c r="P190" s="3721"/>
      <c r="Q190" s="3722"/>
      <c r="R190" s="3723"/>
      <c r="S190" s="3724" t="str">
        <f>INDEX(PT_DIFFERENTIATION_NUM_IST_TE,MATCH(D190,PT_DIFFERENTIATION_IST_TE_ID,0))</f>
        <v>1.11.1.1</v>
      </c>
      <c r="T190" s="3725" t="s">
        <v>616</v>
      </c>
      <c r="U190" s="3726"/>
      <c r="V190" s="3432"/>
      <c r="W190" s="3433"/>
      <c r="X190" s="3433"/>
      <c r="Y190" s="3433"/>
      <c r="Z190" s="3433"/>
      <c r="AA190" s="3433"/>
      <c r="AB190" s="3433"/>
      <c r="AC190" s="3434"/>
      <c r="AD190" s="3432" t="str">
        <f>INDEX(PT_DIFFERENTIATION_IST_TE,MATCH(D190,PT_DIFFERENTIATION_IST_TE_ID,0))</f>
        <v>город Никель</v>
      </c>
      <c r="AE190" s="3433"/>
      <c r="AF190" s="3433"/>
      <c r="AG190" s="3433"/>
      <c r="AH190" s="3433"/>
      <c r="AI190" s="3433"/>
      <c r="AJ190" s="3433"/>
      <c r="AK190" s="3433"/>
      <c r="AL190" s="3432"/>
      <c r="AM190" s="3433"/>
      <c r="AN190" s="3433"/>
      <c r="AO190" s="3433"/>
      <c r="AP190" s="3433"/>
      <c r="AQ190" s="3433"/>
      <c r="AR190" s="3433"/>
      <c r="AS190" s="3434"/>
      <c r="AT190" s="3432"/>
      <c r="AU190" s="3433"/>
      <c r="AV190" s="3433"/>
      <c r="AW190" s="3433"/>
      <c r="AX190" s="3433"/>
      <c r="AY190" s="3433"/>
      <c r="AZ190" s="3433"/>
      <c r="BA190" s="3434"/>
      <c r="BB190" s="3432"/>
      <c r="BC190" s="3433"/>
      <c r="BD190" s="3433"/>
      <c r="BE190" s="3433"/>
      <c r="BF190" s="3433"/>
      <c r="BG190" s="3433"/>
      <c r="BH190" s="3433"/>
      <c r="BI190" s="3434"/>
      <c r="BJ190" s="3432"/>
      <c r="BK190" s="3433"/>
      <c r="BL190" s="3433"/>
      <c r="BM190" s="3433"/>
      <c r="BN190" s="3433"/>
      <c r="BO190" s="3433"/>
      <c r="BP190" s="3433"/>
      <c r="BQ190" s="3434"/>
      <c r="BR190" s="3432"/>
      <c r="BS190" s="3433"/>
      <c r="BT190" s="3433"/>
      <c r="BU190" s="3433"/>
      <c r="BV190" s="3433"/>
      <c r="BW190" s="3433"/>
      <c r="BX190" s="3433"/>
      <c r="BY190" s="3434"/>
      <c r="BZ190" s="3432"/>
      <c r="CA190" s="3433"/>
      <c r="CB190" s="3433"/>
      <c r="CC190" s="3433"/>
      <c r="CD190" s="3433"/>
      <c r="CE190" s="3433"/>
      <c r="CF190" s="3433"/>
      <c r="CG190" s="3434"/>
      <c r="CH190" s="3432"/>
      <c r="CI190" s="3433"/>
      <c r="CJ190" s="3433"/>
      <c r="CK190" s="3433"/>
      <c r="CL190" s="3433"/>
      <c r="CM190" s="3433"/>
      <c r="CN190" s="3433"/>
      <c r="CO190" s="3434"/>
      <c r="CP190" s="3434"/>
      <c r="CQ190" s="3727" t="s">
        <v>617</v>
      </c>
      <c r="CR190" s="3581"/>
      <c r="CS190" s="3728"/>
      <c r="CT190" s="3728" t="str">
        <f>IF(T190="","",T190)</f>
        <v>Источник тепловой энергии  </v>
      </c>
      <c r="CU190" s="3728"/>
      <c r="CV190" s="3728"/>
    </row>
    <row s="5734" customFormat="1" customHeight="1" ht="14.25">
      <c r="A191" s="3716"/>
      <c r="B191" s="3716"/>
      <c r="C191" s="3716"/>
      <c r="D191" s="3716"/>
      <c r="E191" s="3717"/>
      <c r="F191" s="3717" t="s">
        <v>139</v>
      </c>
      <c r="G191" s="3717"/>
      <c r="H191" s="3717"/>
      <c r="I191" s="3730" t="str">
        <f>S190&amp;".1"</f>
        <v>1.11.1.1.1</v>
      </c>
      <c r="J191" s="3716"/>
      <c r="K191" s="3716"/>
      <c r="L191" s="3719" t="s">
        <v>618</v>
      </c>
      <c r="M191" s="3573"/>
      <c r="N191" s="3731"/>
      <c r="O191" s="3731"/>
      <c r="P191" s="3732">
        <v>1</v>
      </c>
      <c r="Q191" s="3732"/>
      <c r="R191" s="3733"/>
      <c r="S191" s="3734"/>
      <c r="T191" s="3735"/>
      <c r="U191" s="3736"/>
      <c r="V191" s="3441"/>
      <c r="W191" s="3442"/>
      <c r="X191" s="3442"/>
      <c r="Y191" s="3442"/>
      <c r="Z191" s="3442"/>
      <c r="AA191" s="3442"/>
      <c r="AB191" s="3442"/>
      <c r="AC191" s="3443"/>
      <c r="AD191" s="3441"/>
      <c r="AE191" s="3442"/>
      <c r="AF191" s="3442"/>
      <c r="AG191" s="3442"/>
      <c r="AH191" s="3442"/>
      <c r="AI191" s="3442"/>
      <c r="AJ191" s="3442"/>
      <c r="AK191" s="3442"/>
      <c r="AL191" s="3441"/>
      <c r="AM191" s="3442"/>
      <c r="AN191" s="3442"/>
      <c r="AO191" s="3442"/>
      <c r="AP191" s="3442"/>
      <c r="AQ191" s="3442"/>
      <c r="AR191" s="3442"/>
      <c r="AS191" s="3443"/>
      <c r="AT191" s="3441"/>
      <c r="AU191" s="3442"/>
      <c r="AV191" s="3442"/>
      <c r="AW191" s="3442"/>
      <c r="AX191" s="3442"/>
      <c r="AY191" s="3442"/>
      <c r="AZ191" s="3442"/>
      <c r="BA191" s="3443"/>
      <c r="BB191" s="3441"/>
      <c r="BC191" s="3442"/>
      <c r="BD191" s="3442"/>
      <c r="BE191" s="3442"/>
      <c r="BF191" s="3442"/>
      <c r="BG191" s="3442"/>
      <c r="BH191" s="3442"/>
      <c r="BI191" s="3443"/>
      <c r="BJ191" s="3441"/>
      <c r="BK191" s="3442"/>
      <c r="BL191" s="3442"/>
      <c r="BM191" s="3442"/>
      <c r="BN191" s="3442"/>
      <c r="BO191" s="3442"/>
      <c r="BP191" s="3442"/>
      <c r="BQ191" s="3443"/>
      <c r="BR191" s="3441"/>
      <c r="BS191" s="3442"/>
      <c r="BT191" s="3442"/>
      <c r="BU191" s="3442"/>
      <c r="BV191" s="3442"/>
      <c r="BW191" s="3442"/>
      <c r="BX191" s="3442"/>
      <c r="BY191" s="3443"/>
      <c r="BZ191" s="3441"/>
      <c r="CA191" s="3442"/>
      <c r="CB191" s="3442"/>
      <c r="CC191" s="3442"/>
      <c r="CD191" s="3442"/>
      <c r="CE191" s="3442"/>
      <c r="CF191" s="3442"/>
      <c r="CG191" s="3443"/>
      <c r="CH191" s="3441"/>
      <c r="CI191" s="3442"/>
      <c r="CJ191" s="3442"/>
      <c r="CK191" s="3442"/>
      <c r="CL191" s="3442"/>
      <c r="CM191" s="3442"/>
      <c r="CN191" s="3442"/>
      <c r="CO191" s="3443"/>
      <c r="CP191" s="3443"/>
      <c r="CQ191" s="3737"/>
      <c r="CR191" s="3581"/>
      <c r="CS191" s="3728"/>
      <c r="CT191" s="3728" t="str">
        <f>IF(T191="","",T191)</f>
        <v/>
      </c>
      <c r="CU191" s="3728"/>
      <c r="CV191" s="3728"/>
    </row>
    <row s="5735" customFormat="1" customHeight="1" ht="21">
      <c r="A192" s="3716"/>
      <c r="B192" s="3716"/>
      <c r="C192" s="3716"/>
      <c r="D192" s="3716"/>
      <c r="E192" s="3717"/>
      <c r="F192" s="3717" t="s">
        <v>139</v>
      </c>
      <c r="G192" s="3717"/>
      <c r="H192" s="3717"/>
      <c r="I192" s="3739"/>
      <c r="J192" s="3730" t="str">
        <f>I191&amp;".1"</f>
        <v>1.11.1.1.1.1</v>
      </c>
      <c r="K192" s="3716"/>
      <c r="L192" s="3719" t="s">
        <v>621</v>
      </c>
      <c r="M192" s="3573"/>
      <c r="N192" s="3573"/>
      <c r="O192" s="3731"/>
      <c r="P192" s="3732"/>
      <c r="Q192" s="3732">
        <v>1</v>
      </c>
      <c r="R192" s="3740"/>
      <c r="S192" s="3724" t="str">
        <f>$J192</f>
        <v>1.11.1.1.1.1</v>
      </c>
      <c r="T192" s="3741" t="s">
        <v>622</v>
      </c>
      <c r="U192" s="3726"/>
      <c r="V192" s="3445"/>
      <c r="W192" s="3446"/>
      <c r="X192" s="3446"/>
      <c r="Y192" s="3446"/>
      <c r="Z192" s="3446"/>
      <c r="AA192" s="3446"/>
      <c r="AB192" s="3446"/>
      <c r="AC192" s="3447"/>
      <c r="AD192" s="3445" t="s">
        <v>662</v>
      </c>
      <c r="AE192" s="3446"/>
      <c r="AF192" s="3446"/>
      <c r="AG192" s="3446"/>
      <c r="AH192" s="3446"/>
      <c r="AI192" s="3446"/>
      <c r="AJ192" s="3446"/>
      <c r="AK192" s="3446"/>
      <c r="AL192" s="3445"/>
      <c r="AM192" s="3446"/>
      <c r="AN192" s="3446"/>
      <c r="AO192" s="3446"/>
      <c r="AP192" s="3446"/>
      <c r="AQ192" s="3446"/>
      <c r="AR192" s="3446"/>
      <c r="AS192" s="3447"/>
      <c r="AT192" s="3445"/>
      <c r="AU192" s="3446"/>
      <c r="AV192" s="3446"/>
      <c r="AW192" s="3446"/>
      <c r="AX192" s="3446"/>
      <c r="AY192" s="3446"/>
      <c r="AZ192" s="3446"/>
      <c r="BA192" s="3447"/>
      <c r="BB192" s="3445"/>
      <c r="BC192" s="3446"/>
      <c r="BD192" s="3446"/>
      <c r="BE192" s="3446"/>
      <c r="BF192" s="3446"/>
      <c r="BG192" s="3446"/>
      <c r="BH192" s="3446"/>
      <c r="BI192" s="3447"/>
      <c r="BJ192" s="3445"/>
      <c r="BK192" s="3446"/>
      <c r="BL192" s="3446"/>
      <c r="BM192" s="3446"/>
      <c r="BN192" s="3446"/>
      <c r="BO192" s="3446"/>
      <c r="BP192" s="3446"/>
      <c r="BQ192" s="3447"/>
      <c r="BR192" s="3445"/>
      <c r="BS192" s="3446"/>
      <c r="BT192" s="3446"/>
      <c r="BU192" s="3446"/>
      <c r="BV192" s="3446"/>
      <c r="BW192" s="3446"/>
      <c r="BX192" s="3446"/>
      <c r="BY192" s="3447"/>
      <c r="BZ192" s="3445"/>
      <c r="CA192" s="3446"/>
      <c r="CB192" s="3446"/>
      <c r="CC192" s="3446"/>
      <c r="CD192" s="3446"/>
      <c r="CE192" s="3446"/>
      <c r="CF192" s="3446"/>
      <c r="CG192" s="3447"/>
      <c r="CH192" s="3445"/>
      <c r="CI192" s="3446"/>
      <c r="CJ192" s="3446"/>
      <c r="CK192" s="3446"/>
      <c r="CL192" s="3446"/>
      <c r="CM192" s="3446"/>
      <c r="CN192" s="3446"/>
      <c r="CO192" s="3447"/>
      <c r="CP192" s="3447"/>
      <c r="CQ192" s="3727" t="s">
        <v>623</v>
      </c>
      <c r="CR192" s="3581"/>
      <c r="CS192" s="3728"/>
      <c r="CT192" s="3728" t="str">
        <f>IF(T192="","",T192)</f>
        <v>Группа потребителей</v>
      </c>
      <c r="CU192" s="3728"/>
      <c r="CV192" s="3728"/>
    </row>
    <row s="5736" customFormat="1" customHeight="1" ht="21">
      <c r="A193" s="3716"/>
      <c r="B193" s="3716"/>
      <c r="C193" s="3716"/>
      <c r="D193" s="3716"/>
      <c r="E193" s="3717"/>
      <c r="F193" s="3717" t="s">
        <v>139</v>
      </c>
      <c r="G193" s="3717"/>
      <c r="H193" s="3717"/>
      <c r="I193" s="3739"/>
      <c r="J193" s="3739"/>
      <c r="K193" s="3730" t="str">
        <f>J192&amp;".1"</f>
        <v>1.11.1.1.1.1.1</v>
      </c>
      <c r="L193" s="3719" t="s">
        <v>624</v>
      </c>
      <c r="M193" s="3573"/>
      <c r="N193" s="3573"/>
      <c r="O193" s="3573"/>
      <c r="P193" s="3732"/>
      <c r="Q193" s="3732"/>
      <c r="R193" s="3740">
        <v>1</v>
      </c>
      <c r="S193" s="3724" t="str">
        <f>$K193</f>
        <v>1.11.1.1.1.1.1</v>
      </c>
      <c r="T193" s="3743" t="s">
        <v>663</v>
      </c>
      <c r="U193" s="3726"/>
      <c r="V193" s="3448"/>
      <c r="W193" s="3449"/>
      <c r="X193" s="3448"/>
      <c r="Y193" s="3450"/>
      <c r="Z193" s="3451"/>
      <c r="AA193" s="2872" t="s">
        <v>63</v>
      </c>
      <c r="AB193" s="3451"/>
      <c r="AC193" s="2872" t="s">
        <v>63</v>
      </c>
      <c r="AD193" s="3448">
        <v>18.55</v>
      </c>
      <c r="AE193" s="3449"/>
      <c r="AF193" s="3448"/>
      <c r="AG193" s="3450"/>
      <c r="AH193" s="3451">
        <v>44197</v>
      </c>
      <c r="AI193" s="2872" t="s">
        <v>63</v>
      </c>
      <c r="AJ193" s="3451">
        <v>44377</v>
      </c>
      <c r="AK193" s="2872" t="s">
        <v>63</v>
      </c>
      <c r="AL193" s="3448">
        <v>21.16</v>
      </c>
      <c r="AM193" s="3449"/>
      <c r="AN193" s="3448"/>
      <c r="AO193" s="3450"/>
      <c r="AP193" s="3451">
        <v>44378</v>
      </c>
      <c r="AQ193" s="2872" t="s">
        <v>63</v>
      </c>
      <c r="AR193" s="3451">
        <v>44561</v>
      </c>
      <c r="AS193" s="2872" t="s">
        <v>63</v>
      </c>
      <c r="AT193" s="3448">
        <v>21.25</v>
      </c>
      <c r="AU193" s="3449"/>
      <c r="AV193" s="3448"/>
      <c r="AW193" s="3450"/>
      <c r="AX193" s="3451">
        <v>44562</v>
      </c>
      <c r="AY193" s="2872" t="s">
        <v>63</v>
      </c>
      <c r="AZ193" s="3451">
        <v>44601</v>
      </c>
      <c r="BA193" s="2872" t="s">
        <v>63</v>
      </c>
      <c r="BB193" s="3448">
        <v>21.25</v>
      </c>
      <c r="BC193" s="3449"/>
      <c r="BD193" s="3448"/>
      <c r="BE193" s="3450"/>
      <c r="BF193" s="3451">
        <v>44602</v>
      </c>
      <c r="BG193" s="2872" t="s">
        <v>63</v>
      </c>
      <c r="BH193" s="3451">
        <v>44742</v>
      </c>
      <c r="BI193" s="2872" t="s">
        <v>63</v>
      </c>
      <c r="BJ193" s="3448">
        <v>25.85</v>
      </c>
      <c r="BK193" s="3449"/>
      <c r="BL193" s="3448"/>
      <c r="BM193" s="3450"/>
      <c r="BN193" s="3451">
        <v>44743</v>
      </c>
      <c r="BO193" s="2872" t="s">
        <v>63</v>
      </c>
      <c r="BP193" s="3451">
        <v>44804</v>
      </c>
      <c r="BQ193" s="2872" t="s">
        <v>63</v>
      </c>
      <c r="BR193" s="3448">
        <v>25.85</v>
      </c>
      <c r="BS193" s="3449"/>
      <c r="BT193" s="3448"/>
      <c r="BU193" s="3450"/>
      <c r="BV193" s="3451">
        <v>44805</v>
      </c>
      <c r="BW193" s="2872" t="s">
        <v>63</v>
      </c>
      <c r="BX193" s="3451">
        <v>44895</v>
      </c>
      <c r="BY193" s="2872" t="s">
        <v>63</v>
      </c>
      <c r="BZ193" s="3448">
        <v>24.09</v>
      </c>
      <c r="CA193" s="3449"/>
      <c r="CB193" s="3448"/>
      <c r="CC193" s="3450"/>
      <c r="CD193" s="3451">
        <v>44896</v>
      </c>
      <c r="CE193" s="2872" t="s">
        <v>63</v>
      </c>
      <c r="CF193" s="3451">
        <v>45174</v>
      </c>
      <c r="CG193" s="2872" t="s">
        <v>63</v>
      </c>
      <c r="CH193" s="3448">
        <v>24.09</v>
      </c>
      <c r="CI193" s="3449"/>
      <c r="CJ193" s="3448"/>
      <c r="CK193" s="3450"/>
      <c r="CL193" s="3451">
        <v>45175</v>
      </c>
      <c r="CM193" s="2872" t="s">
        <v>63</v>
      </c>
      <c r="CN193" s="3451">
        <v>45291</v>
      </c>
      <c r="CO193" s="2872" t="s">
        <v>63</v>
      </c>
      <c r="CP193" s="3449"/>
      <c r="CQ193" s="3744" t="s">
        <v>625</v>
      </c>
      <c r="CR193" s="3581">
        <f>STRCHECKDATE(V194:CP194)</f>
      </c>
      <c r="CS193" s="3728"/>
      <c r="CT193" s="3728" t="str">
        <f>IF(T193="","",T193)</f>
        <v>вода</v>
      </c>
      <c r="CU193" s="3728"/>
      <c r="CV193" s="3728"/>
    </row>
    <row s="5737" customFormat="1" customHeight="1" ht="0.75">
      <c r="A194" s="3716"/>
      <c r="B194" s="3716"/>
      <c r="C194" s="3716"/>
      <c r="D194" s="3716"/>
      <c r="E194" s="3717"/>
      <c r="F194" s="3717" t="s">
        <v>139</v>
      </c>
      <c r="G194" s="3717"/>
      <c r="H194" s="3717"/>
      <c r="I194" s="3739"/>
      <c r="J194" s="3739"/>
      <c r="K194" s="3730"/>
      <c r="L194" s="3719"/>
      <c r="M194" s="3573"/>
      <c r="N194" s="3573"/>
      <c r="O194" s="3573"/>
      <c r="P194" s="3732"/>
      <c r="Q194" s="3732"/>
      <c r="R194" s="3740"/>
      <c r="S194" s="3746"/>
      <c r="T194" s="3726"/>
      <c r="U194" s="3726"/>
      <c r="V194" s="3449"/>
      <c r="W194" s="3449"/>
      <c r="X194" s="3449"/>
      <c r="Y194" s="3452" t="str">
        <f>Z193&amp;"-"&amp;AB193</f>
        <v>-</v>
      </c>
      <c r="Z194" s="3453"/>
      <c r="AA194" s="2872"/>
      <c r="AB194" s="3453"/>
      <c r="AC194" s="2872"/>
      <c r="AD194" s="3449"/>
      <c r="AE194" s="3449"/>
      <c r="AF194" s="3449"/>
      <c r="AG194" s="3452" t="str">
        <f>AH193&amp;"-"&amp;AJ193</f>
        <v>44197-44377</v>
      </c>
      <c r="AH194" s="3453"/>
      <c r="AI194" s="2872"/>
      <c r="AJ194" s="3453"/>
      <c r="AK194" s="2872"/>
      <c r="AL194" s="3449"/>
      <c r="AM194" s="3449"/>
      <c r="AN194" s="3449"/>
      <c r="AO194" s="3452" t="str">
        <f>AP193&amp;"-"&amp;AR193</f>
        <v>44378-44561</v>
      </c>
      <c r="AP194" s="3453"/>
      <c r="AQ194" s="2872"/>
      <c r="AR194" s="3453"/>
      <c r="AS194" s="2872"/>
      <c r="AT194" s="3449"/>
      <c r="AU194" s="3449"/>
      <c r="AV194" s="3449"/>
      <c r="AW194" s="3452" t="str">
        <f>AX193&amp;"-"&amp;AZ193</f>
        <v>44562-44601</v>
      </c>
      <c r="AX194" s="3453"/>
      <c r="AY194" s="2872"/>
      <c r="AZ194" s="3453"/>
      <c r="BA194" s="2872"/>
      <c r="BB194" s="3449"/>
      <c r="BC194" s="3449"/>
      <c r="BD194" s="3449"/>
      <c r="BE194" s="3452" t="str">
        <f>BF193&amp;"-"&amp;BH193</f>
        <v>44602-44742</v>
      </c>
      <c r="BF194" s="3453"/>
      <c r="BG194" s="2872"/>
      <c r="BH194" s="3453"/>
      <c r="BI194" s="2872"/>
      <c r="BJ194" s="3449"/>
      <c r="BK194" s="3449"/>
      <c r="BL194" s="3449"/>
      <c r="BM194" s="3452" t="str">
        <f>BN193&amp;"-"&amp;BP193</f>
        <v>44743-44804</v>
      </c>
      <c r="BN194" s="3453"/>
      <c r="BO194" s="2872"/>
      <c r="BP194" s="3453"/>
      <c r="BQ194" s="2872"/>
      <c r="BR194" s="3449"/>
      <c r="BS194" s="3449"/>
      <c r="BT194" s="3449"/>
      <c r="BU194" s="3452" t="str">
        <f>BV193&amp;"-"&amp;BX193</f>
        <v>44805-44895</v>
      </c>
      <c r="BV194" s="3453"/>
      <c r="BW194" s="2872"/>
      <c r="BX194" s="3453"/>
      <c r="BY194" s="2872"/>
      <c r="BZ194" s="3449"/>
      <c r="CA194" s="3449"/>
      <c r="CB194" s="3449"/>
      <c r="CC194" s="3452" t="str">
        <f>CD193&amp;"-"&amp;CF193</f>
        <v>44896-45174</v>
      </c>
      <c r="CD194" s="3453"/>
      <c r="CE194" s="2872"/>
      <c r="CF194" s="3453"/>
      <c r="CG194" s="2872"/>
      <c r="CH194" s="3449"/>
      <c r="CI194" s="3449"/>
      <c r="CJ194" s="3449"/>
      <c r="CK194" s="3452" t="str">
        <f>CL193&amp;"-"&amp;CN193</f>
        <v>45175-45291</v>
      </c>
      <c r="CL194" s="3453"/>
      <c r="CM194" s="2872"/>
      <c r="CN194" s="3453"/>
      <c r="CO194" s="2872"/>
      <c r="CP194" s="3449"/>
      <c r="CQ194" s="3747"/>
      <c r="CR194" s="3581"/>
      <c r="CS194" s="3728"/>
      <c r="CT194" s="3728" t="str">
        <f>IF(T194="","",T194)</f>
        <v/>
      </c>
      <c r="CU194" s="3728"/>
      <c r="CV194" s="3728"/>
    </row>
    <row s="5738" customFormat="1" customHeight="1" ht="15">
      <c r="A195" s="3716"/>
      <c r="B195" s="3716"/>
      <c r="C195" s="3716"/>
      <c r="D195" s="3716"/>
      <c r="E195" s="3717"/>
      <c r="F195" s="3717" t="s">
        <v>139</v>
      </c>
      <c r="G195" s="3717"/>
      <c r="H195" s="3717"/>
      <c r="I195" s="3739"/>
      <c r="J195" s="3730"/>
      <c r="K195" s="3716"/>
      <c r="L195" s="3719"/>
      <c r="M195" s="3573"/>
      <c r="N195" s="3573"/>
      <c r="O195" s="3731"/>
      <c r="P195" s="3732"/>
      <c r="Q195" s="3732"/>
      <c r="R195" s="3733"/>
      <c r="S195" s="5739"/>
      <c r="T195" s="5740" t="s">
        <v>626</v>
      </c>
      <c r="U195" s="5741"/>
      <c r="V195" s="5742"/>
      <c r="W195" s="5743"/>
      <c r="X195" s="5744"/>
      <c r="Y195" s="5745"/>
      <c r="Z195" s="5746"/>
      <c r="AA195" s="5747"/>
      <c r="AB195" s="5748"/>
      <c r="AC195" s="5749"/>
      <c r="AD195" s="5750"/>
      <c r="AE195" s="5751"/>
      <c r="AF195" s="5752"/>
      <c r="AG195" s="5753"/>
      <c r="AH195" s="5754"/>
      <c r="AI195" s="5755"/>
      <c r="AJ195" s="5756"/>
      <c r="AK195" s="5757"/>
      <c r="AL195" s="5758"/>
      <c r="AM195" s="5759"/>
      <c r="AN195" s="5760"/>
      <c r="AO195" s="5761"/>
      <c r="AP195" s="5762"/>
      <c r="AQ195" s="5763"/>
      <c r="AR195" s="5764"/>
      <c r="AS195" s="5765"/>
      <c r="AT195" s="5766"/>
      <c r="AU195" s="5767"/>
      <c r="AV195" s="5768"/>
      <c r="AW195" s="5769"/>
      <c r="AX195" s="5770"/>
      <c r="AY195" s="5771"/>
      <c r="AZ195" s="5772"/>
      <c r="BA195" s="5773"/>
      <c r="BB195" s="5774"/>
      <c r="BC195" s="5775"/>
      <c r="BD195" s="5776"/>
      <c r="BE195" s="5777"/>
      <c r="BF195" s="5778"/>
      <c r="BG195" s="5779"/>
      <c r="BH195" s="5780"/>
      <c r="BI195" s="5781"/>
      <c r="BJ195" s="5782"/>
      <c r="BK195" s="5783"/>
      <c r="BL195" s="5784"/>
      <c r="BM195" s="5785"/>
      <c r="BN195" s="5786"/>
      <c r="BO195" s="5787"/>
      <c r="BP195" s="5788"/>
      <c r="BQ195" s="5789"/>
      <c r="BR195" s="5790"/>
      <c r="BS195" s="5791"/>
      <c r="BT195" s="5792"/>
      <c r="BU195" s="5793"/>
      <c r="BV195" s="5794"/>
      <c r="BW195" s="5795"/>
      <c r="BX195" s="5796"/>
      <c r="BY195" s="5797"/>
      <c r="BZ195" s="5798"/>
      <c r="CA195" s="5799"/>
      <c r="CB195" s="5800"/>
      <c r="CC195" s="5801"/>
      <c r="CD195" s="5802"/>
      <c r="CE195" s="5803"/>
      <c r="CF195" s="5804"/>
      <c r="CG195" s="5805"/>
      <c r="CH195" s="5806"/>
      <c r="CI195" s="5807"/>
      <c r="CJ195" s="5808"/>
      <c r="CK195" s="5809"/>
      <c r="CL195" s="5810"/>
      <c r="CM195" s="5811"/>
      <c r="CN195" s="5812"/>
      <c r="CO195" s="5813"/>
      <c r="CP195" s="5814"/>
      <c r="CQ195" s="3825"/>
      <c r="CR195" s="3581"/>
      <c r="CS195" s="3728"/>
      <c r="CT195" s="3728" t="str">
        <f>IF(T195="","",T195)</f>
        <v>Добавить вид теплоносителя (параметры теплоносителя)</v>
      </c>
      <c r="CU195" s="3728"/>
      <c r="CV195" s="3728"/>
    </row>
    <row s="5815" customFormat="1" customHeight="1" ht="15">
      <c r="A196" s="3716"/>
      <c r="B196" s="3716"/>
      <c r="C196" s="3716"/>
      <c r="D196" s="3716"/>
      <c r="E196" s="3717"/>
      <c r="F196" s="3717" t="s">
        <v>139</v>
      </c>
      <c r="G196" s="3717"/>
      <c r="H196" s="3717"/>
      <c r="I196" s="3730"/>
      <c r="J196" s="3716"/>
      <c r="K196" s="3716"/>
      <c r="L196" s="3719"/>
      <c r="M196" s="3573"/>
      <c r="N196" s="3731"/>
      <c r="O196" s="3731"/>
      <c r="P196" s="3732"/>
      <c r="Q196" s="3732"/>
      <c r="R196" s="3733"/>
      <c r="S196" s="5816"/>
      <c r="T196" s="5817" t="s">
        <v>627</v>
      </c>
      <c r="U196" s="5818"/>
      <c r="V196" s="5819"/>
      <c r="W196" s="5820"/>
      <c r="X196" s="5821"/>
      <c r="Y196" s="5822"/>
      <c r="Z196" s="5823"/>
      <c r="AA196" s="5824"/>
      <c r="AB196" s="5825"/>
      <c r="AC196" s="5826"/>
      <c r="AD196" s="5827"/>
      <c r="AE196" s="5828"/>
      <c r="AF196" s="5829"/>
      <c r="AG196" s="5830"/>
      <c r="AH196" s="5831"/>
      <c r="AI196" s="5832"/>
      <c r="AJ196" s="5833"/>
      <c r="AK196" s="5834"/>
      <c r="AL196" s="5835"/>
      <c r="AM196" s="5836"/>
      <c r="AN196" s="5837"/>
      <c r="AO196" s="5838"/>
      <c r="AP196" s="5839"/>
      <c r="AQ196" s="5840"/>
      <c r="AR196" s="5841"/>
      <c r="AS196" s="5842"/>
      <c r="AT196" s="5843"/>
      <c r="AU196" s="5844"/>
      <c r="AV196" s="5845"/>
      <c r="AW196" s="5846"/>
      <c r="AX196" s="5847"/>
      <c r="AY196" s="5848"/>
      <c r="AZ196" s="5849"/>
      <c r="BA196" s="5850"/>
      <c r="BB196" s="5851"/>
      <c r="BC196" s="5852"/>
      <c r="BD196" s="5853"/>
      <c r="BE196" s="5854"/>
      <c r="BF196" s="5855"/>
      <c r="BG196" s="5856"/>
      <c r="BH196" s="5857"/>
      <c r="BI196" s="5858"/>
      <c r="BJ196" s="5859"/>
      <c r="BK196" s="5860"/>
      <c r="BL196" s="5861"/>
      <c r="BM196" s="5862"/>
      <c r="BN196" s="5863"/>
      <c r="BO196" s="5864"/>
      <c r="BP196" s="5865"/>
      <c r="BQ196" s="5866"/>
      <c r="BR196" s="5867"/>
      <c r="BS196" s="5868"/>
      <c r="BT196" s="5869"/>
      <c r="BU196" s="5870"/>
      <c r="BV196" s="5871"/>
      <c r="BW196" s="5872"/>
      <c r="BX196" s="5873"/>
      <c r="BY196" s="5874"/>
      <c r="BZ196" s="5875"/>
      <c r="CA196" s="5876"/>
      <c r="CB196" s="5877"/>
      <c r="CC196" s="5878"/>
      <c r="CD196" s="5879"/>
      <c r="CE196" s="5880"/>
      <c r="CF196" s="5881"/>
      <c r="CG196" s="5882"/>
      <c r="CH196" s="5883"/>
      <c r="CI196" s="5884"/>
      <c r="CJ196" s="5885"/>
      <c r="CK196" s="5886"/>
      <c r="CL196" s="5887"/>
      <c r="CM196" s="5888"/>
      <c r="CN196" s="5889"/>
      <c r="CO196" s="5890"/>
      <c r="CP196" s="5891"/>
      <c r="CQ196" s="5892"/>
      <c r="CR196" s="3581"/>
      <c r="CS196" s="3728"/>
      <c r="CT196" s="3728" t="str">
        <f>IF(T196="","",T196)</f>
        <v>Добавить группу потребителей</v>
      </c>
      <c r="CU196" s="3728"/>
      <c r="CV196" s="3728"/>
    </row>
    <row s="5893" customFormat="1" customHeight="1" ht="14.25">
      <c r="A197" s="3716"/>
      <c r="B197" s="3716"/>
      <c r="C197" s="3716"/>
      <c r="D197" s="3716"/>
      <c r="E197" s="3717"/>
      <c r="F197" s="3717" t="s">
        <v>139</v>
      </c>
      <c r="G197" s="3717"/>
      <c r="H197" s="3718"/>
      <c r="I197" s="3716"/>
      <c r="J197" s="3716"/>
      <c r="K197" s="3716"/>
      <c r="L197" s="3719"/>
      <c r="M197" s="3720"/>
      <c r="N197" s="3720"/>
      <c r="O197" s="3573"/>
      <c r="P197" s="3905"/>
      <c r="Q197" s="3906"/>
      <c r="R197" s="3907"/>
      <c r="S197" s="3908"/>
      <c r="T197" s="3909"/>
      <c r="U197" s="3569"/>
      <c r="V197" s="3569"/>
      <c r="W197" s="3569"/>
      <c r="X197" s="3569"/>
      <c r="Y197" s="3569"/>
      <c r="Z197" s="3569"/>
      <c r="AA197" s="3569"/>
      <c r="AB197" s="3569"/>
      <c r="AC197" s="3569"/>
      <c r="AD197" s="3569"/>
      <c r="AE197" s="3569"/>
      <c r="AF197" s="3569"/>
      <c r="AG197" s="3569"/>
      <c r="AH197" s="3569"/>
      <c r="AI197" s="3569"/>
      <c r="AJ197" s="3569"/>
      <c r="AK197" s="3569"/>
      <c r="AL197" s="3569"/>
      <c r="AM197" s="3569"/>
      <c r="AN197" s="3569"/>
      <c r="AO197" s="3569"/>
      <c r="AP197" s="3569"/>
      <c r="AQ197" s="3569"/>
      <c r="AR197" s="3569"/>
      <c r="AS197" s="3569"/>
      <c r="AT197" s="3569"/>
      <c r="AU197" s="3569"/>
      <c r="AV197" s="3569"/>
      <c r="AW197" s="3569"/>
      <c r="AX197" s="3569"/>
      <c r="AY197" s="3569"/>
      <c r="AZ197" s="3569"/>
      <c r="BA197" s="3569"/>
      <c r="BB197" s="3569"/>
      <c r="BC197" s="3569"/>
      <c r="BD197" s="3569"/>
      <c r="BE197" s="3569"/>
      <c r="BF197" s="3569"/>
      <c r="BG197" s="3569"/>
      <c r="BH197" s="3569"/>
      <c r="BI197" s="3569"/>
      <c r="BJ197" s="3569"/>
      <c r="BK197" s="3569"/>
      <c r="BL197" s="3569"/>
      <c r="BM197" s="3569"/>
      <c r="BN197" s="3569"/>
      <c r="BO197" s="3569"/>
      <c r="BP197" s="3569"/>
      <c r="BQ197" s="3569"/>
      <c r="BR197" s="3569"/>
      <c r="BS197" s="3569"/>
      <c r="BT197" s="3569"/>
      <c r="BU197" s="3569"/>
      <c r="BV197" s="3569"/>
      <c r="BW197" s="3569"/>
      <c r="BX197" s="3569"/>
      <c r="BY197" s="3569"/>
      <c r="BZ197" s="3569"/>
      <c r="CA197" s="3569"/>
      <c r="CB197" s="3569"/>
      <c r="CC197" s="3569"/>
      <c r="CD197" s="3569"/>
      <c r="CE197" s="3569"/>
      <c r="CF197" s="3569"/>
      <c r="CG197" s="3569"/>
      <c r="CH197" s="3569"/>
      <c r="CI197" s="3569"/>
      <c r="CJ197" s="3569"/>
      <c r="CK197" s="3569"/>
      <c r="CL197" s="3569"/>
      <c r="CM197" s="3569"/>
      <c r="CN197" s="3569"/>
      <c r="CO197" s="3569"/>
      <c r="CP197" s="3569"/>
      <c r="CQ197" s="3910"/>
      <c r="CR197" s="3581"/>
      <c r="CS197" s="3728"/>
      <c r="CT197" s="3728" t="str">
        <f>IF(T197="","",T197)</f>
        <v/>
      </c>
      <c r="CU197" s="3728"/>
      <c r="CV197" s="3728"/>
    </row>
    <row s="5894" customFormat="1" customHeight="1" ht="21">
      <c r="A198" s="3716"/>
      <c r="B198" s="3716"/>
      <c r="C198" s="3716"/>
      <c r="D198" s="3716" t="s">
        <v>293</v>
      </c>
      <c r="E198" s="3717"/>
      <c r="F198" s="3717"/>
      <c r="G198" s="3717"/>
      <c r="H198" s="3718" t="s">
        <v>104</v>
      </c>
      <c r="I198" s="3716"/>
      <c r="J198" s="3716"/>
      <c r="K198" s="3716"/>
      <c r="L198" s="3719"/>
      <c r="M198" s="3720"/>
      <c r="N198" s="3720"/>
      <c r="O198" s="3720"/>
      <c r="P198" s="3721"/>
      <c r="Q198" s="3722"/>
      <c r="R198" s="3723"/>
      <c r="S198" s="3724" t="str">
        <f>INDEX(PT_DIFFERENTIATION_NUM_IST_TE,MATCH(D198,PT_DIFFERENTIATION_IST_TE_ID,0))</f>
        <v>1.11.1.2</v>
      </c>
      <c r="T198" s="3725" t="s">
        <v>616</v>
      </c>
      <c r="U198" s="3726"/>
      <c r="V198" s="3432"/>
      <c r="W198" s="3433"/>
      <c r="X198" s="3433"/>
      <c r="Y198" s="3433"/>
      <c r="Z198" s="3433"/>
      <c r="AA198" s="3433"/>
      <c r="AB198" s="3433"/>
      <c r="AC198" s="3434"/>
      <c r="AD198" s="3432" t="str">
        <f>INDEX(PT_DIFFERENTIATION_IST_TE,MATCH(D198,PT_DIFFERENTIATION_IST_TE_ID,0))</f>
        <v>город Заполярный</v>
      </c>
      <c r="AE198" s="3433"/>
      <c r="AF198" s="3433"/>
      <c r="AG198" s="3433"/>
      <c r="AH198" s="3433"/>
      <c r="AI198" s="3433"/>
      <c r="AJ198" s="3433"/>
      <c r="AK198" s="3433"/>
      <c r="AL198" s="3432"/>
      <c r="AM198" s="3433"/>
      <c r="AN198" s="3433"/>
      <c r="AO198" s="3433"/>
      <c r="AP198" s="3433"/>
      <c r="AQ198" s="3433"/>
      <c r="AR198" s="3433"/>
      <c r="AS198" s="3434"/>
      <c r="AT198" s="3432"/>
      <c r="AU198" s="3433"/>
      <c r="AV198" s="3433"/>
      <c r="AW198" s="3433"/>
      <c r="AX198" s="3433"/>
      <c r="AY198" s="3433"/>
      <c r="AZ198" s="3433"/>
      <c r="BA198" s="3434"/>
      <c r="BB198" s="3432"/>
      <c r="BC198" s="3433"/>
      <c r="BD198" s="3433"/>
      <c r="BE198" s="3433"/>
      <c r="BF198" s="3433"/>
      <c r="BG198" s="3433"/>
      <c r="BH198" s="3433"/>
      <c r="BI198" s="3434"/>
      <c r="BJ198" s="3432"/>
      <c r="BK198" s="3433"/>
      <c r="BL198" s="3433"/>
      <c r="BM198" s="3433"/>
      <c r="BN198" s="3433"/>
      <c r="BO198" s="3433"/>
      <c r="BP198" s="3433"/>
      <c r="BQ198" s="3434"/>
      <c r="BR198" s="3432"/>
      <c r="BS198" s="3433"/>
      <c r="BT198" s="3433"/>
      <c r="BU198" s="3433"/>
      <c r="BV198" s="3433"/>
      <c r="BW198" s="3433"/>
      <c r="BX198" s="3433"/>
      <c r="BY198" s="3434"/>
      <c r="BZ198" s="3432"/>
      <c r="CA198" s="3433"/>
      <c r="CB198" s="3433"/>
      <c r="CC198" s="3433"/>
      <c r="CD198" s="3433"/>
      <c r="CE198" s="3433"/>
      <c r="CF198" s="3433"/>
      <c r="CG198" s="3434"/>
      <c r="CH198" s="3432"/>
      <c r="CI198" s="3433"/>
      <c r="CJ198" s="3433"/>
      <c r="CK198" s="3433"/>
      <c r="CL198" s="3433"/>
      <c r="CM198" s="3433"/>
      <c r="CN198" s="3433"/>
      <c r="CO198" s="3434"/>
      <c r="CP198" s="3434"/>
      <c r="CQ198" s="3727" t="s">
        <v>617</v>
      </c>
      <c r="CR198" s="3581"/>
      <c r="CS198" s="3728"/>
      <c r="CT198" s="3728" t="str">
        <f>IF(T198="","",T198)</f>
        <v>Источник тепловой энергии  </v>
      </c>
      <c r="CU198" s="3728"/>
      <c r="CV198" s="3728"/>
    </row>
    <row s="5895" customFormat="1" customHeight="1" ht="14.25">
      <c r="A199" s="3716"/>
      <c r="B199" s="3716"/>
      <c r="C199" s="3716"/>
      <c r="D199" s="3716"/>
      <c r="E199" s="3717"/>
      <c r="F199" s="3717"/>
      <c r="G199" s="3717"/>
      <c r="H199" s="3717">
        <v>1</v>
      </c>
      <c r="I199" s="3730" t="str">
        <f>S198&amp;".1"</f>
        <v>1.11.1.2.1</v>
      </c>
      <c r="J199" s="3716"/>
      <c r="K199" s="3716"/>
      <c r="L199" s="3719" t="s">
        <v>618</v>
      </c>
      <c r="M199" s="3573"/>
      <c r="N199" s="3731"/>
      <c r="O199" s="3731"/>
      <c r="P199" s="3732">
        <v>1</v>
      </c>
      <c r="Q199" s="3732"/>
      <c r="R199" s="3733"/>
      <c r="S199" s="3734"/>
      <c r="T199" s="3735"/>
      <c r="U199" s="3736"/>
      <c r="V199" s="3441"/>
      <c r="W199" s="3442"/>
      <c r="X199" s="3442"/>
      <c r="Y199" s="3442"/>
      <c r="Z199" s="3442"/>
      <c r="AA199" s="3442"/>
      <c r="AB199" s="3442"/>
      <c r="AC199" s="3443"/>
      <c r="AD199" s="3441"/>
      <c r="AE199" s="3442"/>
      <c r="AF199" s="3442"/>
      <c r="AG199" s="3442"/>
      <c r="AH199" s="3442"/>
      <c r="AI199" s="3442"/>
      <c r="AJ199" s="3442"/>
      <c r="AK199" s="3442"/>
      <c r="AL199" s="3441"/>
      <c r="AM199" s="3442"/>
      <c r="AN199" s="3442"/>
      <c r="AO199" s="3442"/>
      <c r="AP199" s="3442"/>
      <c r="AQ199" s="3442"/>
      <c r="AR199" s="3442"/>
      <c r="AS199" s="3443"/>
      <c r="AT199" s="3441"/>
      <c r="AU199" s="3442"/>
      <c r="AV199" s="3442"/>
      <c r="AW199" s="3442"/>
      <c r="AX199" s="3442"/>
      <c r="AY199" s="3442"/>
      <c r="AZ199" s="3442"/>
      <c r="BA199" s="3443"/>
      <c r="BB199" s="3441"/>
      <c r="BC199" s="3442"/>
      <c r="BD199" s="3442"/>
      <c r="BE199" s="3442"/>
      <c r="BF199" s="3442"/>
      <c r="BG199" s="3442"/>
      <c r="BH199" s="3442"/>
      <c r="BI199" s="3443"/>
      <c r="BJ199" s="3441"/>
      <c r="BK199" s="3442"/>
      <c r="BL199" s="3442"/>
      <c r="BM199" s="3442"/>
      <c r="BN199" s="3442"/>
      <c r="BO199" s="3442"/>
      <c r="BP199" s="3442"/>
      <c r="BQ199" s="3443"/>
      <c r="BR199" s="3441"/>
      <c r="BS199" s="3442"/>
      <c r="BT199" s="3442"/>
      <c r="BU199" s="3442"/>
      <c r="BV199" s="3442"/>
      <c r="BW199" s="3442"/>
      <c r="BX199" s="3442"/>
      <c r="BY199" s="3443"/>
      <c r="BZ199" s="3441"/>
      <c r="CA199" s="3442"/>
      <c r="CB199" s="3442"/>
      <c r="CC199" s="3442"/>
      <c r="CD199" s="3442"/>
      <c r="CE199" s="3442"/>
      <c r="CF199" s="3442"/>
      <c r="CG199" s="3443"/>
      <c r="CH199" s="3441"/>
      <c r="CI199" s="3442"/>
      <c r="CJ199" s="3442"/>
      <c r="CK199" s="3442"/>
      <c r="CL199" s="3442"/>
      <c r="CM199" s="3442"/>
      <c r="CN199" s="3442"/>
      <c r="CO199" s="3443"/>
      <c r="CP199" s="3443"/>
      <c r="CQ199" s="3737"/>
      <c r="CR199" s="3581"/>
      <c r="CS199" s="3728"/>
      <c r="CT199" s="3728" t="str">
        <f>IF(T199="","",T199)</f>
        <v/>
      </c>
      <c r="CU199" s="3728"/>
      <c r="CV199" s="3728"/>
    </row>
    <row s="5896" customFormat="1" customHeight="1" ht="21">
      <c r="A200" s="3716"/>
      <c r="B200" s="3716"/>
      <c r="C200" s="3716"/>
      <c r="D200" s="3716"/>
      <c r="E200" s="3717"/>
      <c r="F200" s="3717"/>
      <c r="G200" s="3717"/>
      <c r="H200" s="3717">
        <v>1</v>
      </c>
      <c r="I200" s="3739"/>
      <c r="J200" s="3730" t="str">
        <f>I199&amp;".1"</f>
        <v>1.11.1.2.1.1</v>
      </c>
      <c r="K200" s="3716"/>
      <c r="L200" s="3719" t="s">
        <v>621</v>
      </c>
      <c r="M200" s="3573"/>
      <c r="N200" s="3573"/>
      <c r="O200" s="3731"/>
      <c r="P200" s="3732"/>
      <c r="Q200" s="3732">
        <v>1</v>
      </c>
      <c r="R200" s="3740"/>
      <c r="S200" s="3724" t="str">
        <f>$J200</f>
        <v>1.11.1.2.1.1</v>
      </c>
      <c r="T200" s="3741" t="s">
        <v>622</v>
      </c>
      <c r="U200" s="3726"/>
      <c r="V200" s="3445"/>
      <c r="W200" s="3446"/>
      <c r="X200" s="3446"/>
      <c r="Y200" s="3446"/>
      <c r="Z200" s="3446"/>
      <c r="AA200" s="3446"/>
      <c r="AB200" s="3446"/>
      <c r="AC200" s="3447"/>
      <c r="AD200" s="3445" t="s">
        <v>662</v>
      </c>
      <c r="AE200" s="3446"/>
      <c r="AF200" s="3446"/>
      <c r="AG200" s="3446"/>
      <c r="AH200" s="3446"/>
      <c r="AI200" s="3446"/>
      <c r="AJ200" s="3446"/>
      <c r="AK200" s="3446"/>
      <c r="AL200" s="3445"/>
      <c r="AM200" s="3446"/>
      <c r="AN200" s="3446"/>
      <c r="AO200" s="3446"/>
      <c r="AP200" s="3446"/>
      <c r="AQ200" s="3446"/>
      <c r="AR200" s="3446"/>
      <c r="AS200" s="3447"/>
      <c r="AT200" s="3445"/>
      <c r="AU200" s="3446"/>
      <c r="AV200" s="3446"/>
      <c r="AW200" s="3446"/>
      <c r="AX200" s="3446"/>
      <c r="AY200" s="3446"/>
      <c r="AZ200" s="3446"/>
      <c r="BA200" s="3447"/>
      <c r="BB200" s="3445"/>
      <c r="BC200" s="3446"/>
      <c r="BD200" s="3446"/>
      <c r="BE200" s="3446"/>
      <c r="BF200" s="3446"/>
      <c r="BG200" s="3446"/>
      <c r="BH200" s="3446"/>
      <c r="BI200" s="3447"/>
      <c r="BJ200" s="3445"/>
      <c r="BK200" s="3446"/>
      <c r="BL200" s="3446"/>
      <c r="BM200" s="3446"/>
      <c r="BN200" s="3446"/>
      <c r="BO200" s="3446"/>
      <c r="BP200" s="3446"/>
      <c r="BQ200" s="3447"/>
      <c r="BR200" s="3445"/>
      <c r="BS200" s="3446"/>
      <c r="BT200" s="3446"/>
      <c r="BU200" s="3446"/>
      <c r="BV200" s="3446"/>
      <c r="BW200" s="3446"/>
      <c r="BX200" s="3446"/>
      <c r="BY200" s="3447"/>
      <c r="BZ200" s="3445"/>
      <c r="CA200" s="3446"/>
      <c r="CB200" s="3446"/>
      <c r="CC200" s="3446"/>
      <c r="CD200" s="3446"/>
      <c r="CE200" s="3446"/>
      <c r="CF200" s="3446"/>
      <c r="CG200" s="3447"/>
      <c r="CH200" s="3445"/>
      <c r="CI200" s="3446"/>
      <c r="CJ200" s="3446"/>
      <c r="CK200" s="3446"/>
      <c r="CL200" s="3446"/>
      <c r="CM200" s="3446"/>
      <c r="CN200" s="3446"/>
      <c r="CO200" s="3447"/>
      <c r="CP200" s="3447"/>
      <c r="CQ200" s="3727" t="s">
        <v>623</v>
      </c>
      <c r="CR200" s="3581"/>
      <c r="CS200" s="3728"/>
      <c r="CT200" s="3728" t="str">
        <f>IF(T200="","",T200)</f>
        <v>Группа потребителей</v>
      </c>
      <c r="CU200" s="3728"/>
      <c r="CV200" s="3728"/>
    </row>
    <row s="5897" customFormat="1" customHeight="1" ht="21">
      <c r="A201" s="3716"/>
      <c r="B201" s="3716"/>
      <c r="C201" s="3716"/>
      <c r="D201" s="3716"/>
      <c r="E201" s="3717"/>
      <c r="F201" s="3717"/>
      <c r="G201" s="3717"/>
      <c r="H201" s="3717">
        <v>1</v>
      </c>
      <c r="I201" s="3739"/>
      <c r="J201" s="3739"/>
      <c r="K201" s="3730" t="str">
        <f>J200&amp;".1"</f>
        <v>1.11.1.2.1.1.1</v>
      </c>
      <c r="L201" s="3719" t="s">
        <v>624</v>
      </c>
      <c r="M201" s="3573"/>
      <c r="N201" s="3573"/>
      <c r="O201" s="3573"/>
      <c r="P201" s="3732"/>
      <c r="Q201" s="3732"/>
      <c r="R201" s="3740">
        <v>1</v>
      </c>
      <c r="S201" s="3724" t="str">
        <f>$K201</f>
        <v>1.11.1.2.1.1.1</v>
      </c>
      <c r="T201" s="3743" t="s">
        <v>663</v>
      </c>
      <c r="U201" s="3726"/>
      <c r="V201" s="3448"/>
      <c r="W201" s="3449"/>
      <c r="X201" s="3448"/>
      <c r="Y201" s="3450"/>
      <c r="Z201" s="3451"/>
      <c r="AA201" s="2872" t="s">
        <v>63</v>
      </c>
      <c r="AB201" s="3451"/>
      <c r="AC201" s="2872" t="s">
        <v>63</v>
      </c>
      <c r="AD201" s="3448">
        <v>6.34</v>
      </c>
      <c r="AE201" s="3449"/>
      <c r="AF201" s="3448"/>
      <c r="AG201" s="3450"/>
      <c r="AH201" s="3451">
        <v>44197</v>
      </c>
      <c r="AI201" s="2872" t="s">
        <v>63</v>
      </c>
      <c r="AJ201" s="3451">
        <v>44377</v>
      </c>
      <c r="AK201" s="2872" t="s">
        <v>63</v>
      </c>
      <c r="AL201" s="3448">
        <v>6.81</v>
      </c>
      <c r="AM201" s="3449"/>
      <c r="AN201" s="3448"/>
      <c r="AO201" s="3450"/>
      <c r="AP201" s="3451">
        <v>44378</v>
      </c>
      <c r="AQ201" s="2872" t="s">
        <v>63</v>
      </c>
      <c r="AR201" s="3451">
        <v>44561</v>
      </c>
      <c r="AS201" s="2872" t="s">
        <v>63</v>
      </c>
      <c r="AT201" s="3448">
        <v>6.81</v>
      </c>
      <c r="AU201" s="3449"/>
      <c r="AV201" s="3448"/>
      <c r="AW201" s="3450"/>
      <c r="AX201" s="3451">
        <v>44562</v>
      </c>
      <c r="AY201" s="2872" t="s">
        <v>63</v>
      </c>
      <c r="AZ201" s="3451">
        <v>44601</v>
      </c>
      <c r="BA201" s="2872" t="s">
        <v>63</v>
      </c>
      <c r="BB201" s="3448">
        <v>6.81</v>
      </c>
      <c r="BC201" s="3449"/>
      <c r="BD201" s="3448"/>
      <c r="BE201" s="3450"/>
      <c r="BF201" s="3451">
        <v>44602</v>
      </c>
      <c r="BG201" s="2872" t="s">
        <v>63</v>
      </c>
      <c r="BH201" s="3451">
        <v>44742</v>
      </c>
      <c r="BI201" s="2872" t="s">
        <v>63</v>
      </c>
      <c r="BJ201" s="3448">
        <v>6.93</v>
      </c>
      <c r="BK201" s="3449"/>
      <c r="BL201" s="3448"/>
      <c r="BM201" s="3450"/>
      <c r="BN201" s="3451">
        <v>44743</v>
      </c>
      <c r="BO201" s="2872" t="s">
        <v>63</v>
      </c>
      <c r="BP201" s="3451">
        <v>44804</v>
      </c>
      <c r="BQ201" s="2872" t="s">
        <v>63</v>
      </c>
      <c r="BR201" s="3448">
        <v>6.93</v>
      </c>
      <c r="BS201" s="3449"/>
      <c r="BT201" s="3448"/>
      <c r="BU201" s="3450"/>
      <c r="BV201" s="3451">
        <v>44805</v>
      </c>
      <c r="BW201" s="2872" t="s">
        <v>63</v>
      </c>
      <c r="BX201" s="3451">
        <v>44895</v>
      </c>
      <c r="BY201" s="2872" t="s">
        <v>63</v>
      </c>
      <c r="BZ201" s="3448">
        <v>7.36</v>
      </c>
      <c r="CA201" s="3449"/>
      <c r="CB201" s="3448"/>
      <c r="CC201" s="3450"/>
      <c r="CD201" s="3451">
        <v>44896</v>
      </c>
      <c r="CE201" s="2872" t="s">
        <v>63</v>
      </c>
      <c r="CF201" s="3451">
        <v>45174</v>
      </c>
      <c r="CG201" s="2872" t="s">
        <v>63</v>
      </c>
      <c r="CH201" s="3448">
        <v>7.36</v>
      </c>
      <c r="CI201" s="3449"/>
      <c r="CJ201" s="3448"/>
      <c r="CK201" s="3450"/>
      <c r="CL201" s="3451">
        <v>45175</v>
      </c>
      <c r="CM201" s="2872" t="s">
        <v>63</v>
      </c>
      <c r="CN201" s="3451">
        <v>45291</v>
      </c>
      <c r="CO201" s="2872" t="s">
        <v>63</v>
      </c>
      <c r="CP201" s="3449"/>
      <c r="CQ201" s="3744" t="s">
        <v>625</v>
      </c>
      <c r="CR201" s="3581">
        <f>STRCHECKDATE(V202:CP202)</f>
      </c>
      <c r="CS201" s="3728"/>
      <c r="CT201" s="3728" t="str">
        <f>IF(T201="","",T201)</f>
        <v>вода</v>
      </c>
      <c r="CU201" s="3728"/>
      <c r="CV201" s="3728"/>
    </row>
    <row s="5898" customFormat="1" customHeight="1" ht="0.75">
      <c r="A202" s="3716"/>
      <c r="B202" s="3716"/>
      <c r="C202" s="3716"/>
      <c r="D202" s="3716"/>
      <c r="E202" s="3717"/>
      <c r="F202" s="3717"/>
      <c r="G202" s="3717"/>
      <c r="H202" s="3717">
        <v>1</v>
      </c>
      <c r="I202" s="3739"/>
      <c r="J202" s="3739"/>
      <c r="K202" s="3730"/>
      <c r="L202" s="3719"/>
      <c r="M202" s="3573"/>
      <c r="N202" s="3573"/>
      <c r="O202" s="3573"/>
      <c r="P202" s="3732"/>
      <c r="Q202" s="3732"/>
      <c r="R202" s="3740"/>
      <c r="S202" s="3746"/>
      <c r="T202" s="3726"/>
      <c r="U202" s="3726"/>
      <c r="V202" s="3449"/>
      <c r="W202" s="3449"/>
      <c r="X202" s="3449"/>
      <c r="Y202" s="3452" t="str">
        <f>Z201&amp;"-"&amp;AB201</f>
        <v>-</v>
      </c>
      <c r="Z202" s="3453"/>
      <c r="AA202" s="2872"/>
      <c r="AB202" s="3453"/>
      <c r="AC202" s="2872"/>
      <c r="AD202" s="3449"/>
      <c r="AE202" s="3449"/>
      <c r="AF202" s="3449"/>
      <c r="AG202" s="3452" t="str">
        <f>AH201&amp;"-"&amp;AJ201</f>
        <v>44197-44377</v>
      </c>
      <c r="AH202" s="3453"/>
      <c r="AI202" s="2872"/>
      <c r="AJ202" s="3453"/>
      <c r="AK202" s="2872"/>
      <c r="AL202" s="3449"/>
      <c r="AM202" s="3449"/>
      <c r="AN202" s="3449"/>
      <c r="AO202" s="3452" t="str">
        <f>AP201&amp;"-"&amp;AR201</f>
        <v>44378-44561</v>
      </c>
      <c r="AP202" s="3453"/>
      <c r="AQ202" s="2872"/>
      <c r="AR202" s="3453"/>
      <c r="AS202" s="2872"/>
      <c r="AT202" s="3449"/>
      <c r="AU202" s="3449"/>
      <c r="AV202" s="3449"/>
      <c r="AW202" s="3452" t="str">
        <f>AX201&amp;"-"&amp;AZ201</f>
        <v>44562-44601</v>
      </c>
      <c r="AX202" s="3453"/>
      <c r="AY202" s="2872"/>
      <c r="AZ202" s="3453"/>
      <c r="BA202" s="2872"/>
      <c r="BB202" s="3449"/>
      <c r="BC202" s="3449"/>
      <c r="BD202" s="3449"/>
      <c r="BE202" s="3452" t="str">
        <f>BF201&amp;"-"&amp;BH201</f>
        <v>44602-44742</v>
      </c>
      <c r="BF202" s="3453"/>
      <c r="BG202" s="2872"/>
      <c r="BH202" s="3453"/>
      <c r="BI202" s="2872"/>
      <c r="BJ202" s="3449"/>
      <c r="BK202" s="3449"/>
      <c r="BL202" s="3449"/>
      <c r="BM202" s="3452" t="str">
        <f>BN201&amp;"-"&amp;BP201</f>
        <v>44743-44804</v>
      </c>
      <c r="BN202" s="3453"/>
      <c r="BO202" s="2872"/>
      <c r="BP202" s="3453"/>
      <c r="BQ202" s="2872"/>
      <c r="BR202" s="3449"/>
      <c r="BS202" s="3449"/>
      <c r="BT202" s="3449"/>
      <c r="BU202" s="3452" t="str">
        <f>BV201&amp;"-"&amp;BX201</f>
        <v>44805-44895</v>
      </c>
      <c r="BV202" s="3453"/>
      <c r="BW202" s="2872"/>
      <c r="BX202" s="3453"/>
      <c r="BY202" s="2872"/>
      <c r="BZ202" s="3449"/>
      <c r="CA202" s="3449"/>
      <c r="CB202" s="3449"/>
      <c r="CC202" s="3452" t="str">
        <f>CD201&amp;"-"&amp;CF201</f>
        <v>44896-45174</v>
      </c>
      <c r="CD202" s="3453"/>
      <c r="CE202" s="2872"/>
      <c r="CF202" s="3453"/>
      <c r="CG202" s="2872"/>
      <c r="CH202" s="3449"/>
      <c r="CI202" s="3449"/>
      <c r="CJ202" s="3449"/>
      <c r="CK202" s="3452" t="str">
        <f>CL201&amp;"-"&amp;CN201</f>
        <v>45175-45291</v>
      </c>
      <c r="CL202" s="3453"/>
      <c r="CM202" s="2872"/>
      <c r="CN202" s="3453"/>
      <c r="CO202" s="2872"/>
      <c r="CP202" s="3449"/>
      <c r="CQ202" s="3747"/>
      <c r="CR202" s="3581"/>
      <c r="CS202" s="3728"/>
      <c r="CT202" s="3728" t="str">
        <f>IF(T202="","",T202)</f>
        <v/>
      </c>
      <c r="CU202" s="3728"/>
      <c r="CV202" s="3728"/>
    </row>
    <row s="5899" customFormat="1" customHeight="1" ht="15">
      <c r="A203" s="3716"/>
      <c r="B203" s="3716"/>
      <c r="C203" s="3716"/>
      <c r="D203" s="3716"/>
      <c r="E203" s="3717"/>
      <c r="F203" s="3717"/>
      <c r="G203" s="3717"/>
      <c r="H203" s="3717">
        <v>1</v>
      </c>
      <c r="I203" s="3739"/>
      <c r="J203" s="3730"/>
      <c r="K203" s="3716"/>
      <c r="L203" s="3719"/>
      <c r="M203" s="3573"/>
      <c r="N203" s="3573"/>
      <c r="O203" s="3731"/>
      <c r="P203" s="3732"/>
      <c r="Q203" s="3732"/>
      <c r="R203" s="3733"/>
      <c r="S203" s="5900"/>
      <c r="T203" s="5901" t="s">
        <v>626</v>
      </c>
      <c r="U203" s="5902"/>
      <c r="V203" s="5903"/>
      <c r="W203" s="5904"/>
      <c r="X203" s="5905"/>
      <c r="Y203" s="5906"/>
      <c r="Z203" s="5907"/>
      <c r="AA203" s="5908"/>
      <c r="AB203" s="5909"/>
      <c r="AC203" s="5910"/>
      <c r="AD203" s="5911"/>
      <c r="AE203" s="5912"/>
      <c r="AF203" s="5913"/>
      <c r="AG203" s="5914"/>
      <c r="AH203" s="5915"/>
      <c r="AI203" s="5916"/>
      <c r="AJ203" s="5917"/>
      <c r="AK203" s="5918"/>
      <c r="AL203" s="5919"/>
      <c r="AM203" s="5920"/>
      <c r="AN203" s="5921"/>
      <c r="AO203" s="5922"/>
      <c r="AP203" s="5923"/>
      <c r="AQ203" s="5924"/>
      <c r="AR203" s="5925"/>
      <c r="AS203" s="5926"/>
      <c r="AT203" s="5927"/>
      <c r="AU203" s="5928"/>
      <c r="AV203" s="5929"/>
      <c r="AW203" s="5930"/>
      <c r="AX203" s="5931"/>
      <c r="AY203" s="5932"/>
      <c r="AZ203" s="5933"/>
      <c r="BA203" s="5934"/>
      <c r="BB203" s="5935"/>
      <c r="BC203" s="5936"/>
      <c r="BD203" s="5937"/>
      <c r="BE203" s="5938"/>
      <c r="BF203" s="5939"/>
      <c r="BG203" s="5940"/>
      <c r="BH203" s="5941"/>
      <c r="BI203" s="5942"/>
      <c r="BJ203" s="5943"/>
      <c r="BK203" s="5944"/>
      <c r="BL203" s="5945"/>
      <c r="BM203" s="5946"/>
      <c r="BN203" s="5947"/>
      <c r="BO203" s="5948"/>
      <c r="BP203" s="5949"/>
      <c r="BQ203" s="5950"/>
      <c r="BR203" s="5951"/>
      <c r="BS203" s="5952"/>
      <c r="BT203" s="5953"/>
      <c r="BU203" s="5954"/>
      <c r="BV203" s="5955"/>
      <c r="BW203" s="5956"/>
      <c r="BX203" s="5957"/>
      <c r="BY203" s="5958"/>
      <c r="BZ203" s="5959"/>
      <c r="CA203" s="5960"/>
      <c r="CB203" s="5961"/>
      <c r="CC203" s="5962"/>
      <c r="CD203" s="5963"/>
      <c r="CE203" s="5964"/>
      <c r="CF203" s="5965"/>
      <c r="CG203" s="5966"/>
      <c r="CH203" s="5967"/>
      <c r="CI203" s="5968"/>
      <c r="CJ203" s="5969"/>
      <c r="CK203" s="5970"/>
      <c r="CL203" s="5971"/>
      <c r="CM203" s="5972"/>
      <c r="CN203" s="5973"/>
      <c r="CO203" s="5974"/>
      <c r="CP203" s="5975"/>
      <c r="CQ203" s="3825"/>
      <c r="CR203" s="3581"/>
      <c r="CS203" s="3728"/>
      <c r="CT203" s="3728" t="str">
        <f>IF(T203="","",T203)</f>
        <v>Добавить вид теплоносителя (параметры теплоносителя)</v>
      </c>
      <c r="CU203" s="3728"/>
      <c r="CV203" s="3728"/>
    </row>
    <row s="5976" customFormat="1" customHeight="1" ht="15">
      <c r="A204" s="3716"/>
      <c r="B204" s="3716"/>
      <c r="C204" s="3716"/>
      <c r="D204" s="3716"/>
      <c r="E204" s="3717"/>
      <c r="F204" s="3717"/>
      <c r="G204" s="3717"/>
      <c r="H204" s="3717">
        <v>1</v>
      </c>
      <c r="I204" s="3730"/>
      <c r="J204" s="3716"/>
      <c r="K204" s="3716"/>
      <c r="L204" s="3719"/>
      <c r="M204" s="3573"/>
      <c r="N204" s="3731"/>
      <c r="O204" s="3731"/>
      <c r="P204" s="3732"/>
      <c r="Q204" s="3732"/>
      <c r="R204" s="3733"/>
      <c r="S204" s="5977"/>
      <c r="T204" s="5978" t="s">
        <v>627</v>
      </c>
      <c r="U204" s="5979"/>
      <c r="V204" s="5980"/>
      <c r="W204" s="5981"/>
      <c r="X204" s="5982"/>
      <c r="Y204" s="5983"/>
      <c r="Z204" s="5984"/>
      <c r="AA204" s="5985"/>
      <c r="AB204" s="5986"/>
      <c r="AC204" s="5987"/>
      <c r="AD204" s="5988"/>
      <c r="AE204" s="5989"/>
      <c r="AF204" s="5990"/>
      <c r="AG204" s="5991"/>
      <c r="AH204" s="5992"/>
      <c r="AI204" s="5993"/>
      <c r="AJ204" s="5994"/>
      <c r="AK204" s="5995"/>
      <c r="AL204" s="5996"/>
      <c r="AM204" s="5997"/>
      <c r="AN204" s="5998"/>
      <c r="AO204" s="5999"/>
      <c r="AP204" s="6000"/>
      <c r="AQ204" s="6001"/>
      <c r="AR204" s="6002"/>
      <c r="AS204" s="6003"/>
      <c r="AT204" s="6004"/>
      <c r="AU204" s="6005"/>
      <c r="AV204" s="6006"/>
      <c r="AW204" s="6007"/>
      <c r="AX204" s="6008"/>
      <c r="AY204" s="6009"/>
      <c r="AZ204" s="6010"/>
      <c r="BA204" s="6011"/>
      <c r="BB204" s="6012"/>
      <c r="BC204" s="6013"/>
      <c r="BD204" s="6014"/>
      <c r="BE204" s="6015"/>
      <c r="BF204" s="6016"/>
      <c r="BG204" s="6017"/>
      <c r="BH204" s="6018"/>
      <c r="BI204" s="6019"/>
      <c r="BJ204" s="6020"/>
      <c r="BK204" s="6021"/>
      <c r="BL204" s="6022"/>
      <c r="BM204" s="6023"/>
      <c r="BN204" s="6024"/>
      <c r="BO204" s="6025"/>
      <c r="BP204" s="6026"/>
      <c r="BQ204" s="6027"/>
      <c r="BR204" s="6028"/>
      <c r="BS204" s="6029"/>
      <c r="BT204" s="6030"/>
      <c r="BU204" s="6031"/>
      <c r="BV204" s="6032"/>
      <c r="BW204" s="6033"/>
      <c r="BX204" s="6034"/>
      <c r="BY204" s="6035"/>
      <c r="BZ204" s="6036"/>
      <c r="CA204" s="6037"/>
      <c r="CB204" s="6038"/>
      <c r="CC204" s="6039"/>
      <c r="CD204" s="6040"/>
      <c r="CE204" s="6041"/>
      <c r="CF204" s="6042"/>
      <c r="CG204" s="6043"/>
      <c r="CH204" s="6044"/>
      <c r="CI204" s="6045"/>
      <c r="CJ204" s="6046"/>
      <c r="CK204" s="6047"/>
      <c r="CL204" s="6048"/>
      <c r="CM204" s="6049"/>
      <c r="CN204" s="6050"/>
      <c r="CO204" s="6051"/>
      <c r="CP204" s="6052"/>
      <c r="CQ204" s="6053"/>
      <c r="CR204" s="3581"/>
      <c r="CS204" s="3728"/>
      <c r="CT204" s="3728" t="str">
        <f>IF(T204="","",T204)</f>
        <v>Добавить группу потребителей</v>
      </c>
      <c r="CU204" s="3728"/>
      <c r="CV204" s="3728"/>
    </row>
    <row s="6054" customFormat="1" customHeight="1" ht="14.25">
      <c r="A205" s="3716"/>
      <c r="B205" s="3716"/>
      <c r="C205" s="3716"/>
      <c r="D205" s="3716"/>
      <c r="E205" s="3717"/>
      <c r="F205" s="3717"/>
      <c r="G205" s="3717"/>
      <c r="H205" s="3718">
        <v>1</v>
      </c>
      <c r="I205" s="3716"/>
      <c r="J205" s="3716"/>
      <c r="K205" s="3716"/>
      <c r="L205" s="3719"/>
      <c r="M205" s="3720"/>
      <c r="N205" s="3720"/>
      <c r="O205" s="3573"/>
      <c r="P205" s="3905"/>
      <c r="Q205" s="3906"/>
      <c r="R205" s="3907"/>
      <c r="S205" s="3908"/>
      <c r="T205" s="3909"/>
      <c r="U205" s="3569"/>
      <c r="V205" s="3569"/>
      <c r="W205" s="3569"/>
      <c r="X205" s="3569"/>
      <c r="Y205" s="3569"/>
      <c r="Z205" s="3569"/>
      <c r="AA205" s="3569"/>
      <c r="AB205" s="3569"/>
      <c r="AC205" s="3569"/>
      <c r="AD205" s="3569"/>
      <c r="AE205" s="3569"/>
      <c r="AF205" s="3569"/>
      <c r="AG205" s="3569"/>
      <c r="AH205" s="3569"/>
      <c r="AI205" s="3569"/>
      <c r="AJ205" s="3569"/>
      <c r="AK205" s="3569"/>
      <c r="AL205" s="3569"/>
      <c r="AM205" s="3569"/>
      <c r="AN205" s="3569"/>
      <c r="AO205" s="3569"/>
      <c r="AP205" s="3569"/>
      <c r="AQ205" s="3569"/>
      <c r="AR205" s="3569"/>
      <c r="AS205" s="3569"/>
      <c r="AT205" s="3569"/>
      <c r="AU205" s="3569"/>
      <c r="AV205" s="3569"/>
      <c r="AW205" s="3569"/>
      <c r="AX205" s="3569"/>
      <c r="AY205" s="3569"/>
      <c r="AZ205" s="3569"/>
      <c r="BA205" s="3569"/>
      <c r="BB205" s="3569"/>
      <c r="BC205" s="3569"/>
      <c r="BD205" s="3569"/>
      <c r="BE205" s="3569"/>
      <c r="BF205" s="3569"/>
      <c r="BG205" s="3569"/>
      <c r="BH205" s="3569"/>
      <c r="BI205" s="3569"/>
      <c r="BJ205" s="3569"/>
      <c r="BK205" s="3569"/>
      <c r="BL205" s="3569"/>
      <c r="BM205" s="3569"/>
      <c r="BN205" s="3569"/>
      <c r="BO205" s="3569"/>
      <c r="BP205" s="3569"/>
      <c r="BQ205" s="3569"/>
      <c r="BR205" s="3569"/>
      <c r="BS205" s="3569"/>
      <c r="BT205" s="3569"/>
      <c r="BU205" s="3569"/>
      <c r="BV205" s="3569"/>
      <c r="BW205" s="3569"/>
      <c r="BX205" s="3569"/>
      <c r="BY205" s="3569"/>
      <c r="BZ205" s="3569"/>
      <c r="CA205" s="3569"/>
      <c r="CB205" s="3569"/>
      <c r="CC205" s="3569"/>
      <c r="CD205" s="3569"/>
      <c r="CE205" s="3569"/>
      <c r="CF205" s="3569"/>
      <c r="CG205" s="3569"/>
      <c r="CH205" s="3569"/>
      <c r="CI205" s="3569"/>
      <c r="CJ205" s="3569"/>
      <c r="CK205" s="3569"/>
      <c r="CL205" s="3569"/>
      <c r="CM205" s="3569"/>
      <c r="CN205" s="3569"/>
      <c r="CO205" s="3569"/>
      <c r="CP205" s="3569"/>
      <c r="CQ205" s="3910"/>
      <c r="CR205" s="3581"/>
      <c r="CS205" s="3728"/>
      <c r="CT205" s="3728" t="str">
        <f>IF(T205="","",T205)</f>
        <v/>
      </c>
      <c r="CU205" s="3728"/>
      <c r="CV205" s="3728"/>
    </row>
    <row s="6055" customFormat="1" customHeight="1" ht="0.75">
      <c r="A206" s="4239"/>
      <c r="B206" s="4239"/>
      <c r="C206" s="4239"/>
      <c r="D206" s="4239"/>
      <c r="E206" s="3717"/>
      <c r="F206" s="3717" t="s">
        <v>139</v>
      </c>
      <c r="G206" s="3718"/>
      <c r="H206" s="4239"/>
      <c r="I206" s="4239"/>
      <c r="J206" s="4239"/>
      <c r="K206" s="4239"/>
      <c r="L206" s="4240"/>
      <c r="M206" s="4241"/>
      <c r="N206" s="4241"/>
      <c r="O206" s="3581"/>
      <c r="P206" s="4242"/>
      <c r="Q206" s="4243"/>
      <c r="R206" s="4242"/>
      <c r="S206" s="4244"/>
      <c r="T206" s="4245" t="s">
        <v>254</v>
      </c>
      <c r="U206" s="3571"/>
      <c r="V206" s="3571"/>
      <c r="W206" s="3571"/>
      <c r="X206" s="3571"/>
      <c r="Y206" s="3571"/>
      <c r="Z206" s="3571"/>
      <c r="AA206" s="3571"/>
      <c r="AB206" s="3571"/>
      <c r="AC206" s="3571"/>
      <c r="AD206" s="3571"/>
      <c r="AE206" s="3571"/>
      <c r="AF206" s="3571"/>
      <c r="AG206" s="3571"/>
      <c r="AH206" s="3571"/>
      <c r="AI206" s="3571"/>
      <c r="AJ206" s="3571"/>
      <c r="AK206" s="3571"/>
      <c r="AL206" s="3571"/>
      <c r="AM206" s="3571"/>
      <c r="AN206" s="3571"/>
      <c r="AO206" s="3571"/>
      <c r="AP206" s="3571"/>
      <c r="AQ206" s="3571"/>
      <c r="AR206" s="3571"/>
      <c r="AS206" s="3571"/>
      <c r="AT206" s="3571"/>
      <c r="AU206" s="3571"/>
      <c r="AV206" s="3571"/>
      <c r="AW206" s="3571"/>
      <c r="AX206" s="3571"/>
      <c r="AY206" s="3571"/>
      <c r="AZ206" s="3571"/>
      <c r="BA206" s="3571"/>
      <c r="BB206" s="3571"/>
      <c r="BC206" s="3571"/>
      <c r="BD206" s="3571"/>
      <c r="BE206" s="3571"/>
      <c r="BF206" s="3571"/>
      <c r="BG206" s="3571"/>
      <c r="BH206" s="3571"/>
      <c r="BI206" s="3571"/>
      <c r="BJ206" s="3571"/>
      <c r="BK206" s="3571"/>
      <c r="BL206" s="3571"/>
      <c r="BM206" s="3571"/>
      <c r="BN206" s="3571"/>
      <c r="BO206" s="3571"/>
      <c r="BP206" s="3571"/>
      <c r="BQ206" s="3571"/>
      <c r="BR206" s="3571"/>
      <c r="BS206" s="3571"/>
      <c r="BT206" s="3571"/>
      <c r="BU206" s="3571"/>
      <c r="BV206" s="3571"/>
      <c r="BW206" s="3571"/>
      <c r="BX206" s="3571"/>
      <c r="BY206" s="3571"/>
      <c r="BZ206" s="3571"/>
      <c r="CA206" s="3571"/>
      <c r="CB206" s="3571"/>
      <c r="CC206" s="3571"/>
      <c r="CD206" s="3571"/>
      <c r="CE206" s="3571"/>
      <c r="CF206" s="3571"/>
      <c r="CG206" s="3571"/>
      <c r="CH206" s="3571"/>
      <c r="CI206" s="3571"/>
      <c r="CJ206" s="3571"/>
      <c r="CK206" s="3571"/>
      <c r="CL206" s="3571"/>
      <c r="CM206" s="3571"/>
      <c r="CN206" s="3571"/>
      <c r="CO206" s="3571"/>
      <c r="CP206" s="3571"/>
      <c r="CQ206" s="3571"/>
      <c r="CR206" s="3581"/>
      <c r="CS206" s="3728"/>
      <c r="CT206" s="3728" t="str">
        <f>IF(T206="","",T206)</f>
        <v>Добавить источник для дифференциации</v>
      </c>
      <c r="CU206" s="3728"/>
      <c r="CV206" s="3728"/>
    </row>
    <row s="6056" customFormat="1" customHeight="1" ht="0.75">
      <c r="A207" s="4239"/>
      <c r="B207" s="4239"/>
      <c r="C207" s="4239"/>
      <c r="D207" s="4239"/>
      <c r="E207" s="3717"/>
      <c r="F207" s="3718" t="s">
        <v>139</v>
      </c>
      <c r="G207" s="4239"/>
      <c r="H207" s="4239"/>
      <c r="I207" s="4239"/>
      <c r="J207" s="4239"/>
      <c r="K207" s="4239"/>
      <c r="L207" s="4240"/>
      <c r="M207" s="4247"/>
      <c r="N207" s="4247"/>
      <c r="O207" s="3581"/>
      <c r="P207" s="4242"/>
      <c r="Q207" s="4243"/>
      <c r="R207" s="4242"/>
      <c r="S207" s="4248"/>
      <c r="T207" s="4249" t="s">
        <v>255</v>
      </c>
      <c r="U207" s="3572"/>
      <c r="V207" s="3572"/>
      <c r="W207" s="3572"/>
      <c r="X207" s="3572"/>
      <c r="Y207" s="3572"/>
      <c r="Z207" s="3572"/>
      <c r="AA207" s="3572"/>
      <c r="AB207" s="3572"/>
      <c r="AC207" s="3572"/>
      <c r="AD207" s="3572"/>
      <c r="AE207" s="3572"/>
      <c r="AF207" s="3572"/>
      <c r="AG207" s="3572"/>
      <c r="AH207" s="3572"/>
      <c r="AI207" s="3572"/>
      <c r="AJ207" s="3572"/>
      <c r="AK207" s="3572"/>
      <c r="AL207" s="3572"/>
      <c r="AM207" s="3572"/>
      <c r="AN207" s="3572"/>
      <c r="AO207" s="3572"/>
      <c r="AP207" s="3572"/>
      <c r="AQ207" s="3572"/>
      <c r="AR207" s="3572"/>
      <c r="AS207" s="3572"/>
      <c r="AT207" s="3572"/>
      <c r="AU207" s="3572"/>
      <c r="AV207" s="3572"/>
      <c r="AW207" s="3572"/>
      <c r="AX207" s="3572"/>
      <c r="AY207" s="3572"/>
      <c r="AZ207" s="3572"/>
      <c r="BA207" s="3572"/>
      <c r="BB207" s="3572"/>
      <c r="BC207" s="3572"/>
      <c r="BD207" s="3572"/>
      <c r="BE207" s="3572"/>
      <c r="BF207" s="3572"/>
      <c r="BG207" s="3572"/>
      <c r="BH207" s="3572"/>
      <c r="BI207" s="3572"/>
      <c r="BJ207" s="3572"/>
      <c r="BK207" s="3572"/>
      <c r="BL207" s="3572"/>
      <c r="BM207" s="3572"/>
      <c r="BN207" s="3572"/>
      <c r="BO207" s="3572"/>
      <c r="BP207" s="3572"/>
      <c r="BQ207" s="3572"/>
      <c r="BR207" s="3572"/>
      <c r="BS207" s="3572"/>
      <c r="BT207" s="3572"/>
      <c r="BU207" s="3572"/>
      <c r="BV207" s="3572"/>
      <c r="BW207" s="3572"/>
      <c r="BX207" s="3572"/>
      <c r="BY207" s="3572"/>
      <c r="BZ207" s="3572"/>
      <c r="CA207" s="3572"/>
      <c r="CB207" s="3572"/>
      <c r="CC207" s="3572"/>
      <c r="CD207" s="3572"/>
      <c r="CE207" s="3572"/>
      <c r="CF207" s="3572"/>
      <c r="CG207" s="3572"/>
      <c r="CH207" s="3572"/>
      <c r="CI207" s="3572"/>
      <c r="CJ207" s="3572"/>
      <c r="CK207" s="3572"/>
      <c r="CL207" s="3572"/>
      <c r="CM207" s="3572"/>
      <c r="CN207" s="3572"/>
      <c r="CO207" s="3572"/>
      <c r="CP207" s="3572"/>
      <c r="CQ207" s="3572"/>
      <c r="CR207" s="3581"/>
      <c r="CS207" s="3728"/>
      <c r="CT207" s="3728" t="str">
        <f>IF(T207="","",T207)</f>
        <v>Добавить централизованную систему для дифференциации</v>
      </c>
      <c r="CU207" s="3728"/>
      <c r="CV207" s="3728"/>
    </row>
    <row s="6057" customFormat="1" customHeight="1" ht="21">
      <c r="A208" s="3716"/>
      <c r="B208" s="3716" t="s">
        <v>294</v>
      </c>
      <c r="C208" s="3716"/>
      <c r="D208" s="3716"/>
      <c r="E208" s="3717"/>
      <c r="F208" s="3718" t="s">
        <v>148</v>
      </c>
      <c r="G208" s="3716"/>
      <c r="H208" s="3716"/>
      <c r="I208" s="3716"/>
      <c r="J208" s="3716"/>
      <c r="K208" s="3716"/>
      <c r="L208" s="3719"/>
      <c r="M208" s="3720"/>
      <c r="N208" s="3720"/>
      <c r="O208" s="3720"/>
      <c r="P208" s="4073"/>
      <c r="Q208" s="3722"/>
      <c r="R208" s="3723"/>
      <c r="S208" s="3724" t="str">
        <f>INDEX(PT_DIFFERENTIATION_NUM_TER,MATCH(B208,PT_DIFFERENTIATION_TER_ID,0))</f>
        <v>1.12</v>
      </c>
      <c r="T208" s="4074" t="s">
        <v>612</v>
      </c>
      <c r="U208" s="3726"/>
      <c r="V208" s="3432"/>
      <c r="W208" s="3433"/>
      <c r="X208" s="3433"/>
      <c r="Y208" s="3433"/>
      <c r="Z208" s="3433"/>
      <c r="AA208" s="3433"/>
      <c r="AB208" s="3433"/>
      <c r="AC208" s="3434"/>
      <c r="AD208" s="3432" t="str">
        <f>INDEX(PT_DIFFERENTIATION_TER,MATCH(B208,PT_DIFFERENTIATION_TER_ID,0))</f>
        <v>Территория 12</v>
      </c>
      <c r="AE208" s="3433"/>
      <c r="AF208" s="3433"/>
      <c r="AG208" s="3433"/>
      <c r="AH208" s="3433"/>
      <c r="AI208" s="3433"/>
      <c r="AJ208" s="3433"/>
      <c r="AK208" s="3433"/>
      <c r="AL208" s="3432"/>
      <c r="AM208" s="3433"/>
      <c r="AN208" s="3433"/>
      <c r="AO208" s="3433"/>
      <c r="AP208" s="3433"/>
      <c r="AQ208" s="3433"/>
      <c r="AR208" s="3433"/>
      <c r="AS208" s="3434"/>
      <c r="AT208" s="3432"/>
      <c r="AU208" s="3433"/>
      <c r="AV208" s="3433"/>
      <c r="AW208" s="3433"/>
      <c r="AX208" s="3433"/>
      <c r="AY208" s="3433"/>
      <c r="AZ208" s="3433"/>
      <c r="BA208" s="3434"/>
      <c r="BB208" s="3432"/>
      <c r="BC208" s="3433"/>
      <c r="BD208" s="3433"/>
      <c r="BE208" s="3433"/>
      <c r="BF208" s="3433"/>
      <c r="BG208" s="3433"/>
      <c r="BH208" s="3433"/>
      <c r="BI208" s="3434"/>
      <c r="BJ208" s="3432"/>
      <c r="BK208" s="3433"/>
      <c r="BL208" s="3433"/>
      <c r="BM208" s="3433"/>
      <c r="BN208" s="3433"/>
      <c r="BO208" s="3433"/>
      <c r="BP208" s="3433"/>
      <c r="BQ208" s="3434"/>
      <c r="BR208" s="3432"/>
      <c r="BS208" s="3433"/>
      <c r="BT208" s="3433"/>
      <c r="BU208" s="3433"/>
      <c r="BV208" s="3433"/>
      <c r="BW208" s="3433"/>
      <c r="BX208" s="3433"/>
      <c r="BY208" s="3434"/>
      <c r="BZ208" s="3432"/>
      <c r="CA208" s="3433"/>
      <c r="CB208" s="3433"/>
      <c r="CC208" s="3433"/>
      <c r="CD208" s="3433"/>
      <c r="CE208" s="3433"/>
      <c r="CF208" s="3433"/>
      <c r="CG208" s="3434"/>
      <c r="CH208" s="3432"/>
      <c r="CI208" s="3433"/>
      <c r="CJ208" s="3433"/>
      <c r="CK208" s="3433"/>
      <c r="CL208" s="3433"/>
      <c r="CM208" s="3433"/>
      <c r="CN208" s="3433"/>
      <c r="CO208" s="3434"/>
      <c r="CP208" s="3434"/>
      <c r="CQ208" s="3727" t="s">
        <v>613</v>
      </c>
      <c r="CR208" s="3581"/>
      <c r="CS208" s="3728"/>
      <c r="CT208" s="3728" t="str">
        <f>IF(T208="","",T208)</f>
        <v>Территория действия тарифа</v>
      </c>
      <c r="CU208" s="3728"/>
      <c r="CV208" s="3728"/>
    </row>
    <row s="6058" customFormat="1" customHeight="1" ht="23.25">
      <c r="A209" s="3716"/>
      <c r="B209" s="3716"/>
      <c r="C209" s="3716" t="s">
        <v>295</v>
      </c>
      <c r="D209" s="3716"/>
      <c r="E209" s="3717"/>
      <c r="F209" s="3717" t="s">
        <v>143</v>
      </c>
      <c r="G209" s="3718">
        <v>1</v>
      </c>
      <c r="H209" s="3716"/>
      <c r="I209" s="3716"/>
      <c r="J209" s="3716"/>
      <c r="K209" s="3716"/>
      <c r="L209" s="3719"/>
      <c r="M209" s="3720"/>
      <c r="N209" s="3720"/>
      <c r="O209" s="3720"/>
      <c r="P209" s="3721"/>
      <c r="Q209" s="3722"/>
      <c r="R209" s="3723"/>
      <c r="S209" s="3724" t="str">
        <f>INDEX(PT_DIFFERENTIATION_NUM_CS,MATCH(C209,PT_DIFFERENTIATION_CS_ID,0))</f>
        <v>1.12.1</v>
      </c>
      <c r="T209" s="4076" t="s">
        <v>614</v>
      </c>
      <c r="U209" s="3726"/>
      <c r="V209" s="3432"/>
      <c r="W209" s="3433"/>
      <c r="X209" s="3433"/>
      <c r="Y209" s="3433"/>
      <c r="Z209" s="3433"/>
      <c r="AA209" s="3433"/>
      <c r="AB209" s="3433"/>
      <c r="AC209" s="3434"/>
      <c r="AD209" s="3432" t="str">
        <f>INDEX(PT_DIFFERENTIATION_CS,MATCH(C209,PT_DIFFERENTIATION_CS_ID,0))</f>
        <v>без дифференциации</v>
      </c>
      <c r="AE209" s="3433"/>
      <c r="AF209" s="3433"/>
      <c r="AG209" s="3433"/>
      <c r="AH209" s="3433"/>
      <c r="AI209" s="3433"/>
      <c r="AJ209" s="3433"/>
      <c r="AK209" s="3433"/>
      <c r="AL209" s="3432"/>
      <c r="AM209" s="3433"/>
      <c r="AN209" s="3433"/>
      <c r="AO209" s="3433"/>
      <c r="AP209" s="3433"/>
      <c r="AQ209" s="3433"/>
      <c r="AR209" s="3433"/>
      <c r="AS209" s="3434"/>
      <c r="AT209" s="3432"/>
      <c r="AU209" s="3433"/>
      <c r="AV209" s="3433"/>
      <c r="AW209" s="3433"/>
      <c r="AX209" s="3433"/>
      <c r="AY209" s="3433"/>
      <c r="AZ209" s="3433"/>
      <c r="BA209" s="3434"/>
      <c r="BB209" s="3432"/>
      <c r="BC209" s="3433"/>
      <c r="BD209" s="3433"/>
      <c r="BE209" s="3433"/>
      <c r="BF209" s="3433"/>
      <c r="BG209" s="3433"/>
      <c r="BH209" s="3433"/>
      <c r="BI209" s="3434"/>
      <c r="BJ209" s="3432"/>
      <c r="BK209" s="3433"/>
      <c r="BL209" s="3433"/>
      <c r="BM209" s="3433"/>
      <c r="BN209" s="3433"/>
      <c r="BO209" s="3433"/>
      <c r="BP209" s="3433"/>
      <c r="BQ209" s="3434"/>
      <c r="BR209" s="3432"/>
      <c r="BS209" s="3433"/>
      <c r="BT209" s="3433"/>
      <c r="BU209" s="3433"/>
      <c r="BV209" s="3433"/>
      <c r="BW209" s="3433"/>
      <c r="BX209" s="3433"/>
      <c r="BY209" s="3434"/>
      <c r="BZ209" s="3432"/>
      <c r="CA209" s="3433"/>
      <c r="CB209" s="3433"/>
      <c r="CC209" s="3433"/>
      <c r="CD209" s="3433"/>
      <c r="CE209" s="3433"/>
      <c r="CF209" s="3433"/>
      <c r="CG209" s="3434"/>
      <c r="CH209" s="3432"/>
      <c r="CI209" s="3433"/>
      <c r="CJ209" s="3433"/>
      <c r="CK209" s="3433"/>
      <c r="CL209" s="3433"/>
      <c r="CM209" s="3433"/>
      <c r="CN209" s="3433"/>
      <c r="CO209" s="3434"/>
      <c r="CP209" s="3434"/>
      <c r="CQ209" s="3727" t="s">
        <v>615</v>
      </c>
      <c r="CR209" s="3581"/>
      <c r="CS209" s="3728"/>
      <c r="CT209" s="3728" t="str">
        <f>IF(T209="","",T209)</f>
        <v>Наименование системы теплоснабжения </v>
      </c>
      <c r="CU209" s="3728"/>
      <c r="CV209" s="3728"/>
    </row>
    <row s="6059" customFormat="1" customHeight="1" ht="21">
      <c r="A210" s="3716"/>
      <c r="B210" s="3716"/>
      <c r="C210" s="3716"/>
      <c r="D210" s="3716" t="s">
        <v>296</v>
      </c>
      <c r="E210" s="3717"/>
      <c r="F210" s="3717" t="s">
        <v>143</v>
      </c>
      <c r="G210" s="3717"/>
      <c r="H210" s="3718">
        <v>1</v>
      </c>
      <c r="I210" s="3716"/>
      <c r="J210" s="3716"/>
      <c r="K210" s="3716"/>
      <c r="L210" s="3719"/>
      <c r="M210" s="3720"/>
      <c r="N210" s="3720"/>
      <c r="O210" s="3720"/>
      <c r="P210" s="3721"/>
      <c r="Q210" s="3722"/>
      <c r="R210" s="3723"/>
      <c r="S210" s="3724" t="str">
        <f>INDEX(PT_DIFFERENTIATION_NUM_IST_TE,MATCH(D210,PT_DIFFERENTIATION_IST_TE_ID,0))</f>
        <v>1.12.1.1</v>
      </c>
      <c r="T210" s="3725" t="s">
        <v>616</v>
      </c>
      <c r="U210" s="3726"/>
      <c r="V210" s="3432"/>
      <c r="W210" s="3433"/>
      <c r="X210" s="3433"/>
      <c r="Y210" s="3433"/>
      <c r="Z210" s="3433"/>
      <c r="AA210" s="3433"/>
      <c r="AB210" s="3433"/>
      <c r="AC210" s="3434"/>
      <c r="AD210" s="3432" t="str">
        <f>INDEX(PT_DIFFERENTIATION_IST_TE,MATCH(D210,PT_DIFFERENTIATION_IST_TE_ID,0))</f>
        <v>без дифференциации</v>
      </c>
      <c r="AE210" s="3433"/>
      <c r="AF210" s="3433"/>
      <c r="AG210" s="3433"/>
      <c r="AH210" s="3433"/>
      <c r="AI210" s="3433"/>
      <c r="AJ210" s="3433"/>
      <c r="AK210" s="3433"/>
      <c r="AL210" s="3432"/>
      <c r="AM210" s="3433"/>
      <c r="AN210" s="3433"/>
      <c r="AO210" s="3433"/>
      <c r="AP210" s="3433"/>
      <c r="AQ210" s="3433"/>
      <c r="AR210" s="3433"/>
      <c r="AS210" s="3434"/>
      <c r="AT210" s="3432"/>
      <c r="AU210" s="3433"/>
      <c r="AV210" s="3433"/>
      <c r="AW210" s="3433"/>
      <c r="AX210" s="3433"/>
      <c r="AY210" s="3433"/>
      <c r="AZ210" s="3433"/>
      <c r="BA210" s="3434"/>
      <c r="BB210" s="3432"/>
      <c r="BC210" s="3433"/>
      <c r="BD210" s="3433"/>
      <c r="BE210" s="3433"/>
      <c r="BF210" s="3433"/>
      <c r="BG210" s="3433"/>
      <c r="BH210" s="3433"/>
      <c r="BI210" s="3434"/>
      <c r="BJ210" s="3432"/>
      <c r="BK210" s="3433"/>
      <c r="BL210" s="3433"/>
      <c r="BM210" s="3433"/>
      <c r="BN210" s="3433"/>
      <c r="BO210" s="3433"/>
      <c r="BP210" s="3433"/>
      <c r="BQ210" s="3434"/>
      <c r="BR210" s="3432"/>
      <c r="BS210" s="3433"/>
      <c r="BT210" s="3433"/>
      <c r="BU210" s="3433"/>
      <c r="BV210" s="3433"/>
      <c r="BW210" s="3433"/>
      <c r="BX210" s="3433"/>
      <c r="BY210" s="3434"/>
      <c r="BZ210" s="3432"/>
      <c r="CA210" s="3433"/>
      <c r="CB210" s="3433"/>
      <c r="CC210" s="3433"/>
      <c r="CD210" s="3433"/>
      <c r="CE210" s="3433"/>
      <c r="CF210" s="3433"/>
      <c r="CG210" s="3434"/>
      <c r="CH210" s="3432"/>
      <c r="CI210" s="3433"/>
      <c r="CJ210" s="3433"/>
      <c r="CK210" s="3433"/>
      <c r="CL210" s="3433"/>
      <c r="CM210" s="3433"/>
      <c r="CN210" s="3433"/>
      <c r="CO210" s="3434"/>
      <c r="CP210" s="3434"/>
      <c r="CQ210" s="3727" t="s">
        <v>617</v>
      </c>
      <c r="CR210" s="3581"/>
      <c r="CS210" s="3728"/>
      <c r="CT210" s="3728" t="str">
        <f>IF(T210="","",T210)</f>
        <v>Источник тепловой энергии  </v>
      </c>
      <c r="CU210" s="3728"/>
      <c r="CV210" s="3728"/>
    </row>
    <row s="6060" customFormat="1" customHeight="1" ht="14.25">
      <c r="A211" s="3716"/>
      <c r="B211" s="3716"/>
      <c r="C211" s="3716"/>
      <c r="D211" s="3716"/>
      <c r="E211" s="3717"/>
      <c r="F211" s="3717" t="s">
        <v>143</v>
      </c>
      <c r="G211" s="3717"/>
      <c r="H211" s="3717"/>
      <c r="I211" s="3730" t="str">
        <f>S210&amp;".1"</f>
        <v>1.12.1.1.1</v>
      </c>
      <c r="J211" s="3716"/>
      <c r="K211" s="3716"/>
      <c r="L211" s="3719" t="s">
        <v>618</v>
      </c>
      <c r="M211" s="3573"/>
      <c r="N211" s="3731"/>
      <c r="O211" s="3731"/>
      <c r="P211" s="3732">
        <v>1</v>
      </c>
      <c r="Q211" s="3732"/>
      <c r="R211" s="3733"/>
      <c r="S211" s="3734"/>
      <c r="T211" s="3735"/>
      <c r="U211" s="3736"/>
      <c r="V211" s="3441"/>
      <c r="W211" s="3442"/>
      <c r="X211" s="3442"/>
      <c r="Y211" s="3442"/>
      <c r="Z211" s="3442"/>
      <c r="AA211" s="3442"/>
      <c r="AB211" s="3442"/>
      <c r="AC211" s="3443"/>
      <c r="AD211" s="3441"/>
      <c r="AE211" s="3442"/>
      <c r="AF211" s="3442"/>
      <c r="AG211" s="3442"/>
      <c r="AH211" s="3442"/>
      <c r="AI211" s="3442"/>
      <c r="AJ211" s="3442"/>
      <c r="AK211" s="3442"/>
      <c r="AL211" s="3441"/>
      <c r="AM211" s="3442"/>
      <c r="AN211" s="3442"/>
      <c r="AO211" s="3442"/>
      <c r="AP211" s="3442"/>
      <c r="AQ211" s="3442"/>
      <c r="AR211" s="3442"/>
      <c r="AS211" s="3443"/>
      <c r="AT211" s="3441"/>
      <c r="AU211" s="3442"/>
      <c r="AV211" s="3442"/>
      <c r="AW211" s="3442"/>
      <c r="AX211" s="3442"/>
      <c r="AY211" s="3442"/>
      <c r="AZ211" s="3442"/>
      <c r="BA211" s="3443"/>
      <c r="BB211" s="3441"/>
      <c r="BC211" s="3442"/>
      <c r="BD211" s="3442"/>
      <c r="BE211" s="3442"/>
      <c r="BF211" s="3442"/>
      <c r="BG211" s="3442"/>
      <c r="BH211" s="3442"/>
      <c r="BI211" s="3443"/>
      <c r="BJ211" s="3441"/>
      <c r="BK211" s="3442"/>
      <c r="BL211" s="3442"/>
      <c r="BM211" s="3442"/>
      <c r="BN211" s="3442"/>
      <c r="BO211" s="3442"/>
      <c r="BP211" s="3442"/>
      <c r="BQ211" s="3443"/>
      <c r="BR211" s="3441"/>
      <c r="BS211" s="3442"/>
      <c r="BT211" s="3442"/>
      <c r="BU211" s="3442"/>
      <c r="BV211" s="3442"/>
      <c r="BW211" s="3442"/>
      <c r="BX211" s="3442"/>
      <c r="BY211" s="3443"/>
      <c r="BZ211" s="3441"/>
      <c r="CA211" s="3442"/>
      <c r="CB211" s="3442"/>
      <c r="CC211" s="3442"/>
      <c r="CD211" s="3442"/>
      <c r="CE211" s="3442"/>
      <c r="CF211" s="3442"/>
      <c r="CG211" s="3443"/>
      <c r="CH211" s="3441"/>
      <c r="CI211" s="3442"/>
      <c r="CJ211" s="3442"/>
      <c r="CK211" s="3442"/>
      <c r="CL211" s="3442"/>
      <c r="CM211" s="3442"/>
      <c r="CN211" s="3442"/>
      <c r="CO211" s="3443"/>
      <c r="CP211" s="3443"/>
      <c r="CQ211" s="3737"/>
      <c r="CR211" s="3581"/>
      <c r="CS211" s="3728"/>
      <c r="CT211" s="3728" t="str">
        <f>IF(T211="","",T211)</f>
        <v/>
      </c>
      <c r="CU211" s="3728"/>
      <c r="CV211" s="3728"/>
    </row>
    <row s="6061" customFormat="1" customHeight="1" ht="21">
      <c r="A212" s="3716"/>
      <c r="B212" s="3716"/>
      <c r="C212" s="3716"/>
      <c r="D212" s="3716"/>
      <c r="E212" s="3717"/>
      <c r="F212" s="3717" t="s">
        <v>143</v>
      </c>
      <c r="G212" s="3717"/>
      <c r="H212" s="3717"/>
      <c r="I212" s="3739"/>
      <c r="J212" s="3730" t="str">
        <f>I211&amp;".1"</f>
        <v>1.12.1.1.1.1</v>
      </c>
      <c r="K212" s="3716"/>
      <c r="L212" s="3719" t="s">
        <v>621</v>
      </c>
      <c r="M212" s="3573"/>
      <c r="N212" s="3573"/>
      <c r="O212" s="3731"/>
      <c r="P212" s="3732"/>
      <c r="Q212" s="3732">
        <v>1</v>
      </c>
      <c r="R212" s="3740"/>
      <c r="S212" s="3724" t="str">
        <f>$J212</f>
        <v>1.12.1.1.1.1</v>
      </c>
      <c r="T212" s="3741" t="s">
        <v>622</v>
      </c>
      <c r="U212" s="3726"/>
      <c r="V212" s="3445"/>
      <c r="W212" s="3446"/>
      <c r="X212" s="3446"/>
      <c r="Y212" s="3446"/>
      <c r="Z212" s="3446"/>
      <c r="AA212" s="3446"/>
      <c r="AB212" s="3446"/>
      <c r="AC212" s="3447"/>
      <c r="AD212" s="3445" t="s">
        <v>662</v>
      </c>
      <c r="AE212" s="3446"/>
      <c r="AF212" s="3446"/>
      <c r="AG212" s="3446"/>
      <c r="AH212" s="3446"/>
      <c r="AI212" s="3446"/>
      <c r="AJ212" s="3446"/>
      <c r="AK212" s="3446"/>
      <c r="AL212" s="3445"/>
      <c r="AM212" s="3446"/>
      <c r="AN212" s="3446"/>
      <c r="AO212" s="3446"/>
      <c r="AP212" s="3446"/>
      <c r="AQ212" s="3446"/>
      <c r="AR212" s="3446"/>
      <c r="AS212" s="3447"/>
      <c r="AT212" s="3445"/>
      <c r="AU212" s="3446"/>
      <c r="AV212" s="3446"/>
      <c r="AW212" s="3446"/>
      <c r="AX212" s="3446"/>
      <c r="AY212" s="3446"/>
      <c r="AZ212" s="3446"/>
      <c r="BA212" s="3447"/>
      <c r="BB212" s="3445"/>
      <c r="BC212" s="3446"/>
      <c r="BD212" s="3446"/>
      <c r="BE212" s="3446"/>
      <c r="BF212" s="3446"/>
      <c r="BG212" s="3446"/>
      <c r="BH212" s="3446"/>
      <c r="BI212" s="3447"/>
      <c r="BJ212" s="3445"/>
      <c r="BK212" s="3446"/>
      <c r="BL212" s="3446"/>
      <c r="BM212" s="3446"/>
      <c r="BN212" s="3446"/>
      <c r="BO212" s="3446"/>
      <c r="BP212" s="3446"/>
      <c r="BQ212" s="3447"/>
      <c r="BR212" s="3445"/>
      <c r="BS212" s="3446"/>
      <c r="BT212" s="3446"/>
      <c r="BU212" s="3446"/>
      <c r="BV212" s="3446"/>
      <c r="BW212" s="3446"/>
      <c r="BX212" s="3446"/>
      <c r="BY212" s="3447"/>
      <c r="BZ212" s="3445"/>
      <c r="CA212" s="3446"/>
      <c r="CB212" s="3446"/>
      <c r="CC212" s="3446"/>
      <c r="CD212" s="3446"/>
      <c r="CE212" s="3446"/>
      <c r="CF212" s="3446"/>
      <c r="CG212" s="3447"/>
      <c r="CH212" s="3445"/>
      <c r="CI212" s="3446"/>
      <c r="CJ212" s="3446"/>
      <c r="CK212" s="3446"/>
      <c r="CL212" s="3446"/>
      <c r="CM212" s="3446"/>
      <c r="CN212" s="3446"/>
      <c r="CO212" s="3447"/>
      <c r="CP212" s="3447"/>
      <c r="CQ212" s="3727" t="s">
        <v>623</v>
      </c>
      <c r="CR212" s="3581"/>
      <c r="CS212" s="3728"/>
      <c r="CT212" s="3728" t="str">
        <f>IF(T212="","",T212)</f>
        <v>Группа потребителей</v>
      </c>
      <c r="CU212" s="3728"/>
      <c r="CV212" s="3728"/>
    </row>
    <row s="6062" customFormat="1" customHeight="1" ht="21">
      <c r="A213" s="3716"/>
      <c r="B213" s="3716"/>
      <c r="C213" s="3716"/>
      <c r="D213" s="3716"/>
      <c r="E213" s="3717"/>
      <c r="F213" s="3717" t="s">
        <v>143</v>
      </c>
      <c r="G213" s="3717"/>
      <c r="H213" s="3717"/>
      <c r="I213" s="3739"/>
      <c r="J213" s="3739"/>
      <c r="K213" s="3730" t="str">
        <f>J212&amp;".1"</f>
        <v>1.12.1.1.1.1.1</v>
      </c>
      <c r="L213" s="3719" t="s">
        <v>624</v>
      </c>
      <c r="M213" s="3573"/>
      <c r="N213" s="3573"/>
      <c r="O213" s="3573"/>
      <c r="P213" s="3732"/>
      <c r="Q213" s="3732"/>
      <c r="R213" s="3740">
        <v>1</v>
      </c>
      <c r="S213" s="3724" t="str">
        <f>$K213</f>
        <v>1.12.1.1.1.1.1</v>
      </c>
      <c r="T213" s="3743" t="s">
        <v>663</v>
      </c>
      <c r="U213" s="3726"/>
      <c r="V213" s="3448"/>
      <c r="W213" s="3449"/>
      <c r="X213" s="3448"/>
      <c r="Y213" s="3450"/>
      <c r="Z213" s="3451"/>
      <c r="AA213" s="2872" t="s">
        <v>63</v>
      </c>
      <c r="AB213" s="3451"/>
      <c r="AC213" s="2872" t="s">
        <v>63</v>
      </c>
      <c r="AD213" s="3448">
        <v>15.36</v>
      </c>
      <c r="AE213" s="3449"/>
      <c r="AF213" s="3448"/>
      <c r="AG213" s="3450"/>
      <c r="AH213" s="3451">
        <v>44197</v>
      </c>
      <c r="AI213" s="2872" t="s">
        <v>63</v>
      </c>
      <c r="AJ213" s="3451">
        <v>44377</v>
      </c>
      <c r="AK213" s="2872" t="s">
        <v>63</v>
      </c>
      <c r="AL213" s="3448">
        <v>18.34</v>
      </c>
      <c r="AM213" s="3449"/>
      <c r="AN213" s="3448"/>
      <c r="AO213" s="3450"/>
      <c r="AP213" s="3451">
        <v>44378</v>
      </c>
      <c r="AQ213" s="2872" t="s">
        <v>63</v>
      </c>
      <c r="AR213" s="3451">
        <v>44561</v>
      </c>
      <c r="AS213" s="2872" t="s">
        <v>63</v>
      </c>
      <c r="AT213" s="3448">
        <v>18.34</v>
      </c>
      <c r="AU213" s="3449"/>
      <c r="AV213" s="3448"/>
      <c r="AW213" s="3450"/>
      <c r="AX213" s="3451">
        <v>44562</v>
      </c>
      <c r="AY213" s="2872" t="s">
        <v>63</v>
      </c>
      <c r="AZ213" s="3451">
        <v>44601</v>
      </c>
      <c r="BA213" s="2872" t="s">
        <v>63</v>
      </c>
      <c r="BB213" s="3448">
        <v>18.34</v>
      </c>
      <c r="BC213" s="3449"/>
      <c r="BD213" s="3448"/>
      <c r="BE213" s="3450"/>
      <c r="BF213" s="3451">
        <v>44602</v>
      </c>
      <c r="BG213" s="2872" t="s">
        <v>63</v>
      </c>
      <c r="BH213" s="3451">
        <v>44742</v>
      </c>
      <c r="BI213" s="2872" t="s">
        <v>63</v>
      </c>
      <c r="BJ213" s="3448">
        <v>20.7</v>
      </c>
      <c r="BK213" s="3449"/>
      <c r="BL213" s="3448"/>
      <c r="BM213" s="3450"/>
      <c r="BN213" s="3451">
        <v>44743</v>
      </c>
      <c r="BO213" s="2872" t="s">
        <v>63</v>
      </c>
      <c r="BP213" s="3451">
        <v>44804</v>
      </c>
      <c r="BQ213" s="2872" t="s">
        <v>63</v>
      </c>
      <c r="BR213" s="3448">
        <v>20.7</v>
      </c>
      <c r="BS213" s="3449"/>
      <c r="BT213" s="3448"/>
      <c r="BU213" s="3450"/>
      <c r="BV213" s="3451">
        <v>44805</v>
      </c>
      <c r="BW213" s="2872" t="s">
        <v>63</v>
      </c>
      <c r="BX213" s="3451">
        <v>44895</v>
      </c>
      <c r="BY213" s="2872" t="s">
        <v>63</v>
      </c>
      <c r="BZ213" s="3448">
        <v>26.75</v>
      </c>
      <c r="CA213" s="3449"/>
      <c r="CB213" s="3448"/>
      <c r="CC213" s="3450"/>
      <c r="CD213" s="3451">
        <v>44896</v>
      </c>
      <c r="CE213" s="2872" t="s">
        <v>63</v>
      </c>
      <c r="CF213" s="3451">
        <v>45174</v>
      </c>
      <c r="CG213" s="2872" t="s">
        <v>63</v>
      </c>
      <c r="CH213" s="3448">
        <v>26.75</v>
      </c>
      <c r="CI213" s="3449"/>
      <c r="CJ213" s="3448"/>
      <c r="CK213" s="3450"/>
      <c r="CL213" s="3451">
        <v>45175</v>
      </c>
      <c r="CM213" s="2872" t="s">
        <v>63</v>
      </c>
      <c r="CN213" s="3451">
        <v>45291</v>
      </c>
      <c r="CO213" s="2872" t="s">
        <v>63</v>
      </c>
      <c r="CP213" s="3449"/>
      <c r="CQ213" s="3744" t="s">
        <v>625</v>
      </c>
      <c r="CR213" s="3581">
        <f>STRCHECKDATE(V214:CP214)</f>
      </c>
      <c r="CS213" s="3728"/>
      <c r="CT213" s="3728" t="str">
        <f>IF(T213="","",T213)</f>
        <v>вода</v>
      </c>
      <c r="CU213" s="3728"/>
      <c r="CV213" s="3728"/>
    </row>
    <row s="6063" customFormat="1" customHeight="1" ht="0.75">
      <c r="A214" s="3716"/>
      <c r="B214" s="3716"/>
      <c r="C214" s="3716"/>
      <c r="D214" s="3716"/>
      <c r="E214" s="3717"/>
      <c r="F214" s="3717" t="s">
        <v>143</v>
      </c>
      <c r="G214" s="3717"/>
      <c r="H214" s="3717"/>
      <c r="I214" s="3739"/>
      <c r="J214" s="3739"/>
      <c r="K214" s="3730"/>
      <c r="L214" s="3719"/>
      <c r="M214" s="3573"/>
      <c r="N214" s="3573"/>
      <c r="O214" s="3573"/>
      <c r="P214" s="3732"/>
      <c r="Q214" s="3732"/>
      <c r="R214" s="3740"/>
      <c r="S214" s="3746"/>
      <c r="T214" s="3726"/>
      <c r="U214" s="3726"/>
      <c r="V214" s="3449"/>
      <c r="W214" s="3449"/>
      <c r="X214" s="3449"/>
      <c r="Y214" s="3452" t="str">
        <f>Z213&amp;"-"&amp;AB213</f>
        <v>-</v>
      </c>
      <c r="Z214" s="3453"/>
      <c r="AA214" s="2872"/>
      <c r="AB214" s="3453"/>
      <c r="AC214" s="2872"/>
      <c r="AD214" s="3449"/>
      <c r="AE214" s="3449"/>
      <c r="AF214" s="3449"/>
      <c r="AG214" s="3452" t="str">
        <f>AH213&amp;"-"&amp;AJ213</f>
        <v>44197-44377</v>
      </c>
      <c r="AH214" s="3453"/>
      <c r="AI214" s="2872"/>
      <c r="AJ214" s="3453"/>
      <c r="AK214" s="2872"/>
      <c r="AL214" s="3449"/>
      <c r="AM214" s="3449"/>
      <c r="AN214" s="3449"/>
      <c r="AO214" s="3452" t="str">
        <f>AP213&amp;"-"&amp;AR213</f>
        <v>44378-44561</v>
      </c>
      <c r="AP214" s="3453"/>
      <c r="AQ214" s="2872"/>
      <c r="AR214" s="3453"/>
      <c r="AS214" s="2872"/>
      <c r="AT214" s="3449"/>
      <c r="AU214" s="3449"/>
      <c r="AV214" s="3449"/>
      <c r="AW214" s="3452" t="str">
        <f>AX213&amp;"-"&amp;AZ213</f>
        <v>44562-44601</v>
      </c>
      <c r="AX214" s="3453"/>
      <c r="AY214" s="2872"/>
      <c r="AZ214" s="3453"/>
      <c r="BA214" s="2872"/>
      <c r="BB214" s="3449"/>
      <c r="BC214" s="3449"/>
      <c r="BD214" s="3449"/>
      <c r="BE214" s="3452" t="str">
        <f>BF213&amp;"-"&amp;BH213</f>
        <v>44602-44742</v>
      </c>
      <c r="BF214" s="3453"/>
      <c r="BG214" s="2872"/>
      <c r="BH214" s="3453"/>
      <c r="BI214" s="2872"/>
      <c r="BJ214" s="3449"/>
      <c r="BK214" s="3449"/>
      <c r="BL214" s="3449"/>
      <c r="BM214" s="3452" t="str">
        <f>BN213&amp;"-"&amp;BP213</f>
        <v>44743-44804</v>
      </c>
      <c r="BN214" s="3453"/>
      <c r="BO214" s="2872"/>
      <c r="BP214" s="3453"/>
      <c r="BQ214" s="2872"/>
      <c r="BR214" s="3449"/>
      <c r="BS214" s="3449"/>
      <c r="BT214" s="3449"/>
      <c r="BU214" s="3452" t="str">
        <f>BV213&amp;"-"&amp;BX213</f>
        <v>44805-44895</v>
      </c>
      <c r="BV214" s="3453"/>
      <c r="BW214" s="2872"/>
      <c r="BX214" s="3453"/>
      <c r="BY214" s="2872"/>
      <c r="BZ214" s="3449"/>
      <c r="CA214" s="3449"/>
      <c r="CB214" s="3449"/>
      <c r="CC214" s="3452" t="str">
        <f>CD213&amp;"-"&amp;CF213</f>
        <v>44896-45174</v>
      </c>
      <c r="CD214" s="3453"/>
      <c r="CE214" s="2872"/>
      <c r="CF214" s="3453"/>
      <c r="CG214" s="2872"/>
      <c r="CH214" s="3449"/>
      <c r="CI214" s="3449"/>
      <c r="CJ214" s="3449"/>
      <c r="CK214" s="3452" t="str">
        <f>CL213&amp;"-"&amp;CN213</f>
        <v>45175-45291</v>
      </c>
      <c r="CL214" s="3453"/>
      <c r="CM214" s="2872"/>
      <c r="CN214" s="3453"/>
      <c r="CO214" s="2872"/>
      <c r="CP214" s="3449"/>
      <c r="CQ214" s="3747"/>
      <c r="CR214" s="3581"/>
      <c r="CS214" s="3728"/>
      <c r="CT214" s="3728" t="str">
        <f>IF(T214="","",T214)</f>
        <v/>
      </c>
      <c r="CU214" s="3728"/>
      <c r="CV214" s="3728"/>
    </row>
    <row s="6064" customFormat="1" customHeight="1" ht="15">
      <c r="A215" s="3716"/>
      <c r="B215" s="3716"/>
      <c r="C215" s="3716"/>
      <c r="D215" s="3716"/>
      <c r="E215" s="3717"/>
      <c r="F215" s="3717" t="s">
        <v>143</v>
      </c>
      <c r="G215" s="3717"/>
      <c r="H215" s="3717"/>
      <c r="I215" s="3739"/>
      <c r="J215" s="3730"/>
      <c r="K215" s="3716"/>
      <c r="L215" s="3719"/>
      <c r="M215" s="3573"/>
      <c r="N215" s="3573"/>
      <c r="O215" s="3731"/>
      <c r="P215" s="3732"/>
      <c r="Q215" s="3732"/>
      <c r="R215" s="3733"/>
      <c r="S215" s="6065"/>
      <c r="T215" s="6066" t="s">
        <v>626</v>
      </c>
      <c r="U215" s="6067"/>
      <c r="V215" s="6068"/>
      <c r="W215" s="6069"/>
      <c r="X215" s="6070"/>
      <c r="Y215" s="6071"/>
      <c r="Z215" s="6072"/>
      <c r="AA215" s="6073"/>
      <c r="AB215" s="6074"/>
      <c r="AC215" s="6075"/>
      <c r="AD215" s="6076"/>
      <c r="AE215" s="6077"/>
      <c r="AF215" s="6078"/>
      <c r="AG215" s="6079"/>
      <c r="AH215" s="6080"/>
      <c r="AI215" s="6081"/>
      <c r="AJ215" s="6082"/>
      <c r="AK215" s="6083"/>
      <c r="AL215" s="6084"/>
      <c r="AM215" s="6085"/>
      <c r="AN215" s="6086"/>
      <c r="AO215" s="6087"/>
      <c r="AP215" s="6088"/>
      <c r="AQ215" s="6089"/>
      <c r="AR215" s="6090"/>
      <c r="AS215" s="6091"/>
      <c r="AT215" s="6092"/>
      <c r="AU215" s="6093"/>
      <c r="AV215" s="6094"/>
      <c r="AW215" s="6095"/>
      <c r="AX215" s="6096"/>
      <c r="AY215" s="6097"/>
      <c r="AZ215" s="6098"/>
      <c r="BA215" s="6099"/>
      <c r="BB215" s="6100"/>
      <c r="BC215" s="6101"/>
      <c r="BD215" s="6102"/>
      <c r="BE215" s="6103"/>
      <c r="BF215" s="6104"/>
      <c r="BG215" s="6105"/>
      <c r="BH215" s="6106"/>
      <c r="BI215" s="6107"/>
      <c r="BJ215" s="6108"/>
      <c r="BK215" s="6109"/>
      <c r="BL215" s="6110"/>
      <c r="BM215" s="6111"/>
      <c r="BN215" s="6112"/>
      <c r="BO215" s="6113"/>
      <c r="BP215" s="6114"/>
      <c r="BQ215" s="6115"/>
      <c r="BR215" s="6116"/>
      <c r="BS215" s="6117"/>
      <c r="BT215" s="6118"/>
      <c r="BU215" s="6119"/>
      <c r="BV215" s="6120"/>
      <c r="BW215" s="6121"/>
      <c r="BX215" s="6122"/>
      <c r="BY215" s="6123"/>
      <c r="BZ215" s="6124"/>
      <c r="CA215" s="6125"/>
      <c r="CB215" s="6126"/>
      <c r="CC215" s="6127"/>
      <c r="CD215" s="6128"/>
      <c r="CE215" s="6129"/>
      <c r="CF215" s="6130"/>
      <c r="CG215" s="6131"/>
      <c r="CH215" s="6132"/>
      <c r="CI215" s="6133"/>
      <c r="CJ215" s="6134"/>
      <c r="CK215" s="6135"/>
      <c r="CL215" s="6136"/>
      <c r="CM215" s="6137"/>
      <c r="CN215" s="6138"/>
      <c r="CO215" s="6139"/>
      <c r="CP215" s="6140"/>
      <c r="CQ215" s="3825"/>
      <c r="CR215" s="3581"/>
      <c r="CS215" s="3728"/>
      <c r="CT215" s="3728" t="str">
        <f>IF(T215="","",T215)</f>
        <v>Добавить вид теплоносителя (параметры теплоносителя)</v>
      </c>
      <c r="CU215" s="3728"/>
      <c r="CV215" s="3728"/>
    </row>
    <row s="6141" customFormat="1" customHeight="1" ht="15">
      <c r="A216" s="3716"/>
      <c r="B216" s="3716"/>
      <c r="C216" s="3716"/>
      <c r="D216" s="3716"/>
      <c r="E216" s="3717"/>
      <c r="F216" s="3717" t="s">
        <v>143</v>
      </c>
      <c r="G216" s="3717"/>
      <c r="H216" s="3717"/>
      <c r="I216" s="3730"/>
      <c r="J216" s="3716"/>
      <c r="K216" s="3716"/>
      <c r="L216" s="3719"/>
      <c r="M216" s="3573"/>
      <c r="N216" s="3731"/>
      <c r="O216" s="3731"/>
      <c r="P216" s="3732"/>
      <c r="Q216" s="3732"/>
      <c r="R216" s="3733"/>
      <c r="S216" s="6142"/>
      <c r="T216" s="6143" t="s">
        <v>627</v>
      </c>
      <c r="U216" s="6144"/>
      <c r="V216" s="6145"/>
      <c r="W216" s="6146"/>
      <c r="X216" s="6147"/>
      <c r="Y216" s="6148"/>
      <c r="Z216" s="6149"/>
      <c r="AA216" s="6150"/>
      <c r="AB216" s="6151"/>
      <c r="AC216" s="6152"/>
      <c r="AD216" s="6153"/>
      <c r="AE216" s="6154"/>
      <c r="AF216" s="6155"/>
      <c r="AG216" s="6156"/>
      <c r="AH216" s="6157"/>
      <c r="AI216" s="6158"/>
      <c r="AJ216" s="6159"/>
      <c r="AK216" s="6160"/>
      <c r="AL216" s="6161"/>
      <c r="AM216" s="6162"/>
      <c r="AN216" s="6163"/>
      <c r="AO216" s="6164"/>
      <c r="AP216" s="6165"/>
      <c r="AQ216" s="6166"/>
      <c r="AR216" s="6167"/>
      <c r="AS216" s="6168"/>
      <c r="AT216" s="6169"/>
      <c r="AU216" s="6170"/>
      <c r="AV216" s="6171"/>
      <c r="AW216" s="6172"/>
      <c r="AX216" s="6173"/>
      <c r="AY216" s="6174"/>
      <c r="AZ216" s="6175"/>
      <c r="BA216" s="6176"/>
      <c r="BB216" s="6177"/>
      <c r="BC216" s="6178"/>
      <c r="BD216" s="6179"/>
      <c r="BE216" s="6180"/>
      <c r="BF216" s="6181"/>
      <c r="BG216" s="6182"/>
      <c r="BH216" s="6183"/>
      <c r="BI216" s="6184"/>
      <c r="BJ216" s="6185"/>
      <c r="BK216" s="6186"/>
      <c r="BL216" s="6187"/>
      <c r="BM216" s="6188"/>
      <c r="BN216" s="6189"/>
      <c r="BO216" s="6190"/>
      <c r="BP216" s="6191"/>
      <c r="BQ216" s="6192"/>
      <c r="BR216" s="6193"/>
      <c r="BS216" s="6194"/>
      <c r="BT216" s="6195"/>
      <c r="BU216" s="6196"/>
      <c r="BV216" s="6197"/>
      <c r="BW216" s="6198"/>
      <c r="BX216" s="6199"/>
      <c r="BY216" s="6200"/>
      <c r="BZ216" s="6201"/>
      <c r="CA216" s="6202"/>
      <c r="CB216" s="6203"/>
      <c r="CC216" s="6204"/>
      <c r="CD216" s="6205"/>
      <c r="CE216" s="6206"/>
      <c r="CF216" s="6207"/>
      <c r="CG216" s="6208"/>
      <c r="CH216" s="6209"/>
      <c r="CI216" s="6210"/>
      <c r="CJ216" s="6211"/>
      <c r="CK216" s="6212"/>
      <c r="CL216" s="6213"/>
      <c r="CM216" s="6214"/>
      <c r="CN216" s="6215"/>
      <c r="CO216" s="6216"/>
      <c r="CP216" s="6217"/>
      <c r="CQ216" s="6218"/>
      <c r="CR216" s="3581"/>
      <c r="CS216" s="3728"/>
      <c r="CT216" s="3728" t="str">
        <f>IF(T216="","",T216)</f>
        <v>Добавить группу потребителей</v>
      </c>
      <c r="CU216" s="3728"/>
      <c r="CV216" s="3728"/>
    </row>
    <row s="6219" customFormat="1" customHeight="1" ht="14.25">
      <c r="A217" s="3716"/>
      <c r="B217" s="3716"/>
      <c r="C217" s="3716"/>
      <c r="D217" s="3716"/>
      <c r="E217" s="3717"/>
      <c r="F217" s="3717" t="s">
        <v>143</v>
      </c>
      <c r="G217" s="3717"/>
      <c r="H217" s="3718"/>
      <c r="I217" s="3716"/>
      <c r="J217" s="3716"/>
      <c r="K217" s="3716"/>
      <c r="L217" s="3719"/>
      <c r="M217" s="3720"/>
      <c r="N217" s="3720"/>
      <c r="O217" s="3573"/>
      <c r="P217" s="3905"/>
      <c r="Q217" s="3906"/>
      <c r="R217" s="3907"/>
      <c r="S217" s="3908"/>
      <c r="T217" s="3909"/>
      <c r="U217" s="3569"/>
      <c r="V217" s="3569"/>
      <c r="W217" s="3569"/>
      <c r="X217" s="3569"/>
      <c r="Y217" s="3569"/>
      <c r="Z217" s="3569"/>
      <c r="AA217" s="3569"/>
      <c r="AB217" s="3569"/>
      <c r="AC217" s="3569"/>
      <c r="AD217" s="3569"/>
      <c r="AE217" s="3569"/>
      <c r="AF217" s="3569"/>
      <c r="AG217" s="3569"/>
      <c r="AH217" s="3569"/>
      <c r="AI217" s="3569"/>
      <c r="AJ217" s="3569"/>
      <c r="AK217" s="3569"/>
      <c r="AL217" s="3569"/>
      <c r="AM217" s="3569"/>
      <c r="AN217" s="3569"/>
      <c r="AO217" s="3569"/>
      <c r="AP217" s="3569"/>
      <c r="AQ217" s="3569"/>
      <c r="AR217" s="3569"/>
      <c r="AS217" s="3569"/>
      <c r="AT217" s="3569"/>
      <c r="AU217" s="3569"/>
      <c r="AV217" s="3569"/>
      <c r="AW217" s="3569"/>
      <c r="AX217" s="3569"/>
      <c r="AY217" s="3569"/>
      <c r="AZ217" s="3569"/>
      <c r="BA217" s="3569"/>
      <c r="BB217" s="3569"/>
      <c r="BC217" s="3569"/>
      <c r="BD217" s="3569"/>
      <c r="BE217" s="3569"/>
      <c r="BF217" s="3569"/>
      <c r="BG217" s="3569"/>
      <c r="BH217" s="3569"/>
      <c r="BI217" s="3569"/>
      <c r="BJ217" s="3569"/>
      <c r="BK217" s="3569"/>
      <c r="BL217" s="3569"/>
      <c r="BM217" s="3569"/>
      <c r="BN217" s="3569"/>
      <c r="BO217" s="3569"/>
      <c r="BP217" s="3569"/>
      <c r="BQ217" s="3569"/>
      <c r="BR217" s="3569"/>
      <c r="BS217" s="3569"/>
      <c r="BT217" s="3569"/>
      <c r="BU217" s="3569"/>
      <c r="BV217" s="3569"/>
      <c r="BW217" s="3569"/>
      <c r="BX217" s="3569"/>
      <c r="BY217" s="3569"/>
      <c r="BZ217" s="3569"/>
      <c r="CA217" s="3569"/>
      <c r="CB217" s="3569"/>
      <c r="CC217" s="3569"/>
      <c r="CD217" s="3569"/>
      <c r="CE217" s="3569"/>
      <c r="CF217" s="3569"/>
      <c r="CG217" s="3569"/>
      <c r="CH217" s="3569"/>
      <c r="CI217" s="3569"/>
      <c r="CJ217" s="3569"/>
      <c r="CK217" s="3569"/>
      <c r="CL217" s="3569"/>
      <c r="CM217" s="3569"/>
      <c r="CN217" s="3569"/>
      <c r="CO217" s="3569"/>
      <c r="CP217" s="3569"/>
      <c r="CQ217" s="3910"/>
      <c r="CR217" s="3581"/>
      <c r="CS217" s="3728"/>
      <c r="CT217" s="3728" t="str">
        <f>IF(T217="","",T217)</f>
        <v/>
      </c>
      <c r="CU217" s="3728"/>
      <c r="CV217" s="3728"/>
    </row>
    <row s="6220" customFormat="1" customHeight="1" ht="0.75">
      <c r="A218" s="4239"/>
      <c r="B218" s="4239"/>
      <c r="C218" s="4239"/>
      <c r="D218" s="4239"/>
      <c r="E218" s="3717"/>
      <c r="F218" s="3717" t="s">
        <v>143</v>
      </c>
      <c r="G218" s="3718"/>
      <c r="H218" s="4239"/>
      <c r="I218" s="4239"/>
      <c r="J218" s="4239"/>
      <c r="K218" s="4239"/>
      <c r="L218" s="4240"/>
      <c r="M218" s="4241"/>
      <c r="N218" s="4241"/>
      <c r="O218" s="3581"/>
      <c r="P218" s="4242"/>
      <c r="Q218" s="4243"/>
      <c r="R218" s="4242"/>
      <c r="S218" s="4244"/>
      <c r="T218" s="4245" t="s">
        <v>254</v>
      </c>
      <c r="U218" s="3571"/>
      <c r="V218" s="3571"/>
      <c r="W218" s="3571"/>
      <c r="X218" s="3571"/>
      <c r="Y218" s="3571"/>
      <c r="Z218" s="3571"/>
      <c r="AA218" s="3571"/>
      <c r="AB218" s="3571"/>
      <c r="AC218" s="3571"/>
      <c r="AD218" s="3571"/>
      <c r="AE218" s="3571"/>
      <c r="AF218" s="3571"/>
      <c r="AG218" s="3571"/>
      <c r="AH218" s="3571"/>
      <c r="AI218" s="3571"/>
      <c r="AJ218" s="3571"/>
      <c r="AK218" s="3571"/>
      <c r="AL218" s="3571"/>
      <c r="AM218" s="3571"/>
      <c r="AN218" s="3571"/>
      <c r="AO218" s="3571"/>
      <c r="AP218" s="3571"/>
      <c r="AQ218" s="3571"/>
      <c r="AR218" s="3571"/>
      <c r="AS218" s="3571"/>
      <c r="AT218" s="3571"/>
      <c r="AU218" s="3571"/>
      <c r="AV218" s="3571"/>
      <c r="AW218" s="3571"/>
      <c r="AX218" s="3571"/>
      <c r="AY218" s="3571"/>
      <c r="AZ218" s="3571"/>
      <c r="BA218" s="3571"/>
      <c r="BB218" s="3571"/>
      <c r="BC218" s="3571"/>
      <c r="BD218" s="3571"/>
      <c r="BE218" s="3571"/>
      <c r="BF218" s="3571"/>
      <c r="BG218" s="3571"/>
      <c r="BH218" s="3571"/>
      <c r="BI218" s="3571"/>
      <c r="BJ218" s="3571"/>
      <c r="BK218" s="3571"/>
      <c r="BL218" s="3571"/>
      <c r="BM218" s="3571"/>
      <c r="BN218" s="3571"/>
      <c r="BO218" s="3571"/>
      <c r="BP218" s="3571"/>
      <c r="BQ218" s="3571"/>
      <c r="BR218" s="3571"/>
      <c r="BS218" s="3571"/>
      <c r="BT218" s="3571"/>
      <c r="BU218" s="3571"/>
      <c r="BV218" s="3571"/>
      <c r="BW218" s="3571"/>
      <c r="BX218" s="3571"/>
      <c r="BY218" s="3571"/>
      <c r="BZ218" s="3571"/>
      <c r="CA218" s="3571"/>
      <c r="CB218" s="3571"/>
      <c r="CC218" s="3571"/>
      <c r="CD218" s="3571"/>
      <c r="CE218" s="3571"/>
      <c r="CF218" s="3571"/>
      <c r="CG218" s="3571"/>
      <c r="CH218" s="3571"/>
      <c r="CI218" s="3571"/>
      <c r="CJ218" s="3571"/>
      <c r="CK218" s="3571"/>
      <c r="CL218" s="3571"/>
      <c r="CM218" s="3571"/>
      <c r="CN218" s="3571"/>
      <c r="CO218" s="3571"/>
      <c r="CP218" s="3571"/>
      <c r="CQ218" s="3571"/>
      <c r="CR218" s="3581"/>
      <c r="CS218" s="3728"/>
      <c r="CT218" s="3728" t="str">
        <f>IF(T218="","",T218)</f>
        <v>Добавить источник для дифференциации</v>
      </c>
      <c r="CU218" s="3728"/>
      <c r="CV218" s="3728"/>
    </row>
    <row s="6221" customFormat="1" customHeight="1" ht="0.75">
      <c r="A219" s="4239"/>
      <c r="B219" s="4239"/>
      <c r="C219" s="4239"/>
      <c r="D219" s="4239"/>
      <c r="E219" s="3717"/>
      <c r="F219" s="3718" t="s">
        <v>143</v>
      </c>
      <c r="G219" s="4239"/>
      <c r="H219" s="4239"/>
      <c r="I219" s="4239"/>
      <c r="J219" s="4239"/>
      <c r="K219" s="4239"/>
      <c r="L219" s="4240"/>
      <c r="M219" s="4247"/>
      <c r="N219" s="4247"/>
      <c r="O219" s="3581"/>
      <c r="P219" s="4242"/>
      <c r="Q219" s="4243"/>
      <c r="R219" s="4242"/>
      <c r="S219" s="4248"/>
      <c r="T219" s="4249" t="s">
        <v>255</v>
      </c>
      <c r="U219" s="3572"/>
      <c r="V219" s="3572"/>
      <c r="W219" s="3572"/>
      <c r="X219" s="3572"/>
      <c r="Y219" s="3572"/>
      <c r="Z219" s="3572"/>
      <c r="AA219" s="3572"/>
      <c r="AB219" s="3572"/>
      <c r="AC219" s="3572"/>
      <c r="AD219" s="3572"/>
      <c r="AE219" s="3572"/>
      <c r="AF219" s="3572"/>
      <c r="AG219" s="3572"/>
      <c r="AH219" s="3572"/>
      <c r="AI219" s="3572"/>
      <c r="AJ219" s="3572"/>
      <c r="AK219" s="3572"/>
      <c r="AL219" s="3572"/>
      <c r="AM219" s="3572"/>
      <c r="AN219" s="3572"/>
      <c r="AO219" s="3572"/>
      <c r="AP219" s="3572"/>
      <c r="AQ219" s="3572"/>
      <c r="AR219" s="3572"/>
      <c r="AS219" s="3572"/>
      <c r="AT219" s="3572"/>
      <c r="AU219" s="3572"/>
      <c r="AV219" s="3572"/>
      <c r="AW219" s="3572"/>
      <c r="AX219" s="3572"/>
      <c r="AY219" s="3572"/>
      <c r="AZ219" s="3572"/>
      <c r="BA219" s="3572"/>
      <c r="BB219" s="3572"/>
      <c r="BC219" s="3572"/>
      <c r="BD219" s="3572"/>
      <c r="BE219" s="3572"/>
      <c r="BF219" s="3572"/>
      <c r="BG219" s="3572"/>
      <c r="BH219" s="3572"/>
      <c r="BI219" s="3572"/>
      <c r="BJ219" s="3572"/>
      <c r="BK219" s="3572"/>
      <c r="BL219" s="3572"/>
      <c r="BM219" s="3572"/>
      <c r="BN219" s="3572"/>
      <c r="BO219" s="3572"/>
      <c r="BP219" s="3572"/>
      <c r="BQ219" s="3572"/>
      <c r="BR219" s="3572"/>
      <c r="BS219" s="3572"/>
      <c r="BT219" s="3572"/>
      <c r="BU219" s="3572"/>
      <c r="BV219" s="3572"/>
      <c r="BW219" s="3572"/>
      <c r="BX219" s="3572"/>
      <c r="BY219" s="3572"/>
      <c r="BZ219" s="3572"/>
      <c r="CA219" s="3572"/>
      <c r="CB219" s="3572"/>
      <c r="CC219" s="3572"/>
      <c r="CD219" s="3572"/>
      <c r="CE219" s="3572"/>
      <c r="CF219" s="3572"/>
      <c r="CG219" s="3572"/>
      <c r="CH219" s="3572"/>
      <c r="CI219" s="3572"/>
      <c r="CJ219" s="3572"/>
      <c r="CK219" s="3572"/>
      <c r="CL219" s="3572"/>
      <c r="CM219" s="3572"/>
      <c r="CN219" s="3572"/>
      <c r="CO219" s="3572"/>
      <c r="CP219" s="3572"/>
      <c r="CQ219" s="3572"/>
      <c r="CR219" s="3581"/>
      <c r="CS219" s="3728"/>
      <c r="CT219" s="3728" t="str">
        <f>IF(T219="","",T219)</f>
        <v>Добавить централизованную систему для дифференциации</v>
      </c>
      <c r="CU219" s="3728"/>
      <c r="CV219" s="3728"/>
    </row>
    <row s="6222" customFormat="1" customHeight="1" ht="21">
      <c r="A220" s="3716"/>
      <c r="B220" s="3716" t="s">
        <v>298</v>
      </c>
      <c r="C220" s="3716"/>
      <c r="D220" s="3716"/>
      <c r="E220" s="3717"/>
      <c r="F220" s="3718" t="s">
        <v>152</v>
      </c>
      <c r="G220" s="3716"/>
      <c r="H220" s="3716"/>
      <c r="I220" s="3716"/>
      <c r="J220" s="3716"/>
      <c r="K220" s="3716"/>
      <c r="L220" s="3719"/>
      <c r="M220" s="3720"/>
      <c r="N220" s="3720"/>
      <c r="O220" s="3720"/>
      <c r="P220" s="4073"/>
      <c r="Q220" s="3722"/>
      <c r="R220" s="3723"/>
      <c r="S220" s="3724" t="str">
        <f>INDEX(PT_DIFFERENTIATION_NUM_TER,MATCH(B220,PT_DIFFERENTIATION_TER_ID,0))</f>
        <v>1.13</v>
      </c>
      <c r="T220" s="4074" t="s">
        <v>612</v>
      </c>
      <c r="U220" s="3726"/>
      <c r="V220" s="3432"/>
      <c r="W220" s="3433"/>
      <c r="X220" s="3433"/>
      <c r="Y220" s="3433"/>
      <c r="Z220" s="3433"/>
      <c r="AA220" s="3433"/>
      <c r="AB220" s="3433"/>
      <c r="AC220" s="3434"/>
      <c r="AD220" s="3432" t="str">
        <f>INDEX(PT_DIFFERENTIATION_TER,MATCH(B220,PT_DIFFERENTIATION_TER_ID,0))</f>
        <v>Территория 13</v>
      </c>
      <c r="AE220" s="3433"/>
      <c r="AF220" s="3433"/>
      <c r="AG220" s="3433"/>
      <c r="AH220" s="3433"/>
      <c r="AI220" s="3433"/>
      <c r="AJ220" s="3433"/>
      <c r="AK220" s="3433"/>
      <c r="AL220" s="3432"/>
      <c r="AM220" s="3433"/>
      <c r="AN220" s="3433"/>
      <c r="AO220" s="3433"/>
      <c r="AP220" s="3433"/>
      <c r="AQ220" s="3433"/>
      <c r="AR220" s="3433"/>
      <c r="AS220" s="3434"/>
      <c r="AT220" s="3432"/>
      <c r="AU220" s="3433"/>
      <c r="AV220" s="3433"/>
      <c r="AW220" s="3433"/>
      <c r="AX220" s="3433"/>
      <c r="AY220" s="3433"/>
      <c r="AZ220" s="3433"/>
      <c r="BA220" s="3434"/>
      <c r="BB220" s="3432"/>
      <c r="BC220" s="3433"/>
      <c r="BD220" s="3433"/>
      <c r="BE220" s="3433"/>
      <c r="BF220" s="3433"/>
      <c r="BG220" s="3433"/>
      <c r="BH220" s="3433"/>
      <c r="BI220" s="3434"/>
      <c r="BJ220" s="3432"/>
      <c r="BK220" s="3433"/>
      <c r="BL220" s="3433"/>
      <c r="BM220" s="3433"/>
      <c r="BN220" s="3433"/>
      <c r="BO220" s="3433"/>
      <c r="BP220" s="3433"/>
      <c r="BQ220" s="3434"/>
      <c r="BR220" s="3432"/>
      <c r="BS220" s="3433"/>
      <c r="BT220" s="3433"/>
      <c r="BU220" s="3433"/>
      <c r="BV220" s="3433"/>
      <c r="BW220" s="3433"/>
      <c r="BX220" s="3433"/>
      <c r="BY220" s="3434"/>
      <c r="BZ220" s="3432"/>
      <c r="CA220" s="3433"/>
      <c r="CB220" s="3433"/>
      <c r="CC220" s="3433"/>
      <c r="CD220" s="3433"/>
      <c r="CE220" s="3433"/>
      <c r="CF220" s="3433"/>
      <c r="CG220" s="3434"/>
      <c r="CH220" s="3432"/>
      <c r="CI220" s="3433"/>
      <c r="CJ220" s="3433"/>
      <c r="CK220" s="3433"/>
      <c r="CL220" s="3433"/>
      <c r="CM220" s="3433"/>
      <c r="CN220" s="3433"/>
      <c r="CO220" s="3434"/>
      <c r="CP220" s="3434"/>
      <c r="CQ220" s="3727" t="s">
        <v>613</v>
      </c>
      <c r="CR220" s="3581"/>
      <c r="CS220" s="3728"/>
      <c r="CT220" s="3728" t="str">
        <f>IF(T220="","",T220)</f>
        <v>Территория действия тарифа</v>
      </c>
      <c r="CU220" s="3728"/>
      <c r="CV220" s="3728"/>
    </row>
    <row s="6223" customFormat="1" customHeight="1" ht="23.25">
      <c r="A221" s="3716"/>
      <c r="B221" s="3716"/>
      <c r="C221" s="3716" t="s">
        <v>299</v>
      </c>
      <c r="D221" s="3716"/>
      <c r="E221" s="3717"/>
      <c r="F221" s="3717" t="s">
        <v>148</v>
      </c>
      <c r="G221" s="3718">
        <v>1</v>
      </c>
      <c r="H221" s="3716"/>
      <c r="I221" s="3716"/>
      <c r="J221" s="3716"/>
      <c r="K221" s="3716"/>
      <c r="L221" s="3719"/>
      <c r="M221" s="3720"/>
      <c r="N221" s="3720"/>
      <c r="O221" s="3720"/>
      <c r="P221" s="3721"/>
      <c r="Q221" s="3722"/>
      <c r="R221" s="3723"/>
      <c r="S221" s="3724" t="str">
        <f>INDEX(PT_DIFFERENTIATION_NUM_CS,MATCH(C221,PT_DIFFERENTIATION_CS_ID,0))</f>
        <v>1.13.1</v>
      </c>
      <c r="T221" s="4076" t="s">
        <v>614</v>
      </c>
      <c r="U221" s="3726"/>
      <c r="V221" s="3432"/>
      <c r="W221" s="3433"/>
      <c r="X221" s="3433"/>
      <c r="Y221" s="3433"/>
      <c r="Z221" s="3433"/>
      <c r="AA221" s="3433"/>
      <c r="AB221" s="3433"/>
      <c r="AC221" s="3434"/>
      <c r="AD221" s="3432" t="str">
        <f>INDEX(PT_DIFFERENTIATION_CS,MATCH(C221,PT_DIFFERENTIATION_CS_ID,0))</f>
        <v>без дифференциации</v>
      </c>
      <c r="AE221" s="3433"/>
      <c r="AF221" s="3433"/>
      <c r="AG221" s="3433"/>
      <c r="AH221" s="3433"/>
      <c r="AI221" s="3433"/>
      <c r="AJ221" s="3433"/>
      <c r="AK221" s="3433"/>
      <c r="AL221" s="3432"/>
      <c r="AM221" s="3433"/>
      <c r="AN221" s="3433"/>
      <c r="AO221" s="3433"/>
      <c r="AP221" s="3433"/>
      <c r="AQ221" s="3433"/>
      <c r="AR221" s="3433"/>
      <c r="AS221" s="3434"/>
      <c r="AT221" s="3432"/>
      <c r="AU221" s="3433"/>
      <c r="AV221" s="3433"/>
      <c r="AW221" s="3433"/>
      <c r="AX221" s="3433"/>
      <c r="AY221" s="3433"/>
      <c r="AZ221" s="3433"/>
      <c r="BA221" s="3434"/>
      <c r="BB221" s="3432"/>
      <c r="BC221" s="3433"/>
      <c r="BD221" s="3433"/>
      <c r="BE221" s="3433"/>
      <c r="BF221" s="3433"/>
      <c r="BG221" s="3433"/>
      <c r="BH221" s="3433"/>
      <c r="BI221" s="3434"/>
      <c r="BJ221" s="3432"/>
      <c r="BK221" s="3433"/>
      <c r="BL221" s="3433"/>
      <c r="BM221" s="3433"/>
      <c r="BN221" s="3433"/>
      <c r="BO221" s="3433"/>
      <c r="BP221" s="3433"/>
      <c r="BQ221" s="3434"/>
      <c r="BR221" s="3432"/>
      <c r="BS221" s="3433"/>
      <c r="BT221" s="3433"/>
      <c r="BU221" s="3433"/>
      <c r="BV221" s="3433"/>
      <c r="BW221" s="3433"/>
      <c r="BX221" s="3433"/>
      <c r="BY221" s="3434"/>
      <c r="BZ221" s="3432"/>
      <c r="CA221" s="3433"/>
      <c r="CB221" s="3433"/>
      <c r="CC221" s="3433"/>
      <c r="CD221" s="3433"/>
      <c r="CE221" s="3433"/>
      <c r="CF221" s="3433"/>
      <c r="CG221" s="3434"/>
      <c r="CH221" s="3432"/>
      <c r="CI221" s="3433"/>
      <c r="CJ221" s="3433"/>
      <c r="CK221" s="3433"/>
      <c r="CL221" s="3433"/>
      <c r="CM221" s="3433"/>
      <c r="CN221" s="3433"/>
      <c r="CO221" s="3434"/>
      <c r="CP221" s="3434"/>
      <c r="CQ221" s="3727" t="s">
        <v>615</v>
      </c>
      <c r="CR221" s="3581"/>
      <c r="CS221" s="3728"/>
      <c r="CT221" s="3728" t="str">
        <f>IF(T221="","",T221)</f>
        <v>Наименование системы теплоснабжения </v>
      </c>
      <c r="CU221" s="3728"/>
      <c r="CV221" s="3728"/>
    </row>
    <row s="6224" customFormat="1" customHeight="1" ht="21">
      <c r="A222" s="3716"/>
      <c r="B222" s="3716"/>
      <c r="C222" s="3716"/>
      <c r="D222" s="3716" t="s">
        <v>300</v>
      </c>
      <c r="E222" s="3717"/>
      <c r="F222" s="3717" t="s">
        <v>148</v>
      </c>
      <c r="G222" s="3717"/>
      <c r="H222" s="3718">
        <v>1</v>
      </c>
      <c r="I222" s="3716"/>
      <c r="J222" s="3716"/>
      <c r="K222" s="3716"/>
      <c r="L222" s="3719"/>
      <c r="M222" s="3720"/>
      <c r="N222" s="3720"/>
      <c r="O222" s="3720"/>
      <c r="P222" s="3721"/>
      <c r="Q222" s="3722"/>
      <c r="R222" s="3723"/>
      <c r="S222" s="3724" t="str">
        <f>INDEX(PT_DIFFERENTIATION_NUM_IST_TE,MATCH(D222,PT_DIFFERENTIATION_IST_TE_ID,0))</f>
        <v>1.13.1.1</v>
      </c>
      <c r="T222" s="3725" t="s">
        <v>616</v>
      </c>
      <c r="U222" s="3726"/>
      <c r="V222" s="3432"/>
      <c r="W222" s="3433"/>
      <c r="X222" s="3433"/>
      <c r="Y222" s="3433"/>
      <c r="Z222" s="3433"/>
      <c r="AA222" s="3433"/>
      <c r="AB222" s="3433"/>
      <c r="AC222" s="3434"/>
      <c r="AD222" s="3432" t="str">
        <f>INDEX(PT_DIFFERENTIATION_IST_TE,MATCH(D222,PT_DIFFERENTIATION_IST_TE_ID,0))</f>
        <v>город Кандалакша</v>
      </c>
      <c r="AE222" s="3433"/>
      <c r="AF222" s="3433"/>
      <c r="AG222" s="3433"/>
      <c r="AH222" s="3433"/>
      <c r="AI222" s="3433"/>
      <c r="AJ222" s="3433"/>
      <c r="AK222" s="3433"/>
      <c r="AL222" s="3432"/>
      <c r="AM222" s="3433"/>
      <c r="AN222" s="3433"/>
      <c r="AO222" s="3433"/>
      <c r="AP222" s="3433"/>
      <c r="AQ222" s="3433"/>
      <c r="AR222" s="3433"/>
      <c r="AS222" s="3434"/>
      <c r="AT222" s="3432"/>
      <c r="AU222" s="3433"/>
      <c r="AV222" s="3433"/>
      <c r="AW222" s="3433"/>
      <c r="AX222" s="3433"/>
      <c r="AY222" s="3433"/>
      <c r="AZ222" s="3433"/>
      <c r="BA222" s="3434"/>
      <c r="BB222" s="3432"/>
      <c r="BC222" s="3433"/>
      <c r="BD222" s="3433"/>
      <c r="BE222" s="3433"/>
      <c r="BF222" s="3433"/>
      <c r="BG222" s="3433"/>
      <c r="BH222" s="3433"/>
      <c r="BI222" s="3434"/>
      <c r="BJ222" s="3432"/>
      <c r="BK222" s="3433"/>
      <c r="BL222" s="3433"/>
      <c r="BM222" s="3433"/>
      <c r="BN222" s="3433"/>
      <c r="BO222" s="3433"/>
      <c r="BP222" s="3433"/>
      <c r="BQ222" s="3434"/>
      <c r="BR222" s="3432"/>
      <c r="BS222" s="3433"/>
      <c r="BT222" s="3433"/>
      <c r="BU222" s="3433"/>
      <c r="BV222" s="3433"/>
      <c r="BW222" s="3433"/>
      <c r="BX222" s="3433"/>
      <c r="BY222" s="3434"/>
      <c r="BZ222" s="3432"/>
      <c r="CA222" s="3433"/>
      <c r="CB222" s="3433"/>
      <c r="CC222" s="3433"/>
      <c r="CD222" s="3433"/>
      <c r="CE222" s="3433"/>
      <c r="CF222" s="3433"/>
      <c r="CG222" s="3434"/>
      <c r="CH222" s="3432"/>
      <c r="CI222" s="3433"/>
      <c r="CJ222" s="3433"/>
      <c r="CK222" s="3433"/>
      <c r="CL222" s="3433"/>
      <c r="CM222" s="3433"/>
      <c r="CN222" s="3433"/>
      <c r="CO222" s="3434"/>
      <c r="CP222" s="3434"/>
      <c r="CQ222" s="3727" t="s">
        <v>617</v>
      </c>
      <c r="CR222" s="3581"/>
      <c r="CS222" s="3728"/>
      <c r="CT222" s="3728" t="str">
        <f>IF(T222="","",T222)</f>
        <v>Источник тепловой энергии  </v>
      </c>
      <c r="CU222" s="3728"/>
      <c r="CV222" s="3728"/>
    </row>
    <row s="6225" customFormat="1" customHeight="1" ht="14.25">
      <c r="A223" s="3716"/>
      <c r="B223" s="3716"/>
      <c r="C223" s="3716"/>
      <c r="D223" s="3716"/>
      <c r="E223" s="3717"/>
      <c r="F223" s="3717" t="s">
        <v>148</v>
      </c>
      <c r="G223" s="3717"/>
      <c r="H223" s="3717"/>
      <c r="I223" s="3730" t="str">
        <f>S222&amp;".1"</f>
        <v>1.13.1.1.1</v>
      </c>
      <c r="J223" s="3716"/>
      <c r="K223" s="3716"/>
      <c r="L223" s="3719" t="s">
        <v>618</v>
      </c>
      <c r="M223" s="3573"/>
      <c r="N223" s="3731"/>
      <c r="O223" s="3731"/>
      <c r="P223" s="3732">
        <v>1</v>
      </c>
      <c r="Q223" s="3732"/>
      <c r="R223" s="3733"/>
      <c r="S223" s="3734"/>
      <c r="T223" s="3735"/>
      <c r="U223" s="3736"/>
      <c r="V223" s="3441"/>
      <c r="W223" s="3442"/>
      <c r="X223" s="3442"/>
      <c r="Y223" s="3442"/>
      <c r="Z223" s="3442"/>
      <c r="AA223" s="3442"/>
      <c r="AB223" s="3442"/>
      <c r="AC223" s="3443"/>
      <c r="AD223" s="3441"/>
      <c r="AE223" s="3442"/>
      <c r="AF223" s="3442"/>
      <c r="AG223" s="3442"/>
      <c r="AH223" s="3442"/>
      <c r="AI223" s="3442"/>
      <c r="AJ223" s="3442"/>
      <c r="AK223" s="3442"/>
      <c r="AL223" s="3441"/>
      <c r="AM223" s="3442"/>
      <c r="AN223" s="3442"/>
      <c r="AO223" s="3442"/>
      <c r="AP223" s="3442"/>
      <c r="AQ223" s="3442"/>
      <c r="AR223" s="3442"/>
      <c r="AS223" s="3443"/>
      <c r="AT223" s="3441"/>
      <c r="AU223" s="3442"/>
      <c r="AV223" s="3442"/>
      <c r="AW223" s="3442"/>
      <c r="AX223" s="3442"/>
      <c r="AY223" s="3442"/>
      <c r="AZ223" s="3442"/>
      <c r="BA223" s="3443"/>
      <c r="BB223" s="3441"/>
      <c r="BC223" s="3442"/>
      <c r="BD223" s="3442"/>
      <c r="BE223" s="3442"/>
      <c r="BF223" s="3442"/>
      <c r="BG223" s="3442"/>
      <c r="BH223" s="3442"/>
      <c r="BI223" s="3443"/>
      <c r="BJ223" s="3441"/>
      <c r="BK223" s="3442"/>
      <c r="BL223" s="3442"/>
      <c r="BM223" s="3442"/>
      <c r="BN223" s="3442"/>
      <c r="BO223" s="3442"/>
      <c r="BP223" s="3442"/>
      <c r="BQ223" s="3443"/>
      <c r="BR223" s="3441"/>
      <c r="BS223" s="3442"/>
      <c r="BT223" s="3442"/>
      <c r="BU223" s="3442"/>
      <c r="BV223" s="3442"/>
      <c r="BW223" s="3442"/>
      <c r="BX223" s="3442"/>
      <c r="BY223" s="3443"/>
      <c r="BZ223" s="3441"/>
      <c r="CA223" s="3442"/>
      <c r="CB223" s="3442"/>
      <c r="CC223" s="3442"/>
      <c r="CD223" s="3442"/>
      <c r="CE223" s="3442"/>
      <c r="CF223" s="3442"/>
      <c r="CG223" s="3443"/>
      <c r="CH223" s="3441"/>
      <c r="CI223" s="3442"/>
      <c r="CJ223" s="3442"/>
      <c r="CK223" s="3442"/>
      <c r="CL223" s="3442"/>
      <c r="CM223" s="3442"/>
      <c r="CN223" s="3442"/>
      <c r="CO223" s="3443"/>
      <c r="CP223" s="3443"/>
      <c r="CQ223" s="3737"/>
      <c r="CR223" s="3581"/>
      <c r="CS223" s="3728"/>
      <c r="CT223" s="3728" t="str">
        <f>IF(T223="","",T223)</f>
        <v/>
      </c>
      <c r="CU223" s="3728"/>
      <c r="CV223" s="3728"/>
    </row>
    <row s="6226" customFormat="1" customHeight="1" ht="21">
      <c r="A224" s="3716"/>
      <c r="B224" s="3716"/>
      <c r="C224" s="3716"/>
      <c r="D224" s="3716"/>
      <c r="E224" s="3717"/>
      <c r="F224" s="3717" t="s">
        <v>148</v>
      </c>
      <c r="G224" s="3717"/>
      <c r="H224" s="3717"/>
      <c r="I224" s="3739"/>
      <c r="J224" s="3730" t="str">
        <f>I223&amp;".1"</f>
        <v>1.13.1.1.1.1</v>
      </c>
      <c r="K224" s="3716"/>
      <c r="L224" s="3719" t="s">
        <v>621</v>
      </c>
      <c r="M224" s="3573"/>
      <c r="N224" s="3573"/>
      <c r="O224" s="3731"/>
      <c r="P224" s="3732"/>
      <c r="Q224" s="3732">
        <v>1</v>
      </c>
      <c r="R224" s="3740"/>
      <c r="S224" s="3724" t="str">
        <f>$J224</f>
        <v>1.13.1.1.1.1</v>
      </c>
      <c r="T224" s="3741" t="s">
        <v>622</v>
      </c>
      <c r="U224" s="3726"/>
      <c r="V224" s="3445"/>
      <c r="W224" s="3446"/>
      <c r="X224" s="3446"/>
      <c r="Y224" s="3446"/>
      <c r="Z224" s="3446"/>
      <c r="AA224" s="3446"/>
      <c r="AB224" s="3446"/>
      <c r="AC224" s="3447"/>
      <c r="AD224" s="3445" t="s">
        <v>662</v>
      </c>
      <c r="AE224" s="3446"/>
      <c r="AF224" s="3446"/>
      <c r="AG224" s="3446"/>
      <c r="AH224" s="3446"/>
      <c r="AI224" s="3446"/>
      <c r="AJ224" s="3446"/>
      <c r="AK224" s="3446"/>
      <c r="AL224" s="3445"/>
      <c r="AM224" s="3446"/>
      <c r="AN224" s="3446"/>
      <c r="AO224" s="3446"/>
      <c r="AP224" s="3446"/>
      <c r="AQ224" s="3446"/>
      <c r="AR224" s="3446"/>
      <c r="AS224" s="3447"/>
      <c r="AT224" s="3445"/>
      <c r="AU224" s="3446"/>
      <c r="AV224" s="3446"/>
      <c r="AW224" s="3446"/>
      <c r="AX224" s="3446"/>
      <c r="AY224" s="3446"/>
      <c r="AZ224" s="3446"/>
      <c r="BA224" s="3447"/>
      <c r="BB224" s="3445"/>
      <c r="BC224" s="3446"/>
      <c r="BD224" s="3446"/>
      <c r="BE224" s="3446"/>
      <c r="BF224" s="3446"/>
      <c r="BG224" s="3446"/>
      <c r="BH224" s="3446"/>
      <c r="BI224" s="3447"/>
      <c r="BJ224" s="3445"/>
      <c r="BK224" s="3446"/>
      <c r="BL224" s="3446"/>
      <c r="BM224" s="3446"/>
      <c r="BN224" s="3446"/>
      <c r="BO224" s="3446"/>
      <c r="BP224" s="3446"/>
      <c r="BQ224" s="3447"/>
      <c r="BR224" s="3445"/>
      <c r="BS224" s="3446"/>
      <c r="BT224" s="3446"/>
      <c r="BU224" s="3446"/>
      <c r="BV224" s="3446"/>
      <c r="BW224" s="3446"/>
      <c r="BX224" s="3446"/>
      <c r="BY224" s="3447"/>
      <c r="BZ224" s="3445"/>
      <c r="CA224" s="3446"/>
      <c r="CB224" s="3446"/>
      <c r="CC224" s="3446"/>
      <c r="CD224" s="3446"/>
      <c r="CE224" s="3446"/>
      <c r="CF224" s="3446"/>
      <c r="CG224" s="3447"/>
      <c r="CH224" s="3445"/>
      <c r="CI224" s="3446"/>
      <c r="CJ224" s="3446"/>
      <c r="CK224" s="3446"/>
      <c r="CL224" s="3446"/>
      <c r="CM224" s="3446"/>
      <c r="CN224" s="3446"/>
      <c r="CO224" s="3447"/>
      <c r="CP224" s="3447"/>
      <c r="CQ224" s="3727" t="s">
        <v>623</v>
      </c>
      <c r="CR224" s="3581"/>
      <c r="CS224" s="3728"/>
      <c r="CT224" s="3728" t="str">
        <f>IF(T224="","",T224)</f>
        <v>Группа потребителей</v>
      </c>
      <c r="CU224" s="3728"/>
      <c r="CV224" s="3728"/>
    </row>
    <row s="6227" customFormat="1" customHeight="1" ht="21">
      <c r="A225" s="3716"/>
      <c r="B225" s="3716"/>
      <c r="C225" s="3716"/>
      <c r="D225" s="3716"/>
      <c r="E225" s="3717"/>
      <c r="F225" s="3717" t="s">
        <v>148</v>
      </c>
      <c r="G225" s="3717"/>
      <c r="H225" s="3717"/>
      <c r="I225" s="3739"/>
      <c r="J225" s="3739"/>
      <c r="K225" s="3730" t="str">
        <f>J224&amp;".1"</f>
        <v>1.13.1.1.1.1.1</v>
      </c>
      <c r="L225" s="3719" t="s">
        <v>624</v>
      </c>
      <c r="M225" s="3573"/>
      <c r="N225" s="3573"/>
      <c r="O225" s="3573"/>
      <c r="P225" s="3732"/>
      <c r="Q225" s="3732"/>
      <c r="R225" s="3740">
        <v>1</v>
      </c>
      <c r="S225" s="3724" t="str">
        <f>$K225</f>
        <v>1.13.1.1.1.1.1</v>
      </c>
      <c r="T225" s="3743" t="s">
        <v>663</v>
      </c>
      <c r="U225" s="3726"/>
      <c r="V225" s="3448"/>
      <c r="W225" s="3449"/>
      <c r="X225" s="3448"/>
      <c r="Y225" s="3450"/>
      <c r="Z225" s="3451"/>
      <c r="AA225" s="2872" t="s">
        <v>63</v>
      </c>
      <c r="AB225" s="3451"/>
      <c r="AC225" s="2872" t="s">
        <v>63</v>
      </c>
      <c r="AD225" s="3448">
        <v>36.17</v>
      </c>
      <c r="AE225" s="3449"/>
      <c r="AF225" s="3448"/>
      <c r="AG225" s="3450"/>
      <c r="AH225" s="3451">
        <v>44197</v>
      </c>
      <c r="AI225" s="2872" t="s">
        <v>63</v>
      </c>
      <c r="AJ225" s="3451">
        <v>44377</v>
      </c>
      <c r="AK225" s="2872" t="s">
        <v>63</v>
      </c>
      <c r="AL225" s="3448">
        <v>45.25</v>
      </c>
      <c r="AM225" s="3449"/>
      <c r="AN225" s="3448"/>
      <c r="AO225" s="3450"/>
      <c r="AP225" s="3451">
        <v>44378</v>
      </c>
      <c r="AQ225" s="2872" t="s">
        <v>63</v>
      </c>
      <c r="AR225" s="3451">
        <v>44561</v>
      </c>
      <c r="AS225" s="2872" t="s">
        <v>63</v>
      </c>
      <c r="AT225" s="3448">
        <v>45.25</v>
      </c>
      <c r="AU225" s="3449"/>
      <c r="AV225" s="3448"/>
      <c r="AW225" s="3450"/>
      <c r="AX225" s="3451">
        <v>44562</v>
      </c>
      <c r="AY225" s="2872" t="s">
        <v>63</v>
      </c>
      <c r="AZ225" s="3451">
        <v>44601</v>
      </c>
      <c r="BA225" s="2872" t="s">
        <v>63</v>
      </c>
      <c r="BB225" s="3448">
        <v>45.25</v>
      </c>
      <c r="BC225" s="3449"/>
      <c r="BD225" s="3448"/>
      <c r="BE225" s="3450"/>
      <c r="BF225" s="3451">
        <v>44602</v>
      </c>
      <c r="BG225" s="2872" t="s">
        <v>63</v>
      </c>
      <c r="BH225" s="3451">
        <v>44742</v>
      </c>
      <c r="BI225" s="2872" t="s">
        <v>63</v>
      </c>
      <c r="BJ225" s="3448">
        <v>46.44</v>
      </c>
      <c r="BK225" s="3449"/>
      <c r="BL225" s="3448"/>
      <c r="BM225" s="3450"/>
      <c r="BN225" s="3451">
        <v>44743</v>
      </c>
      <c r="BO225" s="2872" t="s">
        <v>63</v>
      </c>
      <c r="BP225" s="3451">
        <v>44804</v>
      </c>
      <c r="BQ225" s="2872" t="s">
        <v>63</v>
      </c>
      <c r="BR225" s="3448">
        <v>46.44</v>
      </c>
      <c r="BS225" s="3449"/>
      <c r="BT225" s="3448"/>
      <c r="BU225" s="3450"/>
      <c r="BV225" s="3451">
        <v>44805</v>
      </c>
      <c r="BW225" s="2872" t="s">
        <v>63</v>
      </c>
      <c r="BX225" s="3451">
        <v>44895</v>
      </c>
      <c r="BY225" s="2872" t="s">
        <v>63</v>
      </c>
      <c r="BZ225" s="3448">
        <v>51.67</v>
      </c>
      <c r="CA225" s="3449"/>
      <c r="CB225" s="3448"/>
      <c r="CC225" s="3450"/>
      <c r="CD225" s="3451">
        <v>44896</v>
      </c>
      <c r="CE225" s="2872" t="s">
        <v>63</v>
      </c>
      <c r="CF225" s="3451">
        <v>45174</v>
      </c>
      <c r="CG225" s="2872" t="s">
        <v>63</v>
      </c>
      <c r="CH225" s="3448">
        <v>43.01</v>
      </c>
      <c r="CI225" s="3449"/>
      <c r="CJ225" s="3448"/>
      <c r="CK225" s="3450"/>
      <c r="CL225" s="3451">
        <v>45175</v>
      </c>
      <c r="CM225" s="2872" t="s">
        <v>63</v>
      </c>
      <c r="CN225" s="3451">
        <v>45291</v>
      </c>
      <c r="CO225" s="2872" t="s">
        <v>63</v>
      </c>
      <c r="CP225" s="3449"/>
      <c r="CQ225" s="3744" t="s">
        <v>625</v>
      </c>
      <c r="CR225" s="3581">
        <f>STRCHECKDATE(V226:CP226)</f>
      </c>
      <c r="CS225" s="3728"/>
      <c r="CT225" s="3728" t="str">
        <f>IF(T225="","",T225)</f>
        <v>вода</v>
      </c>
      <c r="CU225" s="3728"/>
      <c r="CV225" s="3728"/>
    </row>
    <row s="6228" customFormat="1" customHeight="1" ht="0.75">
      <c r="A226" s="3716"/>
      <c r="B226" s="3716"/>
      <c r="C226" s="3716"/>
      <c r="D226" s="3716"/>
      <c r="E226" s="3717"/>
      <c r="F226" s="3717" t="s">
        <v>148</v>
      </c>
      <c r="G226" s="3717"/>
      <c r="H226" s="3717"/>
      <c r="I226" s="3739"/>
      <c r="J226" s="3739"/>
      <c r="K226" s="3730"/>
      <c r="L226" s="3719"/>
      <c r="M226" s="3573"/>
      <c r="N226" s="3573"/>
      <c r="O226" s="3573"/>
      <c r="P226" s="3732"/>
      <c r="Q226" s="3732"/>
      <c r="R226" s="3740"/>
      <c r="S226" s="3746"/>
      <c r="T226" s="3726"/>
      <c r="U226" s="3726"/>
      <c r="V226" s="3449"/>
      <c r="W226" s="3449"/>
      <c r="X226" s="3449"/>
      <c r="Y226" s="3452" t="str">
        <f>Z225&amp;"-"&amp;AB225</f>
        <v>-</v>
      </c>
      <c r="Z226" s="3453"/>
      <c r="AA226" s="2872"/>
      <c r="AB226" s="3453"/>
      <c r="AC226" s="2872"/>
      <c r="AD226" s="3449"/>
      <c r="AE226" s="3449"/>
      <c r="AF226" s="3449"/>
      <c r="AG226" s="3452" t="str">
        <f>AH225&amp;"-"&amp;AJ225</f>
        <v>44197-44377</v>
      </c>
      <c r="AH226" s="3453"/>
      <c r="AI226" s="2872"/>
      <c r="AJ226" s="3453"/>
      <c r="AK226" s="2872"/>
      <c r="AL226" s="3449"/>
      <c r="AM226" s="3449"/>
      <c r="AN226" s="3449"/>
      <c r="AO226" s="3452" t="str">
        <f>AP225&amp;"-"&amp;AR225</f>
        <v>44378-44561</v>
      </c>
      <c r="AP226" s="3453"/>
      <c r="AQ226" s="2872"/>
      <c r="AR226" s="3453"/>
      <c r="AS226" s="2872"/>
      <c r="AT226" s="3449"/>
      <c r="AU226" s="3449"/>
      <c r="AV226" s="3449"/>
      <c r="AW226" s="3452" t="str">
        <f>AX225&amp;"-"&amp;AZ225</f>
        <v>44562-44601</v>
      </c>
      <c r="AX226" s="3453"/>
      <c r="AY226" s="2872"/>
      <c r="AZ226" s="3453"/>
      <c r="BA226" s="2872"/>
      <c r="BB226" s="3449"/>
      <c r="BC226" s="3449"/>
      <c r="BD226" s="3449"/>
      <c r="BE226" s="3452" t="str">
        <f>BF225&amp;"-"&amp;BH225</f>
        <v>44602-44742</v>
      </c>
      <c r="BF226" s="3453"/>
      <c r="BG226" s="2872"/>
      <c r="BH226" s="3453"/>
      <c r="BI226" s="2872"/>
      <c r="BJ226" s="3449"/>
      <c r="BK226" s="3449"/>
      <c r="BL226" s="3449"/>
      <c r="BM226" s="3452" t="str">
        <f>BN225&amp;"-"&amp;BP225</f>
        <v>44743-44804</v>
      </c>
      <c r="BN226" s="3453"/>
      <c r="BO226" s="2872"/>
      <c r="BP226" s="3453"/>
      <c r="BQ226" s="2872"/>
      <c r="BR226" s="3449"/>
      <c r="BS226" s="3449"/>
      <c r="BT226" s="3449"/>
      <c r="BU226" s="3452" t="str">
        <f>BV225&amp;"-"&amp;BX225</f>
        <v>44805-44895</v>
      </c>
      <c r="BV226" s="3453"/>
      <c r="BW226" s="2872"/>
      <c r="BX226" s="3453"/>
      <c r="BY226" s="2872"/>
      <c r="BZ226" s="3449"/>
      <c r="CA226" s="3449"/>
      <c r="CB226" s="3449"/>
      <c r="CC226" s="3452" t="str">
        <f>CD225&amp;"-"&amp;CF225</f>
        <v>44896-45174</v>
      </c>
      <c r="CD226" s="3453"/>
      <c r="CE226" s="2872"/>
      <c r="CF226" s="3453"/>
      <c r="CG226" s="2872"/>
      <c r="CH226" s="3449"/>
      <c r="CI226" s="3449"/>
      <c r="CJ226" s="3449"/>
      <c r="CK226" s="3452" t="str">
        <f>CL225&amp;"-"&amp;CN225</f>
        <v>45175-45291</v>
      </c>
      <c r="CL226" s="3453"/>
      <c r="CM226" s="2872"/>
      <c r="CN226" s="3453"/>
      <c r="CO226" s="2872"/>
      <c r="CP226" s="3449"/>
      <c r="CQ226" s="3747"/>
      <c r="CR226" s="3581"/>
      <c r="CS226" s="3728"/>
      <c r="CT226" s="3728" t="str">
        <f>IF(T226="","",T226)</f>
        <v/>
      </c>
      <c r="CU226" s="3728"/>
      <c r="CV226" s="3728"/>
    </row>
    <row s="6229" customFormat="1" customHeight="1" ht="15">
      <c r="A227" s="3716"/>
      <c r="B227" s="3716"/>
      <c r="C227" s="3716"/>
      <c r="D227" s="3716"/>
      <c r="E227" s="3717"/>
      <c r="F227" s="3717" t="s">
        <v>148</v>
      </c>
      <c r="G227" s="3717"/>
      <c r="H227" s="3717"/>
      <c r="I227" s="3739"/>
      <c r="J227" s="3730"/>
      <c r="K227" s="3716"/>
      <c r="L227" s="3719"/>
      <c r="M227" s="3573"/>
      <c r="N227" s="3573"/>
      <c r="O227" s="3731"/>
      <c r="P227" s="3732"/>
      <c r="Q227" s="3732"/>
      <c r="R227" s="3733"/>
      <c r="S227" s="6230"/>
      <c r="T227" s="6231" t="s">
        <v>626</v>
      </c>
      <c r="U227" s="6232"/>
      <c r="V227" s="6233"/>
      <c r="W227" s="6234"/>
      <c r="X227" s="6235"/>
      <c r="Y227" s="6236"/>
      <c r="Z227" s="6237"/>
      <c r="AA227" s="6238"/>
      <c r="AB227" s="6239"/>
      <c r="AC227" s="6240"/>
      <c r="AD227" s="6241"/>
      <c r="AE227" s="6242"/>
      <c r="AF227" s="6243"/>
      <c r="AG227" s="6244"/>
      <c r="AH227" s="6245"/>
      <c r="AI227" s="6246"/>
      <c r="AJ227" s="6247"/>
      <c r="AK227" s="6248"/>
      <c r="AL227" s="6249"/>
      <c r="AM227" s="6250"/>
      <c r="AN227" s="6251"/>
      <c r="AO227" s="6252"/>
      <c r="AP227" s="6253"/>
      <c r="AQ227" s="6254"/>
      <c r="AR227" s="6255"/>
      <c r="AS227" s="6256"/>
      <c r="AT227" s="6257"/>
      <c r="AU227" s="6258"/>
      <c r="AV227" s="6259"/>
      <c r="AW227" s="6260"/>
      <c r="AX227" s="6261"/>
      <c r="AY227" s="6262"/>
      <c r="AZ227" s="6263"/>
      <c r="BA227" s="6264"/>
      <c r="BB227" s="6265"/>
      <c r="BC227" s="6266"/>
      <c r="BD227" s="6267"/>
      <c r="BE227" s="6268"/>
      <c r="BF227" s="6269"/>
      <c r="BG227" s="6270"/>
      <c r="BH227" s="6271"/>
      <c r="BI227" s="6272"/>
      <c r="BJ227" s="6273"/>
      <c r="BK227" s="6274"/>
      <c r="BL227" s="6275"/>
      <c r="BM227" s="6276"/>
      <c r="BN227" s="6277"/>
      <c r="BO227" s="6278"/>
      <c r="BP227" s="6279"/>
      <c r="BQ227" s="6280"/>
      <c r="BR227" s="6281"/>
      <c r="BS227" s="6282"/>
      <c r="BT227" s="6283"/>
      <c r="BU227" s="6284"/>
      <c r="BV227" s="6285"/>
      <c r="BW227" s="6286"/>
      <c r="BX227" s="6287"/>
      <c r="BY227" s="6288"/>
      <c r="BZ227" s="6289"/>
      <c r="CA227" s="6290"/>
      <c r="CB227" s="6291"/>
      <c r="CC227" s="6292"/>
      <c r="CD227" s="6293"/>
      <c r="CE227" s="6294"/>
      <c r="CF227" s="6295"/>
      <c r="CG227" s="6296"/>
      <c r="CH227" s="6297"/>
      <c r="CI227" s="6298"/>
      <c r="CJ227" s="6299"/>
      <c r="CK227" s="6300"/>
      <c r="CL227" s="6301"/>
      <c r="CM227" s="6302"/>
      <c r="CN227" s="6303"/>
      <c r="CO227" s="6304"/>
      <c r="CP227" s="6305"/>
      <c r="CQ227" s="3825"/>
      <c r="CR227" s="3581"/>
      <c r="CS227" s="3728"/>
      <c r="CT227" s="3728" t="str">
        <f>IF(T227="","",T227)</f>
        <v>Добавить вид теплоносителя (параметры теплоносителя)</v>
      </c>
      <c r="CU227" s="3728"/>
      <c r="CV227" s="3728"/>
    </row>
    <row s="6306" customFormat="1" customHeight="1" ht="15">
      <c r="A228" s="3716"/>
      <c r="B228" s="3716"/>
      <c r="C228" s="3716"/>
      <c r="D228" s="3716"/>
      <c r="E228" s="3717"/>
      <c r="F228" s="3717" t="s">
        <v>148</v>
      </c>
      <c r="G228" s="3717"/>
      <c r="H228" s="3717"/>
      <c r="I228" s="3730"/>
      <c r="J228" s="3716"/>
      <c r="K228" s="3716"/>
      <c r="L228" s="3719"/>
      <c r="M228" s="3573"/>
      <c r="N228" s="3731"/>
      <c r="O228" s="3731"/>
      <c r="P228" s="3732"/>
      <c r="Q228" s="3732"/>
      <c r="R228" s="3733"/>
      <c r="S228" s="6307"/>
      <c r="T228" s="6308" t="s">
        <v>627</v>
      </c>
      <c r="U228" s="6309"/>
      <c r="V228" s="6310"/>
      <c r="W228" s="6311"/>
      <c r="X228" s="6312"/>
      <c r="Y228" s="6313"/>
      <c r="Z228" s="6314"/>
      <c r="AA228" s="6315"/>
      <c r="AB228" s="6316"/>
      <c r="AC228" s="6317"/>
      <c r="AD228" s="6318"/>
      <c r="AE228" s="6319"/>
      <c r="AF228" s="6320"/>
      <c r="AG228" s="6321"/>
      <c r="AH228" s="6322"/>
      <c r="AI228" s="6323"/>
      <c r="AJ228" s="6324"/>
      <c r="AK228" s="6325"/>
      <c r="AL228" s="6326"/>
      <c r="AM228" s="6327"/>
      <c r="AN228" s="6328"/>
      <c r="AO228" s="6329"/>
      <c r="AP228" s="6330"/>
      <c r="AQ228" s="6331"/>
      <c r="AR228" s="6332"/>
      <c r="AS228" s="6333"/>
      <c r="AT228" s="6334"/>
      <c r="AU228" s="6335"/>
      <c r="AV228" s="6336"/>
      <c r="AW228" s="6337"/>
      <c r="AX228" s="6338"/>
      <c r="AY228" s="6339"/>
      <c r="AZ228" s="6340"/>
      <c r="BA228" s="6341"/>
      <c r="BB228" s="6342"/>
      <c r="BC228" s="6343"/>
      <c r="BD228" s="6344"/>
      <c r="BE228" s="6345"/>
      <c r="BF228" s="6346"/>
      <c r="BG228" s="6347"/>
      <c r="BH228" s="6348"/>
      <c r="BI228" s="6349"/>
      <c r="BJ228" s="6350"/>
      <c r="BK228" s="6351"/>
      <c r="BL228" s="6352"/>
      <c r="BM228" s="6353"/>
      <c r="BN228" s="6354"/>
      <c r="BO228" s="6355"/>
      <c r="BP228" s="6356"/>
      <c r="BQ228" s="6357"/>
      <c r="BR228" s="6358"/>
      <c r="BS228" s="6359"/>
      <c r="BT228" s="6360"/>
      <c r="BU228" s="6361"/>
      <c r="BV228" s="6362"/>
      <c r="BW228" s="6363"/>
      <c r="BX228" s="6364"/>
      <c r="BY228" s="6365"/>
      <c r="BZ228" s="6366"/>
      <c r="CA228" s="6367"/>
      <c r="CB228" s="6368"/>
      <c r="CC228" s="6369"/>
      <c r="CD228" s="6370"/>
      <c r="CE228" s="6371"/>
      <c r="CF228" s="6372"/>
      <c r="CG228" s="6373"/>
      <c r="CH228" s="6374"/>
      <c r="CI228" s="6375"/>
      <c r="CJ228" s="6376"/>
      <c r="CK228" s="6377"/>
      <c r="CL228" s="6378"/>
      <c r="CM228" s="6379"/>
      <c r="CN228" s="6380"/>
      <c r="CO228" s="6381"/>
      <c r="CP228" s="6382"/>
      <c r="CQ228" s="6383"/>
      <c r="CR228" s="3581"/>
      <c r="CS228" s="3728"/>
      <c r="CT228" s="3728" t="str">
        <f>IF(T228="","",T228)</f>
        <v>Добавить группу потребителей</v>
      </c>
      <c r="CU228" s="3728"/>
      <c r="CV228" s="3728"/>
    </row>
    <row s="6384" customFormat="1" customHeight="1" ht="14.25">
      <c r="A229" s="3716"/>
      <c r="B229" s="3716"/>
      <c r="C229" s="3716"/>
      <c r="D229" s="3716"/>
      <c r="E229" s="3717"/>
      <c r="F229" s="3717" t="s">
        <v>148</v>
      </c>
      <c r="G229" s="3717"/>
      <c r="H229" s="3718"/>
      <c r="I229" s="3716"/>
      <c r="J229" s="3716"/>
      <c r="K229" s="3716"/>
      <c r="L229" s="3719"/>
      <c r="M229" s="3720"/>
      <c r="N229" s="3720"/>
      <c r="O229" s="3573"/>
      <c r="P229" s="3905"/>
      <c r="Q229" s="3906"/>
      <c r="R229" s="3907"/>
      <c r="S229" s="3908"/>
      <c r="T229" s="3909"/>
      <c r="U229" s="3569"/>
      <c r="V229" s="3569"/>
      <c r="W229" s="3569"/>
      <c r="X229" s="3569"/>
      <c r="Y229" s="3569"/>
      <c r="Z229" s="3569"/>
      <c r="AA229" s="3569"/>
      <c r="AB229" s="3569"/>
      <c r="AC229" s="3569"/>
      <c r="AD229" s="3569"/>
      <c r="AE229" s="3569"/>
      <c r="AF229" s="3569"/>
      <c r="AG229" s="3569"/>
      <c r="AH229" s="3569"/>
      <c r="AI229" s="3569"/>
      <c r="AJ229" s="3569"/>
      <c r="AK229" s="3569"/>
      <c r="AL229" s="3569"/>
      <c r="AM229" s="3569"/>
      <c r="AN229" s="3569"/>
      <c r="AO229" s="3569"/>
      <c r="AP229" s="3569"/>
      <c r="AQ229" s="3569"/>
      <c r="AR229" s="3569"/>
      <c r="AS229" s="3569"/>
      <c r="AT229" s="3569"/>
      <c r="AU229" s="3569"/>
      <c r="AV229" s="3569"/>
      <c r="AW229" s="3569"/>
      <c r="AX229" s="3569"/>
      <c r="AY229" s="3569"/>
      <c r="AZ229" s="3569"/>
      <c r="BA229" s="3569"/>
      <c r="BB229" s="3569"/>
      <c r="BC229" s="3569"/>
      <c r="BD229" s="3569"/>
      <c r="BE229" s="3569"/>
      <c r="BF229" s="3569"/>
      <c r="BG229" s="3569"/>
      <c r="BH229" s="3569"/>
      <c r="BI229" s="3569"/>
      <c r="BJ229" s="3569"/>
      <c r="BK229" s="3569"/>
      <c r="BL229" s="3569"/>
      <c r="BM229" s="3569"/>
      <c r="BN229" s="3569"/>
      <c r="BO229" s="3569"/>
      <c r="BP229" s="3569"/>
      <c r="BQ229" s="3569"/>
      <c r="BR229" s="3569"/>
      <c r="BS229" s="3569"/>
      <c r="BT229" s="3569"/>
      <c r="BU229" s="3569"/>
      <c r="BV229" s="3569"/>
      <c r="BW229" s="3569"/>
      <c r="BX229" s="3569"/>
      <c r="BY229" s="3569"/>
      <c r="BZ229" s="3569"/>
      <c r="CA229" s="3569"/>
      <c r="CB229" s="3569"/>
      <c r="CC229" s="3569"/>
      <c r="CD229" s="3569"/>
      <c r="CE229" s="3569"/>
      <c r="CF229" s="3569"/>
      <c r="CG229" s="3569"/>
      <c r="CH229" s="3569"/>
      <c r="CI229" s="3569"/>
      <c r="CJ229" s="3569"/>
      <c r="CK229" s="3569"/>
      <c r="CL229" s="3569"/>
      <c r="CM229" s="3569"/>
      <c r="CN229" s="3569"/>
      <c r="CO229" s="3569"/>
      <c r="CP229" s="3569"/>
      <c r="CQ229" s="3910"/>
      <c r="CR229" s="3581"/>
      <c r="CS229" s="3728"/>
      <c r="CT229" s="3728" t="str">
        <f>IF(T229="","",T229)</f>
        <v/>
      </c>
      <c r="CU229" s="3728"/>
      <c r="CV229" s="3728"/>
    </row>
    <row s="6385" customFormat="1" customHeight="1" ht="21">
      <c r="A230" s="3716"/>
      <c r="B230" s="3716"/>
      <c r="C230" s="3716"/>
      <c r="D230" s="3716" t="s">
        <v>302</v>
      </c>
      <c r="E230" s="3717"/>
      <c r="F230" s="3717"/>
      <c r="G230" s="3717"/>
      <c r="H230" s="3718" t="s">
        <v>104</v>
      </c>
      <c r="I230" s="3716"/>
      <c r="J230" s="3716"/>
      <c r="K230" s="3716"/>
      <c r="L230" s="3719"/>
      <c r="M230" s="3720"/>
      <c r="N230" s="3720"/>
      <c r="O230" s="3720"/>
      <c r="P230" s="3721"/>
      <c r="Q230" s="3722"/>
      <c r="R230" s="3723"/>
      <c r="S230" s="3724" t="str">
        <f>INDEX(PT_DIFFERENTIATION_NUM_IST_TE,MATCH(D230,PT_DIFFERENTIATION_IST_TE_ID,0))</f>
        <v>1.13.1.2</v>
      </c>
      <c r="T230" s="3725" t="s">
        <v>616</v>
      </c>
      <c r="U230" s="3726"/>
      <c r="V230" s="3432"/>
      <c r="W230" s="3433"/>
      <c r="X230" s="3433"/>
      <c r="Y230" s="3433"/>
      <c r="Z230" s="3433"/>
      <c r="AA230" s="3433"/>
      <c r="AB230" s="3433"/>
      <c r="AC230" s="3434"/>
      <c r="AD230" s="3432" t="str">
        <f>INDEX(PT_DIFFERENTIATION_IST_TE,MATCH(D230,PT_DIFFERENTIATION_IST_TE_ID,0))</f>
        <v>город Кандалакша (микрорайон Нива-3)</v>
      </c>
      <c r="AE230" s="3433"/>
      <c r="AF230" s="3433"/>
      <c r="AG230" s="3433"/>
      <c r="AH230" s="3433"/>
      <c r="AI230" s="3433"/>
      <c r="AJ230" s="3433"/>
      <c r="AK230" s="3433"/>
      <c r="AL230" s="3432"/>
      <c r="AM230" s="3433"/>
      <c r="AN230" s="3433"/>
      <c r="AO230" s="3433"/>
      <c r="AP230" s="3433"/>
      <c r="AQ230" s="3433"/>
      <c r="AR230" s="3433"/>
      <c r="AS230" s="3434"/>
      <c r="AT230" s="3432"/>
      <c r="AU230" s="3433"/>
      <c r="AV230" s="3433"/>
      <c r="AW230" s="3433"/>
      <c r="AX230" s="3433"/>
      <c r="AY230" s="3433"/>
      <c r="AZ230" s="3433"/>
      <c r="BA230" s="3434"/>
      <c r="BB230" s="3432"/>
      <c r="BC230" s="3433"/>
      <c r="BD230" s="3433"/>
      <c r="BE230" s="3433"/>
      <c r="BF230" s="3433"/>
      <c r="BG230" s="3433"/>
      <c r="BH230" s="3433"/>
      <c r="BI230" s="3434"/>
      <c r="BJ230" s="3432"/>
      <c r="BK230" s="3433"/>
      <c r="BL230" s="3433"/>
      <c r="BM230" s="3433"/>
      <c r="BN230" s="3433"/>
      <c r="BO230" s="3433"/>
      <c r="BP230" s="3433"/>
      <c r="BQ230" s="3434"/>
      <c r="BR230" s="3432"/>
      <c r="BS230" s="3433"/>
      <c r="BT230" s="3433"/>
      <c r="BU230" s="3433"/>
      <c r="BV230" s="3433"/>
      <c r="BW230" s="3433"/>
      <c r="BX230" s="3433"/>
      <c r="BY230" s="3434"/>
      <c r="BZ230" s="3432"/>
      <c r="CA230" s="3433"/>
      <c r="CB230" s="3433"/>
      <c r="CC230" s="3433"/>
      <c r="CD230" s="3433"/>
      <c r="CE230" s="3433"/>
      <c r="CF230" s="3433"/>
      <c r="CG230" s="3434"/>
      <c r="CH230" s="3432"/>
      <c r="CI230" s="3433"/>
      <c r="CJ230" s="3433"/>
      <c r="CK230" s="3433"/>
      <c r="CL230" s="3433"/>
      <c r="CM230" s="3433"/>
      <c r="CN230" s="3433"/>
      <c r="CO230" s="3434"/>
      <c r="CP230" s="3434"/>
      <c r="CQ230" s="3727" t="s">
        <v>617</v>
      </c>
      <c r="CR230" s="3581"/>
      <c r="CS230" s="3728"/>
      <c r="CT230" s="3728" t="str">
        <f>IF(T230="","",T230)</f>
        <v>Источник тепловой энергии  </v>
      </c>
      <c r="CU230" s="3728"/>
      <c r="CV230" s="3728"/>
    </row>
    <row s="6386" customFormat="1" customHeight="1" ht="14.25">
      <c r="A231" s="3716"/>
      <c r="B231" s="3716"/>
      <c r="C231" s="3716"/>
      <c r="D231" s="3716"/>
      <c r="E231" s="3717"/>
      <c r="F231" s="3717"/>
      <c r="G231" s="3717"/>
      <c r="H231" s="3717">
        <v>1</v>
      </c>
      <c r="I231" s="3730" t="str">
        <f>S230&amp;".1"</f>
        <v>1.13.1.2.1</v>
      </c>
      <c r="J231" s="3716"/>
      <c r="K231" s="3716"/>
      <c r="L231" s="3719" t="s">
        <v>618</v>
      </c>
      <c r="M231" s="3573"/>
      <c r="N231" s="3731"/>
      <c r="O231" s="3731"/>
      <c r="P231" s="3732">
        <v>1</v>
      </c>
      <c r="Q231" s="3732"/>
      <c r="R231" s="3733"/>
      <c r="S231" s="3734"/>
      <c r="T231" s="3735"/>
      <c r="U231" s="3736"/>
      <c r="V231" s="3441"/>
      <c r="W231" s="3442"/>
      <c r="X231" s="3442"/>
      <c r="Y231" s="3442"/>
      <c r="Z231" s="3442"/>
      <c r="AA231" s="3442"/>
      <c r="AB231" s="3442"/>
      <c r="AC231" s="3443"/>
      <c r="AD231" s="3441"/>
      <c r="AE231" s="3442"/>
      <c r="AF231" s="3442"/>
      <c r="AG231" s="3442"/>
      <c r="AH231" s="3442"/>
      <c r="AI231" s="3442"/>
      <c r="AJ231" s="3442"/>
      <c r="AK231" s="3442"/>
      <c r="AL231" s="3441"/>
      <c r="AM231" s="3442"/>
      <c r="AN231" s="3442"/>
      <c r="AO231" s="3442"/>
      <c r="AP231" s="3442"/>
      <c r="AQ231" s="3442"/>
      <c r="AR231" s="3442"/>
      <c r="AS231" s="3443"/>
      <c r="AT231" s="3441"/>
      <c r="AU231" s="3442"/>
      <c r="AV231" s="3442"/>
      <c r="AW231" s="3442"/>
      <c r="AX231" s="3442"/>
      <c r="AY231" s="3442"/>
      <c r="AZ231" s="3442"/>
      <c r="BA231" s="3443"/>
      <c r="BB231" s="3441"/>
      <c r="BC231" s="3442"/>
      <c r="BD231" s="3442"/>
      <c r="BE231" s="3442"/>
      <c r="BF231" s="3442"/>
      <c r="BG231" s="3442"/>
      <c r="BH231" s="3442"/>
      <c r="BI231" s="3443"/>
      <c r="BJ231" s="3441"/>
      <c r="BK231" s="3442"/>
      <c r="BL231" s="3442"/>
      <c r="BM231" s="3442"/>
      <c r="BN231" s="3442"/>
      <c r="BO231" s="3442"/>
      <c r="BP231" s="3442"/>
      <c r="BQ231" s="3443"/>
      <c r="BR231" s="3441"/>
      <c r="BS231" s="3442"/>
      <c r="BT231" s="3442"/>
      <c r="BU231" s="3442"/>
      <c r="BV231" s="3442"/>
      <c r="BW231" s="3442"/>
      <c r="BX231" s="3442"/>
      <c r="BY231" s="3443"/>
      <c r="BZ231" s="3441"/>
      <c r="CA231" s="3442"/>
      <c r="CB231" s="3442"/>
      <c r="CC231" s="3442"/>
      <c r="CD231" s="3442"/>
      <c r="CE231" s="3442"/>
      <c r="CF231" s="3442"/>
      <c r="CG231" s="3443"/>
      <c r="CH231" s="3441"/>
      <c r="CI231" s="3442"/>
      <c r="CJ231" s="3442"/>
      <c r="CK231" s="3442"/>
      <c r="CL231" s="3442"/>
      <c r="CM231" s="3442"/>
      <c r="CN231" s="3442"/>
      <c r="CO231" s="3443"/>
      <c r="CP231" s="3443"/>
      <c r="CQ231" s="3737"/>
      <c r="CR231" s="3581"/>
      <c r="CS231" s="3728"/>
      <c r="CT231" s="3728" t="str">
        <f>IF(T231="","",T231)</f>
        <v/>
      </c>
      <c r="CU231" s="3728"/>
      <c r="CV231" s="3728"/>
    </row>
    <row s="6387" customFormat="1" customHeight="1" ht="21">
      <c r="A232" s="3716"/>
      <c r="B232" s="3716"/>
      <c r="C232" s="3716"/>
      <c r="D232" s="3716"/>
      <c r="E232" s="3717"/>
      <c r="F232" s="3717"/>
      <c r="G232" s="3717"/>
      <c r="H232" s="3717">
        <v>1</v>
      </c>
      <c r="I232" s="3739"/>
      <c r="J232" s="3730" t="str">
        <f>I231&amp;".1"</f>
        <v>1.13.1.2.1.1</v>
      </c>
      <c r="K232" s="3716"/>
      <c r="L232" s="3719" t="s">
        <v>621</v>
      </c>
      <c r="M232" s="3573"/>
      <c r="N232" s="3573"/>
      <c r="O232" s="3731"/>
      <c r="P232" s="3732"/>
      <c r="Q232" s="3732">
        <v>1</v>
      </c>
      <c r="R232" s="3740"/>
      <c r="S232" s="3724" t="str">
        <f>$J232</f>
        <v>1.13.1.2.1.1</v>
      </c>
      <c r="T232" s="3741" t="s">
        <v>622</v>
      </c>
      <c r="U232" s="3726"/>
      <c r="V232" s="3445"/>
      <c r="W232" s="3446"/>
      <c r="X232" s="3446"/>
      <c r="Y232" s="3446"/>
      <c r="Z232" s="3446"/>
      <c r="AA232" s="3446"/>
      <c r="AB232" s="3446"/>
      <c r="AC232" s="3447"/>
      <c r="AD232" s="3445" t="s">
        <v>662</v>
      </c>
      <c r="AE232" s="3446"/>
      <c r="AF232" s="3446"/>
      <c r="AG232" s="3446"/>
      <c r="AH232" s="3446"/>
      <c r="AI232" s="3446"/>
      <c r="AJ232" s="3446"/>
      <c r="AK232" s="3446"/>
      <c r="AL232" s="3445"/>
      <c r="AM232" s="3446"/>
      <c r="AN232" s="3446"/>
      <c r="AO232" s="3446"/>
      <c r="AP232" s="3446"/>
      <c r="AQ232" s="3446"/>
      <c r="AR232" s="3446"/>
      <c r="AS232" s="3447"/>
      <c r="AT232" s="3445"/>
      <c r="AU232" s="3446"/>
      <c r="AV232" s="3446"/>
      <c r="AW232" s="3446"/>
      <c r="AX232" s="3446"/>
      <c r="AY232" s="3446"/>
      <c r="AZ232" s="3446"/>
      <c r="BA232" s="3447"/>
      <c r="BB232" s="3445"/>
      <c r="BC232" s="3446"/>
      <c r="BD232" s="3446"/>
      <c r="BE232" s="3446"/>
      <c r="BF232" s="3446"/>
      <c r="BG232" s="3446"/>
      <c r="BH232" s="3446"/>
      <c r="BI232" s="3447"/>
      <c r="BJ232" s="3445"/>
      <c r="BK232" s="3446"/>
      <c r="BL232" s="3446"/>
      <c r="BM232" s="3446"/>
      <c r="BN232" s="3446"/>
      <c r="BO232" s="3446"/>
      <c r="BP232" s="3446"/>
      <c r="BQ232" s="3447"/>
      <c r="BR232" s="3445"/>
      <c r="BS232" s="3446"/>
      <c r="BT232" s="3446"/>
      <c r="BU232" s="3446"/>
      <c r="BV232" s="3446"/>
      <c r="BW232" s="3446"/>
      <c r="BX232" s="3446"/>
      <c r="BY232" s="3447"/>
      <c r="BZ232" s="3445"/>
      <c r="CA232" s="3446"/>
      <c r="CB232" s="3446"/>
      <c r="CC232" s="3446"/>
      <c r="CD232" s="3446"/>
      <c r="CE232" s="3446"/>
      <c r="CF232" s="3446"/>
      <c r="CG232" s="3447"/>
      <c r="CH232" s="3445"/>
      <c r="CI232" s="3446"/>
      <c r="CJ232" s="3446"/>
      <c r="CK232" s="3446"/>
      <c r="CL232" s="3446"/>
      <c r="CM232" s="3446"/>
      <c r="CN232" s="3446"/>
      <c r="CO232" s="3447"/>
      <c r="CP232" s="3447"/>
      <c r="CQ232" s="3727" t="s">
        <v>623</v>
      </c>
      <c r="CR232" s="3581"/>
      <c r="CS232" s="3728"/>
      <c r="CT232" s="3728" t="str">
        <f>IF(T232="","",T232)</f>
        <v>Группа потребителей</v>
      </c>
      <c r="CU232" s="3728"/>
      <c r="CV232" s="3728"/>
    </row>
    <row s="6388" customFormat="1" customHeight="1" ht="21">
      <c r="A233" s="3716"/>
      <c r="B233" s="3716"/>
      <c r="C233" s="3716"/>
      <c r="D233" s="3716"/>
      <c r="E233" s="3717"/>
      <c r="F233" s="3717"/>
      <c r="G233" s="3717"/>
      <c r="H233" s="3717">
        <v>1</v>
      </c>
      <c r="I233" s="3739"/>
      <c r="J233" s="3739"/>
      <c r="K233" s="3730" t="str">
        <f>J232&amp;".1"</f>
        <v>1.13.1.2.1.1.1</v>
      </c>
      <c r="L233" s="3719" t="s">
        <v>624</v>
      </c>
      <c r="M233" s="3573"/>
      <c r="N233" s="3573"/>
      <c r="O233" s="3573"/>
      <c r="P233" s="3732"/>
      <c r="Q233" s="3732"/>
      <c r="R233" s="3740">
        <v>1</v>
      </c>
      <c r="S233" s="3724" t="str">
        <f>$K233</f>
        <v>1.13.1.2.1.1.1</v>
      </c>
      <c r="T233" s="3743" t="s">
        <v>663</v>
      </c>
      <c r="U233" s="3726"/>
      <c r="V233" s="3448"/>
      <c r="W233" s="3449"/>
      <c r="X233" s="3448"/>
      <c r="Y233" s="3450"/>
      <c r="Z233" s="3451"/>
      <c r="AA233" s="2872" t="s">
        <v>63</v>
      </c>
      <c r="AB233" s="3451"/>
      <c r="AC233" s="2872" t="s">
        <v>63</v>
      </c>
      <c r="AD233" s="3448">
        <v>37.98</v>
      </c>
      <c r="AE233" s="3449"/>
      <c r="AF233" s="3448"/>
      <c r="AG233" s="3450"/>
      <c r="AH233" s="3451">
        <v>44197</v>
      </c>
      <c r="AI233" s="2872" t="s">
        <v>63</v>
      </c>
      <c r="AJ233" s="3451">
        <v>44377</v>
      </c>
      <c r="AK233" s="2872" t="s">
        <v>63</v>
      </c>
      <c r="AL233" s="3448">
        <v>45.25</v>
      </c>
      <c r="AM233" s="3449"/>
      <c r="AN233" s="3448"/>
      <c r="AO233" s="3450"/>
      <c r="AP233" s="3451">
        <v>44378</v>
      </c>
      <c r="AQ233" s="2872" t="s">
        <v>63</v>
      </c>
      <c r="AR233" s="3451">
        <v>44561</v>
      </c>
      <c r="AS233" s="2872" t="s">
        <v>63</v>
      </c>
      <c r="AT233" s="3448">
        <v>45.25</v>
      </c>
      <c r="AU233" s="3449"/>
      <c r="AV233" s="3448"/>
      <c r="AW233" s="3450"/>
      <c r="AX233" s="3451">
        <v>44562</v>
      </c>
      <c r="AY233" s="2872" t="s">
        <v>63</v>
      </c>
      <c r="AZ233" s="3451">
        <v>44601</v>
      </c>
      <c r="BA233" s="2872" t="s">
        <v>63</v>
      </c>
      <c r="BB233" s="3448">
        <v>45.25</v>
      </c>
      <c r="BC233" s="3449"/>
      <c r="BD233" s="3448"/>
      <c r="BE233" s="3450"/>
      <c r="BF233" s="3451">
        <v>44602</v>
      </c>
      <c r="BG233" s="2872" t="s">
        <v>63</v>
      </c>
      <c r="BH233" s="3451">
        <v>44742</v>
      </c>
      <c r="BI233" s="2872" t="s">
        <v>63</v>
      </c>
      <c r="BJ233" s="3448">
        <v>46.44</v>
      </c>
      <c r="BK233" s="3449"/>
      <c r="BL233" s="3448"/>
      <c r="BM233" s="3450"/>
      <c r="BN233" s="3451">
        <v>44743</v>
      </c>
      <c r="BO233" s="2872" t="s">
        <v>63</v>
      </c>
      <c r="BP233" s="3451">
        <v>44804</v>
      </c>
      <c r="BQ233" s="2872" t="s">
        <v>63</v>
      </c>
      <c r="BR233" s="3448">
        <v>46.44</v>
      </c>
      <c r="BS233" s="3449"/>
      <c r="BT233" s="3448"/>
      <c r="BU233" s="3450"/>
      <c r="BV233" s="3451">
        <v>44805</v>
      </c>
      <c r="BW233" s="2872" t="s">
        <v>63</v>
      </c>
      <c r="BX233" s="3451">
        <v>44895</v>
      </c>
      <c r="BY233" s="2872" t="s">
        <v>63</v>
      </c>
      <c r="BZ233" s="3448">
        <v>51.67</v>
      </c>
      <c r="CA233" s="3449"/>
      <c r="CB233" s="3448"/>
      <c r="CC233" s="3450"/>
      <c r="CD233" s="3451">
        <v>44896</v>
      </c>
      <c r="CE233" s="2872" t="s">
        <v>63</v>
      </c>
      <c r="CF233" s="3451">
        <v>45174</v>
      </c>
      <c r="CG233" s="2872" t="s">
        <v>63</v>
      </c>
      <c r="CH233" s="3448">
        <v>51.5</v>
      </c>
      <c r="CI233" s="3449"/>
      <c r="CJ233" s="3448"/>
      <c r="CK233" s="3450"/>
      <c r="CL233" s="3451">
        <v>45175</v>
      </c>
      <c r="CM233" s="2872" t="s">
        <v>63</v>
      </c>
      <c r="CN233" s="3451">
        <v>45291</v>
      </c>
      <c r="CO233" s="2872" t="s">
        <v>63</v>
      </c>
      <c r="CP233" s="3449"/>
      <c r="CQ233" s="3744" t="s">
        <v>625</v>
      </c>
      <c r="CR233" s="3581">
        <f>STRCHECKDATE(V234:CP234)</f>
      </c>
      <c r="CS233" s="3728"/>
      <c r="CT233" s="3728" t="str">
        <f>IF(T233="","",T233)</f>
        <v>вода</v>
      </c>
      <c r="CU233" s="3728"/>
      <c r="CV233" s="3728"/>
    </row>
    <row s="6389" customFormat="1" customHeight="1" ht="0.75">
      <c r="A234" s="3716"/>
      <c r="B234" s="3716"/>
      <c r="C234" s="3716"/>
      <c r="D234" s="3716"/>
      <c r="E234" s="3717"/>
      <c r="F234" s="3717"/>
      <c r="G234" s="3717"/>
      <c r="H234" s="3717">
        <v>1</v>
      </c>
      <c r="I234" s="3739"/>
      <c r="J234" s="3739"/>
      <c r="K234" s="3730"/>
      <c r="L234" s="3719"/>
      <c r="M234" s="3573"/>
      <c r="N234" s="3573"/>
      <c r="O234" s="3573"/>
      <c r="P234" s="3732"/>
      <c r="Q234" s="3732"/>
      <c r="R234" s="3740"/>
      <c r="S234" s="3746"/>
      <c r="T234" s="3726"/>
      <c r="U234" s="3726"/>
      <c r="V234" s="3449"/>
      <c r="W234" s="3449"/>
      <c r="X234" s="3449"/>
      <c r="Y234" s="3452" t="str">
        <f>Z233&amp;"-"&amp;AB233</f>
        <v>-</v>
      </c>
      <c r="Z234" s="3453"/>
      <c r="AA234" s="2872"/>
      <c r="AB234" s="3453"/>
      <c r="AC234" s="2872"/>
      <c r="AD234" s="3449"/>
      <c r="AE234" s="3449"/>
      <c r="AF234" s="3449"/>
      <c r="AG234" s="3452" t="str">
        <f>AH233&amp;"-"&amp;AJ233</f>
        <v>44197-44377</v>
      </c>
      <c r="AH234" s="3453"/>
      <c r="AI234" s="2872"/>
      <c r="AJ234" s="3453"/>
      <c r="AK234" s="2872"/>
      <c r="AL234" s="3449"/>
      <c r="AM234" s="3449"/>
      <c r="AN234" s="3449"/>
      <c r="AO234" s="3452" t="str">
        <f>AP233&amp;"-"&amp;AR233</f>
        <v>44378-44561</v>
      </c>
      <c r="AP234" s="3453"/>
      <c r="AQ234" s="2872"/>
      <c r="AR234" s="3453"/>
      <c r="AS234" s="2872"/>
      <c r="AT234" s="3449"/>
      <c r="AU234" s="3449"/>
      <c r="AV234" s="3449"/>
      <c r="AW234" s="3452" t="str">
        <f>AX233&amp;"-"&amp;AZ233</f>
        <v>44562-44601</v>
      </c>
      <c r="AX234" s="3453"/>
      <c r="AY234" s="2872"/>
      <c r="AZ234" s="3453"/>
      <c r="BA234" s="2872"/>
      <c r="BB234" s="3449"/>
      <c r="BC234" s="3449"/>
      <c r="BD234" s="3449"/>
      <c r="BE234" s="3452" t="str">
        <f>BF233&amp;"-"&amp;BH233</f>
        <v>44602-44742</v>
      </c>
      <c r="BF234" s="3453"/>
      <c r="BG234" s="2872"/>
      <c r="BH234" s="3453"/>
      <c r="BI234" s="2872"/>
      <c r="BJ234" s="3449"/>
      <c r="BK234" s="3449"/>
      <c r="BL234" s="3449"/>
      <c r="BM234" s="3452" t="str">
        <f>BN233&amp;"-"&amp;BP233</f>
        <v>44743-44804</v>
      </c>
      <c r="BN234" s="3453"/>
      <c r="BO234" s="2872"/>
      <c r="BP234" s="3453"/>
      <c r="BQ234" s="2872"/>
      <c r="BR234" s="3449"/>
      <c r="BS234" s="3449"/>
      <c r="BT234" s="3449"/>
      <c r="BU234" s="3452" t="str">
        <f>BV233&amp;"-"&amp;BX233</f>
        <v>44805-44895</v>
      </c>
      <c r="BV234" s="3453"/>
      <c r="BW234" s="2872"/>
      <c r="BX234" s="3453"/>
      <c r="BY234" s="2872"/>
      <c r="BZ234" s="3449"/>
      <c r="CA234" s="3449"/>
      <c r="CB234" s="3449"/>
      <c r="CC234" s="3452" t="str">
        <f>CD233&amp;"-"&amp;CF233</f>
        <v>44896-45174</v>
      </c>
      <c r="CD234" s="3453"/>
      <c r="CE234" s="2872"/>
      <c r="CF234" s="3453"/>
      <c r="CG234" s="2872"/>
      <c r="CH234" s="3449"/>
      <c r="CI234" s="3449"/>
      <c r="CJ234" s="3449"/>
      <c r="CK234" s="3452" t="str">
        <f>CL233&amp;"-"&amp;CN233</f>
        <v>45175-45291</v>
      </c>
      <c r="CL234" s="3453"/>
      <c r="CM234" s="2872"/>
      <c r="CN234" s="3453"/>
      <c r="CO234" s="2872"/>
      <c r="CP234" s="3449"/>
      <c r="CQ234" s="3747"/>
      <c r="CR234" s="3581"/>
      <c r="CS234" s="3728"/>
      <c r="CT234" s="3728" t="str">
        <f>IF(T234="","",T234)</f>
        <v/>
      </c>
      <c r="CU234" s="3728"/>
      <c r="CV234" s="3728"/>
    </row>
    <row s="6390" customFormat="1" customHeight="1" ht="15">
      <c r="A235" s="3716"/>
      <c r="B235" s="3716"/>
      <c r="C235" s="3716"/>
      <c r="D235" s="3716"/>
      <c r="E235" s="3717"/>
      <c r="F235" s="3717"/>
      <c r="G235" s="3717"/>
      <c r="H235" s="3717">
        <v>1</v>
      </c>
      <c r="I235" s="3739"/>
      <c r="J235" s="3730"/>
      <c r="K235" s="3716"/>
      <c r="L235" s="3719"/>
      <c r="M235" s="3573"/>
      <c r="N235" s="3573"/>
      <c r="O235" s="3731"/>
      <c r="P235" s="3732"/>
      <c r="Q235" s="3732"/>
      <c r="R235" s="3733"/>
      <c r="S235" s="6391"/>
      <c r="T235" s="6392" t="s">
        <v>626</v>
      </c>
      <c r="U235" s="6393"/>
      <c r="V235" s="6394"/>
      <c r="W235" s="6395"/>
      <c r="X235" s="6396"/>
      <c r="Y235" s="6397"/>
      <c r="Z235" s="6398"/>
      <c r="AA235" s="6399"/>
      <c r="AB235" s="6400"/>
      <c r="AC235" s="6401"/>
      <c r="AD235" s="6402"/>
      <c r="AE235" s="6403"/>
      <c r="AF235" s="6404"/>
      <c r="AG235" s="6405"/>
      <c r="AH235" s="6406"/>
      <c r="AI235" s="6407"/>
      <c r="AJ235" s="6408"/>
      <c r="AK235" s="6409"/>
      <c r="AL235" s="6410"/>
      <c r="AM235" s="6411"/>
      <c r="AN235" s="6412"/>
      <c r="AO235" s="6413"/>
      <c r="AP235" s="6414"/>
      <c r="AQ235" s="6415"/>
      <c r="AR235" s="6416"/>
      <c r="AS235" s="6417"/>
      <c r="AT235" s="6418"/>
      <c r="AU235" s="6419"/>
      <c r="AV235" s="6420"/>
      <c r="AW235" s="6421"/>
      <c r="AX235" s="6422"/>
      <c r="AY235" s="6423"/>
      <c r="AZ235" s="6424"/>
      <c r="BA235" s="6425"/>
      <c r="BB235" s="6426"/>
      <c r="BC235" s="6427"/>
      <c r="BD235" s="6428"/>
      <c r="BE235" s="6429"/>
      <c r="BF235" s="6430"/>
      <c r="BG235" s="6431"/>
      <c r="BH235" s="6432"/>
      <c r="BI235" s="6433"/>
      <c r="BJ235" s="6434"/>
      <c r="BK235" s="6435"/>
      <c r="BL235" s="6436"/>
      <c r="BM235" s="6437"/>
      <c r="BN235" s="6438"/>
      <c r="BO235" s="6439"/>
      <c r="BP235" s="6440"/>
      <c r="BQ235" s="6441"/>
      <c r="BR235" s="6442"/>
      <c r="BS235" s="6443"/>
      <c r="BT235" s="6444"/>
      <c r="BU235" s="6445"/>
      <c r="BV235" s="6446"/>
      <c r="BW235" s="6447"/>
      <c r="BX235" s="6448"/>
      <c r="BY235" s="6449"/>
      <c r="BZ235" s="6450"/>
      <c r="CA235" s="6451"/>
      <c r="CB235" s="6452"/>
      <c r="CC235" s="6453"/>
      <c r="CD235" s="6454"/>
      <c r="CE235" s="6455"/>
      <c r="CF235" s="6456"/>
      <c r="CG235" s="6457"/>
      <c r="CH235" s="6458"/>
      <c r="CI235" s="6459"/>
      <c r="CJ235" s="6460"/>
      <c r="CK235" s="6461"/>
      <c r="CL235" s="6462"/>
      <c r="CM235" s="6463"/>
      <c r="CN235" s="6464"/>
      <c r="CO235" s="6465"/>
      <c r="CP235" s="6466"/>
      <c r="CQ235" s="3825"/>
      <c r="CR235" s="3581"/>
      <c r="CS235" s="3728"/>
      <c r="CT235" s="3728" t="str">
        <f>IF(T235="","",T235)</f>
        <v>Добавить вид теплоносителя (параметры теплоносителя)</v>
      </c>
      <c r="CU235" s="3728"/>
      <c r="CV235" s="3728"/>
    </row>
    <row s="6467" customFormat="1" customHeight="1" ht="15">
      <c r="A236" s="3716"/>
      <c r="B236" s="3716"/>
      <c r="C236" s="3716"/>
      <c r="D236" s="3716"/>
      <c r="E236" s="3717"/>
      <c r="F236" s="3717"/>
      <c r="G236" s="3717"/>
      <c r="H236" s="3717">
        <v>1</v>
      </c>
      <c r="I236" s="3730"/>
      <c r="J236" s="3716"/>
      <c r="K236" s="3716"/>
      <c r="L236" s="3719"/>
      <c r="M236" s="3573"/>
      <c r="N236" s="3731"/>
      <c r="O236" s="3731"/>
      <c r="P236" s="3732"/>
      <c r="Q236" s="3732"/>
      <c r="R236" s="3733"/>
      <c r="S236" s="6468"/>
      <c r="T236" s="6469" t="s">
        <v>627</v>
      </c>
      <c r="U236" s="6470"/>
      <c r="V236" s="6471"/>
      <c r="W236" s="6472"/>
      <c r="X236" s="6473"/>
      <c r="Y236" s="6474"/>
      <c r="Z236" s="6475"/>
      <c r="AA236" s="6476"/>
      <c r="AB236" s="6477"/>
      <c r="AC236" s="6478"/>
      <c r="AD236" s="6479"/>
      <c r="AE236" s="6480"/>
      <c r="AF236" s="6481"/>
      <c r="AG236" s="6482"/>
      <c r="AH236" s="6483"/>
      <c r="AI236" s="6484"/>
      <c r="AJ236" s="6485"/>
      <c r="AK236" s="6486"/>
      <c r="AL236" s="6487"/>
      <c r="AM236" s="6488"/>
      <c r="AN236" s="6489"/>
      <c r="AO236" s="6490"/>
      <c r="AP236" s="6491"/>
      <c r="AQ236" s="6492"/>
      <c r="AR236" s="6493"/>
      <c r="AS236" s="6494"/>
      <c r="AT236" s="6495"/>
      <c r="AU236" s="6496"/>
      <c r="AV236" s="6497"/>
      <c r="AW236" s="6498"/>
      <c r="AX236" s="6499"/>
      <c r="AY236" s="6500"/>
      <c r="AZ236" s="6501"/>
      <c r="BA236" s="6502"/>
      <c r="BB236" s="6503"/>
      <c r="BC236" s="6504"/>
      <c r="BD236" s="6505"/>
      <c r="BE236" s="6506"/>
      <c r="BF236" s="6507"/>
      <c r="BG236" s="6508"/>
      <c r="BH236" s="6509"/>
      <c r="BI236" s="6510"/>
      <c r="BJ236" s="6511"/>
      <c r="BK236" s="6512"/>
      <c r="BL236" s="6513"/>
      <c r="BM236" s="6514"/>
      <c r="BN236" s="6515"/>
      <c r="BO236" s="6516"/>
      <c r="BP236" s="6517"/>
      <c r="BQ236" s="6518"/>
      <c r="BR236" s="6519"/>
      <c r="BS236" s="6520"/>
      <c r="BT236" s="6521"/>
      <c r="BU236" s="6522"/>
      <c r="BV236" s="6523"/>
      <c r="BW236" s="6524"/>
      <c r="BX236" s="6525"/>
      <c r="BY236" s="6526"/>
      <c r="BZ236" s="6527"/>
      <c r="CA236" s="6528"/>
      <c r="CB236" s="6529"/>
      <c r="CC236" s="6530"/>
      <c r="CD236" s="6531"/>
      <c r="CE236" s="6532"/>
      <c r="CF236" s="6533"/>
      <c r="CG236" s="6534"/>
      <c r="CH236" s="6535"/>
      <c r="CI236" s="6536"/>
      <c r="CJ236" s="6537"/>
      <c r="CK236" s="6538"/>
      <c r="CL236" s="6539"/>
      <c r="CM236" s="6540"/>
      <c r="CN236" s="6541"/>
      <c r="CO236" s="6542"/>
      <c r="CP236" s="6543"/>
      <c r="CQ236" s="6544"/>
      <c r="CR236" s="3581"/>
      <c r="CS236" s="3728"/>
      <c r="CT236" s="3728" t="str">
        <f>IF(T236="","",T236)</f>
        <v>Добавить группу потребителей</v>
      </c>
      <c r="CU236" s="3728"/>
      <c r="CV236" s="3728"/>
    </row>
    <row s="6545" customFormat="1" customHeight="1" ht="14.25">
      <c r="A237" s="3716"/>
      <c r="B237" s="3716"/>
      <c r="C237" s="3716"/>
      <c r="D237" s="3716"/>
      <c r="E237" s="3717"/>
      <c r="F237" s="3717"/>
      <c r="G237" s="3717"/>
      <c r="H237" s="3718">
        <v>1</v>
      </c>
      <c r="I237" s="3716"/>
      <c r="J237" s="3716"/>
      <c r="K237" s="3716"/>
      <c r="L237" s="3719"/>
      <c r="M237" s="3720"/>
      <c r="N237" s="3720"/>
      <c r="O237" s="3573"/>
      <c r="P237" s="3905"/>
      <c r="Q237" s="3906"/>
      <c r="R237" s="3907"/>
      <c r="S237" s="3908"/>
      <c r="T237" s="3909"/>
      <c r="U237" s="3569"/>
      <c r="V237" s="3569"/>
      <c r="W237" s="3569"/>
      <c r="X237" s="3569"/>
      <c r="Y237" s="3569"/>
      <c r="Z237" s="3569"/>
      <c r="AA237" s="3569"/>
      <c r="AB237" s="3569"/>
      <c r="AC237" s="3569"/>
      <c r="AD237" s="3569"/>
      <c r="AE237" s="3569"/>
      <c r="AF237" s="3569"/>
      <c r="AG237" s="3569"/>
      <c r="AH237" s="3569"/>
      <c r="AI237" s="3569"/>
      <c r="AJ237" s="3569"/>
      <c r="AK237" s="3569"/>
      <c r="AL237" s="3569"/>
      <c r="AM237" s="3569"/>
      <c r="AN237" s="3569"/>
      <c r="AO237" s="3569"/>
      <c r="AP237" s="3569"/>
      <c r="AQ237" s="3569"/>
      <c r="AR237" s="3569"/>
      <c r="AS237" s="3569"/>
      <c r="AT237" s="3569"/>
      <c r="AU237" s="3569"/>
      <c r="AV237" s="3569"/>
      <c r="AW237" s="3569"/>
      <c r="AX237" s="3569"/>
      <c r="AY237" s="3569"/>
      <c r="AZ237" s="3569"/>
      <c r="BA237" s="3569"/>
      <c r="BB237" s="3569"/>
      <c r="BC237" s="3569"/>
      <c r="BD237" s="3569"/>
      <c r="BE237" s="3569"/>
      <c r="BF237" s="3569"/>
      <c r="BG237" s="3569"/>
      <c r="BH237" s="3569"/>
      <c r="BI237" s="3569"/>
      <c r="BJ237" s="3569"/>
      <c r="BK237" s="3569"/>
      <c r="BL237" s="3569"/>
      <c r="BM237" s="3569"/>
      <c r="BN237" s="3569"/>
      <c r="BO237" s="3569"/>
      <c r="BP237" s="3569"/>
      <c r="BQ237" s="3569"/>
      <c r="BR237" s="3569"/>
      <c r="BS237" s="3569"/>
      <c r="BT237" s="3569"/>
      <c r="BU237" s="3569"/>
      <c r="BV237" s="3569"/>
      <c r="BW237" s="3569"/>
      <c r="BX237" s="3569"/>
      <c r="BY237" s="3569"/>
      <c r="BZ237" s="3569"/>
      <c r="CA237" s="3569"/>
      <c r="CB237" s="3569"/>
      <c r="CC237" s="3569"/>
      <c r="CD237" s="3569"/>
      <c r="CE237" s="3569"/>
      <c r="CF237" s="3569"/>
      <c r="CG237" s="3569"/>
      <c r="CH237" s="3569"/>
      <c r="CI237" s="3569"/>
      <c r="CJ237" s="3569"/>
      <c r="CK237" s="3569"/>
      <c r="CL237" s="3569"/>
      <c r="CM237" s="3569"/>
      <c r="CN237" s="3569"/>
      <c r="CO237" s="3569"/>
      <c r="CP237" s="3569"/>
      <c r="CQ237" s="3910"/>
      <c r="CR237" s="3581"/>
      <c r="CS237" s="3728"/>
      <c r="CT237" s="3728" t="str">
        <f>IF(T237="","",T237)</f>
        <v/>
      </c>
      <c r="CU237" s="3728"/>
      <c r="CV237" s="3728"/>
    </row>
    <row s="6546" customFormat="1" customHeight="1" ht="0.75">
      <c r="A238" s="4239"/>
      <c r="B238" s="4239"/>
      <c r="C238" s="4239"/>
      <c r="D238" s="4239"/>
      <c r="E238" s="3717"/>
      <c r="F238" s="3717" t="s">
        <v>148</v>
      </c>
      <c r="G238" s="3718"/>
      <c r="H238" s="4239"/>
      <c r="I238" s="4239"/>
      <c r="J238" s="4239"/>
      <c r="K238" s="4239"/>
      <c r="L238" s="4240"/>
      <c r="M238" s="4241"/>
      <c r="N238" s="4241"/>
      <c r="O238" s="3581"/>
      <c r="P238" s="4242"/>
      <c r="Q238" s="4243"/>
      <c r="R238" s="4242"/>
      <c r="S238" s="4244"/>
      <c r="T238" s="4245" t="s">
        <v>254</v>
      </c>
      <c r="U238" s="3571"/>
      <c r="V238" s="3571"/>
      <c r="W238" s="3571"/>
      <c r="X238" s="3571"/>
      <c r="Y238" s="3571"/>
      <c r="Z238" s="3571"/>
      <c r="AA238" s="3571"/>
      <c r="AB238" s="3571"/>
      <c r="AC238" s="3571"/>
      <c r="AD238" s="3571"/>
      <c r="AE238" s="3571"/>
      <c r="AF238" s="3571"/>
      <c r="AG238" s="3571"/>
      <c r="AH238" s="3571"/>
      <c r="AI238" s="3571"/>
      <c r="AJ238" s="3571"/>
      <c r="AK238" s="3571"/>
      <c r="AL238" s="3571"/>
      <c r="AM238" s="3571"/>
      <c r="AN238" s="3571"/>
      <c r="AO238" s="3571"/>
      <c r="AP238" s="3571"/>
      <c r="AQ238" s="3571"/>
      <c r="AR238" s="3571"/>
      <c r="AS238" s="3571"/>
      <c r="AT238" s="3571"/>
      <c r="AU238" s="3571"/>
      <c r="AV238" s="3571"/>
      <c r="AW238" s="3571"/>
      <c r="AX238" s="3571"/>
      <c r="AY238" s="3571"/>
      <c r="AZ238" s="3571"/>
      <c r="BA238" s="3571"/>
      <c r="BB238" s="3571"/>
      <c r="BC238" s="3571"/>
      <c r="BD238" s="3571"/>
      <c r="BE238" s="3571"/>
      <c r="BF238" s="3571"/>
      <c r="BG238" s="3571"/>
      <c r="BH238" s="3571"/>
      <c r="BI238" s="3571"/>
      <c r="BJ238" s="3571"/>
      <c r="BK238" s="3571"/>
      <c r="BL238" s="3571"/>
      <c r="BM238" s="3571"/>
      <c r="BN238" s="3571"/>
      <c r="BO238" s="3571"/>
      <c r="BP238" s="3571"/>
      <c r="BQ238" s="3571"/>
      <c r="BR238" s="3571"/>
      <c r="BS238" s="3571"/>
      <c r="BT238" s="3571"/>
      <c r="BU238" s="3571"/>
      <c r="BV238" s="3571"/>
      <c r="BW238" s="3571"/>
      <c r="BX238" s="3571"/>
      <c r="BY238" s="3571"/>
      <c r="BZ238" s="3571"/>
      <c r="CA238" s="3571"/>
      <c r="CB238" s="3571"/>
      <c r="CC238" s="3571"/>
      <c r="CD238" s="3571"/>
      <c r="CE238" s="3571"/>
      <c r="CF238" s="3571"/>
      <c r="CG238" s="3571"/>
      <c r="CH238" s="3571"/>
      <c r="CI238" s="3571"/>
      <c r="CJ238" s="3571"/>
      <c r="CK238" s="3571"/>
      <c r="CL238" s="3571"/>
      <c r="CM238" s="3571"/>
      <c r="CN238" s="3571"/>
      <c r="CO238" s="3571"/>
      <c r="CP238" s="3571"/>
      <c r="CQ238" s="3571"/>
      <c r="CR238" s="3581"/>
      <c r="CS238" s="3728"/>
      <c r="CT238" s="3728" t="str">
        <f>IF(T238="","",T238)</f>
        <v>Добавить источник для дифференциации</v>
      </c>
      <c r="CU238" s="3728"/>
      <c r="CV238" s="3728"/>
    </row>
    <row s="6547" customFormat="1" customHeight="1" ht="0.75">
      <c r="A239" s="4239"/>
      <c r="B239" s="4239"/>
      <c r="C239" s="4239"/>
      <c r="D239" s="4239"/>
      <c r="E239" s="3717"/>
      <c r="F239" s="3718" t="s">
        <v>148</v>
      </c>
      <c r="G239" s="4239"/>
      <c r="H239" s="4239"/>
      <c r="I239" s="4239"/>
      <c r="J239" s="4239"/>
      <c r="K239" s="4239"/>
      <c r="L239" s="4240"/>
      <c r="M239" s="4247"/>
      <c r="N239" s="4247"/>
      <c r="O239" s="3581"/>
      <c r="P239" s="4242"/>
      <c r="Q239" s="4243"/>
      <c r="R239" s="4242"/>
      <c r="S239" s="4248"/>
      <c r="T239" s="4249" t="s">
        <v>255</v>
      </c>
      <c r="U239" s="3572"/>
      <c r="V239" s="3572"/>
      <c r="W239" s="3572"/>
      <c r="X239" s="3572"/>
      <c r="Y239" s="3572"/>
      <c r="Z239" s="3572"/>
      <c r="AA239" s="3572"/>
      <c r="AB239" s="3572"/>
      <c r="AC239" s="3572"/>
      <c r="AD239" s="3572"/>
      <c r="AE239" s="3572"/>
      <c r="AF239" s="3572"/>
      <c r="AG239" s="3572"/>
      <c r="AH239" s="3572"/>
      <c r="AI239" s="3572"/>
      <c r="AJ239" s="3572"/>
      <c r="AK239" s="3572"/>
      <c r="AL239" s="3572"/>
      <c r="AM239" s="3572"/>
      <c r="AN239" s="3572"/>
      <c r="AO239" s="3572"/>
      <c r="AP239" s="3572"/>
      <c r="AQ239" s="3572"/>
      <c r="AR239" s="3572"/>
      <c r="AS239" s="3572"/>
      <c r="AT239" s="3572"/>
      <c r="AU239" s="3572"/>
      <c r="AV239" s="3572"/>
      <c r="AW239" s="3572"/>
      <c r="AX239" s="3572"/>
      <c r="AY239" s="3572"/>
      <c r="AZ239" s="3572"/>
      <c r="BA239" s="3572"/>
      <c r="BB239" s="3572"/>
      <c r="BC239" s="3572"/>
      <c r="BD239" s="3572"/>
      <c r="BE239" s="3572"/>
      <c r="BF239" s="3572"/>
      <c r="BG239" s="3572"/>
      <c r="BH239" s="3572"/>
      <c r="BI239" s="3572"/>
      <c r="BJ239" s="3572"/>
      <c r="BK239" s="3572"/>
      <c r="BL239" s="3572"/>
      <c r="BM239" s="3572"/>
      <c r="BN239" s="3572"/>
      <c r="BO239" s="3572"/>
      <c r="BP239" s="3572"/>
      <c r="BQ239" s="3572"/>
      <c r="BR239" s="3572"/>
      <c r="BS239" s="3572"/>
      <c r="BT239" s="3572"/>
      <c r="BU239" s="3572"/>
      <c r="BV239" s="3572"/>
      <c r="BW239" s="3572"/>
      <c r="BX239" s="3572"/>
      <c r="BY239" s="3572"/>
      <c r="BZ239" s="3572"/>
      <c r="CA239" s="3572"/>
      <c r="CB239" s="3572"/>
      <c r="CC239" s="3572"/>
      <c r="CD239" s="3572"/>
      <c r="CE239" s="3572"/>
      <c r="CF239" s="3572"/>
      <c r="CG239" s="3572"/>
      <c r="CH239" s="3572"/>
      <c r="CI239" s="3572"/>
      <c r="CJ239" s="3572"/>
      <c r="CK239" s="3572"/>
      <c r="CL239" s="3572"/>
      <c r="CM239" s="3572"/>
      <c r="CN239" s="3572"/>
      <c r="CO239" s="3572"/>
      <c r="CP239" s="3572"/>
      <c r="CQ239" s="3572"/>
      <c r="CR239" s="3581"/>
      <c r="CS239" s="3728"/>
      <c r="CT239" s="3728" t="str">
        <f>IF(T239="","",T239)</f>
        <v>Добавить централизованную систему для дифференциации</v>
      </c>
      <c r="CU239" s="3728"/>
      <c r="CV239" s="3728"/>
    </row>
    <row s="6548" customFormat="1" customHeight="1" ht="21">
      <c r="A240" s="3716"/>
      <c r="B240" s="3716" t="s">
        <v>303</v>
      </c>
      <c r="C240" s="3716"/>
      <c r="D240" s="3716"/>
      <c r="E240" s="3717"/>
      <c r="F240" s="3718" t="s">
        <v>157</v>
      </c>
      <c r="G240" s="3716"/>
      <c r="H240" s="3716"/>
      <c r="I240" s="3716"/>
      <c r="J240" s="3716"/>
      <c r="K240" s="3716"/>
      <c r="L240" s="3719"/>
      <c r="M240" s="3720"/>
      <c r="N240" s="3720"/>
      <c r="O240" s="3720"/>
      <c r="P240" s="4073"/>
      <c r="Q240" s="3722"/>
      <c r="R240" s="3723"/>
      <c r="S240" s="3724" t="str">
        <f>INDEX(PT_DIFFERENTIATION_NUM_TER,MATCH(B240,PT_DIFFERENTIATION_TER_ID,0))</f>
        <v>1.14</v>
      </c>
      <c r="T240" s="4074" t="s">
        <v>612</v>
      </c>
      <c r="U240" s="3726"/>
      <c r="V240" s="3432"/>
      <c r="W240" s="3433"/>
      <c r="X240" s="3433"/>
      <c r="Y240" s="3433"/>
      <c r="Z240" s="3433"/>
      <c r="AA240" s="3433"/>
      <c r="AB240" s="3433"/>
      <c r="AC240" s="3434"/>
      <c r="AD240" s="3432" t="str">
        <f>INDEX(PT_DIFFERENTIATION_TER,MATCH(B240,PT_DIFFERENTIATION_TER_ID,0))</f>
        <v>Территория 14</v>
      </c>
      <c r="AE240" s="3433"/>
      <c r="AF240" s="3433"/>
      <c r="AG240" s="3433"/>
      <c r="AH240" s="3433"/>
      <c r="AI240" s="3433"/>
      <c r="AJ240" s="3433"/>
      <c r="AK240" s="3433"/>
      <c r="AL240" s="3432"/>
      <c r="AM240" s="3433"/>
      <c r="AN240" s="3433"/>
      <c r="AO240" s="3433"/>
      <c r="AP240" s="3433"/>
      <c r="AQ240" s="3433"/>
      <c r="AR240" s="3433"/>
      <c r="AS240" s="3434"/>
      <c r="AT240" s="3432"/>
      <c r="AU240" s="3433"/>
      <c r="AV240" s="3433"/>
      <c r="AW240" s="3433"/>
      <c r="AX240" s="3433"/>
      <c r="AY240" s="3433"/>
      <c r="AZ240" s="3433"/>
      <c r="BA240" s="3434"/>
      <c r="BB240" s="3432"/>
      <c r="BC240" s="3433"/>
      <c r="BD240" s="3433"/>
      <c r="BE240" s="3433"/>
      <c r="BF240" s="3433"/>
      <c r="BG240" s="3433"/>
      <c r="BH240" s="3433"/>
      <c r="BI240" s="3434"/>
      <c r="BJ240" s="3432"/>
      <c r="BK240" s="3433"/>
      <c r="BL240" s="3433"/>
      <c r="BM240" s="3433"/>
      <c r="BN240" s="3433"/>
      <c r="BO240" s="3433"/>
      <c r="BP240" s="3433"/>
      <c r="BQ240" s="3434"/>
      <c r="BR240" s="3432"/>
      <c r="BS240" s="3433"/>
      <c r="BT240" s="3433"/>
      <c r="BU240" s="3433"/>
      <c r="BV240" s="3433"/>
      <c r="BW240" s="3433"/>
      <c r="BX240" s="3433"/>
      <c r="BY240" s="3434"/>
      <c r="BZ240" s="3432"/>
      <c r="CA240" s="3433"/>
      <c r="CB240" s="3433"/>
      <c r="CC240" s="3433"/>
      <c r="CD240" s="3433"/>
      <c r="CE240" s="3433"/>
      <c r="CF240" s="3433"/>
      <c r="CG240" s="3434"/>
      <c r="CH240" s="3432"/>
      <c r="CI240" s="3433"/>
      <c r="CJ240" s="3433"/>
      <c r="CK240" s="3433"/>
      <c r="CL240" s="3433"/>
      <c r="CM240" s="3433"/>
      <c r="CN240" s="3433"/>
      <c r="CO240" s="3434"/>
      <c r="CP240" s="3434"/>
      <c r="CQ240" s="3727" t="s">
        <v>613</v>
      </c>
      <c r="CR240" s="3581"/>
      <c r="CS240" s="3728"/>
      <c r="CT240" s="3728" t="str">
        <f>IF(T240="","",T240)</f>
        <v>Территория действия тарифа</v>
      </c>
      <c r="CU240" s="3728"/>
      <c r="CV240" s="3728"/>
    </row>
    <row s="6549" customFormat="1" customHeight="1" ht="23.25">
      <c r="A241" s="3716"/>
      <c r="B241" s="3716"/>
      <c r="C241" s="3716" t="s">
        <v>304</v>
      </c>
      <c r="D241" s="3716"/>
      <c r="E241" s="3717"/>
      <c r="F241" s="3717" t="s">
        <v>152</v>
      </c>
      <c r="G241" s="3718">
        <v>1</v>
      </c>
      <c r="H241" s="3716"/>
      <c r="I241" s="3716"/>
      <c r="J241" s="3716"/>
      <c r="K241" s="3716"/>
      <c r="L241" s="3719"/>
      <c r="M241" s="3720"/>
      <c r="N241" s="3720"/>
      <c r="O241" s="3720"/>
      <c r="P241" s="3721"/>
      <c r="Q241" s="3722"/>
      <c r="R241" s="3723"/>
      <c r="S241" s="3724" t="str">
        <f>INDEX(PT_DIFFERENTIATION_NUM_CS,MATCH(C241,PT_DIFFERENTIATION_CS_ID,0))</f>
        <v>1.14.1</v>
      </c>
      <c r="T241" s="4076" t="s">
        <v>614</v>
      </c>
      <c r="U241" s="3726"/>
      <c r="V241" s="3432"/>
      <c r="W241" s="3433"/>
      <c r="X241" s="3433"/>
      <c r="Y241" s="3433"/>
      <c r="Z241" s="3433"/>
      <c r="AA241" s="3433"/>
      <c r="AB241" s="3433"/>
      <c r="AC241" s="3434"/>
      <c r="AD241" s="3432" t="str">
        <f>INDEX(PT_DIFFERENTIATION_CS,MATCH(C241,PT_DIFFERENTIATION_CS_ID,0))</f>
        <v>без дифференциации</v>
      </c>
      <c r="AE241" s="3433"/>
      <c r="AF241" s="3433"/>
      <c r="AG241" s="3433"/>
      <c r="AH241" s="3433"/>
      <c r="AI241" s="3433"/>
      <c r="AJ241" s="3433"/>
      <c r="AK241" s="3433"/>
      <c r="AL241" s="3432"/>
      <c r="AM241" s="3433"/>
      <c r="AN241" s="3433"/>
      <c r="AO241" s="3433"/>
      <c r="AP241" s="3433"/>
      <c r="AQ241" s="3433"/>
      <c r="AR241" s="3433"/>
      <c r="AS241" s="3434"/>
      <c r="AT241" s="3432"/>
      <c r="AU241" s="3433"/>
      <c r="AV241" s="3433"/>
      <c r="AW241" s="3433"/>
      <c r="AX241" s="3433"/>
      <c r="AY241" s="3433"/>
      <c r="AZ241" s="3433"/>
      <c r="BA241" s="3434"/>
      <c r="BB241" s="3432"/>
      <c r="BC241" s="3433"/>
      <c r="BD241" s="3433"/>
      <c r="BE241" s="3433"/>
      <c r="BF241" s="3433"/>
      <c r="BG241" s="3433"/>
      <c r="BH241" s="3433"/>
      <c r="BI241" s="3434"/>
      <c r="BJ241" s="3432"/>
      <c r="BK241" s="3433"/>
      <c r="BL241" s="3433"/>
      <c r="BM241" s="3433"/>
      <c r="BN241" s="3433"/>
      <c r="BO241" s="3433"/>
      <c r="BP241" s="3433"/>
      <c r="BQ241" s="3434"/>
      <c r="BR241" s="3432"/>
      <c r="BS241" s="3433"/>
      <c r="BT241" s="3433"/>
      <c r="BU241" s="3433"/>
      <c r="BV241" s="3433"/>
      <c r="BW241" s="3433"/>
      <c r="BX241" s="3433"/>
      <c r="BY241" s="3434"/>
      <c r="BZ241" s="3432"/>
      <c r="CA241" s="3433"/>
      <c r="CB241" s="3433"/>
      <c r="CC241" s="3433"/>
      <c r="CD241" s="3433"/>
      <c r="CE241" s="3433"/>
      <c r="CF241" s="3433"/>
      <c r="CG241" s="3434"/>
      <c r="CH241" s="3432"/>
      <c r="CI241" s="3433"/>
      <c r="CJ241" s="3433"/>
      <c r="CK241" s="3433"/>
      <c r="CL241" s="3433"/>
      <c r="CM241" s="3433"/>
      <c r="CN241" s="3433"/>
      <c r="CO241" s="3434"/>
      <c r="CP241" s="3434"/>
      <c r="CQ241" s="3727" t="s">
        <v>615</v>
      </c>
      <c r="CR241" s="3581"/>
      <c r="CS241" s="3728"/>
      <c r="CT241" s="3728" t="str">
        <f>IF(T241="","",T241)</f>
        <v>Наименование системы теплоснабжения </v>
      </c>
      <c r="CU241" s="3728"/>
      <c r="CV241" s="3728"/>
    </row>
    <row s="6550" customFormat="1" customHeight="1" ht="21">
      <c r="A242" s="3716"/>
      <c r="B242" s="3716"/>
      <c r="C242" s="3716"/>
      <c r="D242" s="3716" t="s">
        <v>305</v>
      </c>
      <c r="E242" s="3717"/>
      <c r="F242" s="3717" t="s">
        <v>152</v>
      </c>
      <c r="G242" s="3717"/>
      <c r="H242" s="3718">
        <v>1</v>
      </c>
      <c r="I242" s="3716"/>
      <c r="J242" s="3716"/>
      <c r="K242" s="3716"/>
      <c r="L242" s="3719"/>
      <c r="M242" s="3720"/>
      <c r="N242" s="3720"/>
      <c r="O242" s="3720"/>
      <c r="P242" s="3721"/>
      <c r="Q242" s="3722"/>
      <c r="R242" s="3723"/>
      <c r="S242" s="3724" t="str">
        <f>INDEX(PT_DIFFERENTIATION_NUM_IST_TE,MATCH(D242,PT_DIFFERENTIATION_IST_TE_ID,0))</f>
        <v>1.14.1.1</v>
      </c>
      <c r="T242" s="3725" t="s">
        <v>616</v>
      </c>
      <c r="U242" s="3726"/>
      <c r="V242" s="3432"/>
      <c r="W242" s="3433"/>
      <c r="X242" s="3433"/>
      <c r="Y242" s="3433"/>
      <c r="Z242" s="3433"/>
      <c r="AA242" s="3433"/>
      <c r="AB242" s="3433"/>
      <c r="AC242" s="3434"/>
      <c r="AD242" s="3432" t="str">
        <f>INDEX(PT_DIFFERENTIATION_IST_TE,MATCH(D242,PT_DIFFERENTIATION_IST_TE_ID,0))</f>
        <v>без дифференциации</v>
      </c>
      <c r="AE242" s="3433"/>
      <c r="AF242" s="3433"/>
      <c r="AG242" s="3433"/>
      <c r="AH242" s="3433"/>
      <c r="AI242" s="3433"/>
      <c r="AJ242" s="3433"/>
      <c r="AK242" s="3433"/>
      <c r="AL242" s="3432"/>
      <c r="AM242" s="3433"/>
      <c r="AN242" s="3433"/>
      <c r="AO242" s="3433"/>
      <c r="AP242" s="3433"/>
      <c r="AQ242" s="3433"/>
      <c r="AR242" s="3433"/>
      <c r="AS242" s="3434"/>
      <c r="AT242" s="3432"/>
      <c r="AU242" s="3433"/>
      <c r="AV242" s="3433"/>
      <c r="AW242" s="3433"/>
      <c r="AX242" s="3433"/>
      <c r="AY242" s="3433"/>
      <c r="AZ242" s="3433"/>
      <c r="BA242" s="3434"/>
      <c r="BB242" s="3432"/>
      <c r="BC242" s="3433"/>
      <c r="BD242" s="3433"/>
      <c r="BE242" s="3433"/>
      <c r="BF242" s="3433"/>
      <c r="BG242" s="3433"/>
      <c r="BH242" s="3433"/>
      <c r="BI242" s="3434"/>
      <c r="BJ242" s="3432"/>
      <c r="BK242" s="3433"/>
      <c r="BL242" s="3433"/>
      <c r="BM242" s="3433"/>
      <c r="BN242" s="3433"/>
      <c r="BO242" s="3433"/>
      <c r="BP242" s="3433"/>
      <c r="BQ242" s="3434"/>
      <c r="BR242" s="3432"/>
      <c r="BS242" s="3433"/>
      <c r="BT242" s="3433"/>
      <c r="BU242" s="3433"/>
      <c r="BV242" s="3433"/>
      <c r="BW242" s="3433"/>
      <c r="BX242" s="3433"/>
      <c r="BY242" s="3434"/>
      <c r="BZ242" s="3432"/>
      <c r="CA242" s="3433"/>
      <c r="CB242" s="3433"/>
      <c r="CC242" s="3433"/>
      <c r="CD242" s="3433"/>
      <c r="CE242" s="3433"/>
      <c r="CF242" s="3433"/>
      <c r="CG242" s="3434"/>
      <c r="CH242" s="3432"/>
      <c r="CI242" s="3433"/>
      <c r="CJ242" s="3433"/>
      <c r="CK242" s="3433"/>
      <c r="CL242" s="3433"/>
      <c r="CM242" s="3433"/>
      <c r="CN242" s="3433"/>
      <c r="CO242" s="3434"/>
      <c r="CP242" s="3434"/>
      <c r="CQ242" s="3727" t="s">
        <v>617</v>
      </c>
      <c r="CR242" s="3581"/>
      <c r="CS242" s="3728"/>
      <c r="CT242" s="3728" t="str">
        <f>IF(T242="","",T242)</f>
        <v>Источник тепловой энергии  </v>
      </c>
      <c r="CU242" s="3728"/>
      <c r="CV242" s="3728"/>
    </row>
    <row s="6551" customFormat="1" customHeight="1" ht="14.25">
      <c r="A243" s="3716"/>
      <c r="B243" s="3716"/>
      <c r="C243" s="3716"/>
      <c r="D243" s="3716"/>
      <c r="E243" s="3717"/>
      <c r="F243" s="3717" t="s">
        <v>152</v>
      </c>
      <c r="G243" s="3717"/>
      <c r="H243" s="3717"/>
      <c r="I243" s="3730" t="str">
        <f>S242&amp;".1"</f>
        <v>1.14.1.1.1</v>
      </c>
      <c r="J243" s="3716"/>
      <c r="K243" s="3716"/>
      <c r="L243" s="3719" t="s">
        <v>618</v>
      </c>
      <c r="M243" s="3573"/>
      <c r="N243" s="3731"/>
      <c r="O243" s="3731"/>
      <c r="P243" s="3732">
        <v>1</v>
      </c>
      <c r="Q243" s="3732"/>
      <c r="R243" s="3733"/>
      <c r="S243" s="3734"/>
      <c r="T243" s="3735"/>
      <c r="U243" s="3736"/>
      <c r="V243" s="3441"/>
      <c r="W243" s="3442"/>
      <c r="X243" s="3442"/>
      <c r="Y243" s="3442"/>
      <c r="Z243" s="3442"/>
      <c r="AA243" s="3442"/>
      <c r="AB243" s="3442"/>
      <c r="AC243" s="3443"/>
      <c r="AD243" s="3441"/>
      <c r="AE243" s="3442"/>
      <c r="AF243" s="3442"/>
      <c r="AG243" s="3442"/>
      <c r="AH243" s="3442"/>
      <c r="AI243" s="3442"/>
      <c r="AJ243" s="3442"/>
      <c r="AK243" s="3442"/>
      <c r="AL243" s="3441"/>
      <c r="AM243" s="3442"/>
      <c r="AN243" s="3442"/>
      <c r="AO243" s="3442"/>
      <c r="AP243" s="3442"/>
      <c r="AQ243" s="3442"/>
      <c r="AR243" s="3442"/>
      <c r="AS243" s="3443"/>
      <c r="AT243" s="3441"/>
      <c r="AU243" s="3442"/>
      <c r="AV243" s="3442"/>
      <c r="AW243" s="3442"/>
      <c r="AX243" s="3442"/>
      <c r="AY243" s="3442"/>
      <c r="AZ243" s="3442"/>
      <c r="BA243" s="3443"/>
      <c r="BB243" s="3441"/>
      <c r="BC243" s="3442"/>
      <c r="BD243" s="3442"/>
      <c r="BE243" s="3442"/>
      <c r="BF243" s="3442"/>
      <c r="BG243" s="3442"/>
      <c r="BH243" s="3442"/>
      <c r="BI243" s="3443"/>
      <c r="BJ243" s="3441"/>
      <c r="BK243" s="3442"/>
      <c r="BL243" s="3442"/>
      <c r="BM243" s="3442"/>
      <c r="BN243" s="3442"/>
      <c r="BO243" s="3442"/>
      <c r="BP243" s="3442"/>
      <c r="BQ243" s="3443"/>
      <c r="BR243" s="3441"/>
      <c r="BS243" s="3442"/>
      <c r="BT243" s="3442"/>
      <c r="BU243" s="3442"/>
      <c r="BV243" s="3442"/>
      <c r="BW243" s="3442"/>
      <c r="BX243" s="3442"/>
      <c r="BY243" s="3443"/>
      <c r="BZ243" s="3441"/>
      <c r="CA243" s="3442"/>
      <c r="CB243" s="3442"/>
      <c r="CC243" s="3442"/>
      <c r="CD243" s="3442"/>
      <c r="CE243" s="3442"/>
      <c r="CF243" s="3442"/>
      <c r="CG243" s="3443"/>
      <c r="CH243" s="3441"/>
      <c r="CI243" s="3442"/>
      <c r="CJ243" s="3442"/>
      <c r="CK243" s="3442"/>
      <c r="CL243" s="3442"/>
      <c r="CM243" s="3442"/>
      <c r="CN243" s="3442"/>
      <c r="CO243" s="3443"/>
      <c r="CP243" s="3443"/>
      <c r="CQ243" s="3737"/>
      <c r="CR243" s="3581"/>
      <c r="CS243" s="3728"/>
      <c r="CT243" s="3728" t="str">
        <f>IF(T243="","",T243)</f>
        <v/>
      </c>
      <c r="CU243" s="3728"/>
      <c r="CV243" s="3728"/>
    </row>
    <row s="6552" customFormat="1" customHeight="1" ht="21">
      <c r="A244" s="3716"/>
      <c r="B244" s="3716"/>
      <c r="C244" s="3716"/>
      <c r="D244" s="3716"/>
      <c r="E244" s="3717"/>
      <c r="F244" s="3717" t="s">
        <v>152</v>
      </c>
      <c r="G244" s="3717"/>
      <c r="H244" s="3717"/>
      <c r="I244" s="3739"/>
      <c r="J244" s="3730" t="str">
        <f>I243&amp;".1"</f>
        <v>1.14.1.1.1.1</v>
      </c>
      <c r="K244" s="3716"/>
      <c r="L244" s="3719" t="s">
        <v>621</v>
      </c>
      <c r="M244" s="3573"/>
      <c r="N244" s="3573"/>
      <c r="O244" s="3731"/>
      <c r="P244" s="3732"/>
      <c r="Q244" s="3732">
        <v>1</v>
      </c>
      <c r="R244" s="3740"/>
      <c r="S244" s="3724" t="str">
        <f>$J244</f>
        <v>1.14.1.1.1.1</v>
      </c>
      <c r="T244" s="3741" t="s">
        <v>622</v>
      </c>
      <c r="U244" s="3726"/>
      <c r="V244" s="3445"/>
      <c r="W244" s="3446"/>
      <c r="X244" s="3446"/>
      <c r="Y244" s="3446"/>
      <c r="Z244" s="3446"/>
      <c r="AA244" s="3446"/>
      <c r="AB244" s="3446"/>
      <c r="AC244" s="3447"/>
      <c r="AD244" s="3445" t="s">
        <v>662</v>
      </c>
      <c r="AE244" s="3446"/>
      <c r="AF244" s="3446"/>
      <c r="AG244" s="3446"/>
      <c r="AH244" s="3446"/>
      <c r="AI244" s="3446"/>
      <c r="AJ244" s="3446"/>
      <c r="AK244" s="3446"/>
      <c r="AL244" s="3445"/>
      <c r="AM244" s="3446"/>
      <c r="AN244" s="3446"/>
      <c r="AO244" s="3446"/>
      <c r="AP244" s="3446"/>
      <c r="AQ244" s="3446"/>
      <c r="AR244" s="3446"/>
      <c r="AS244" s="3447"/>
      <c r="AT244" s="3445"/>
      <c r="AU244" s="3446"/>
      <c r="AV244" s="3446"/>
      <c r="AW244" s="3446"/>
      <c r="AX244" s="3446"/>
      <c r="AY244" s="3446"/>
      <c r="AZ244" s="3446"/>
      <c r="BA244" s="3447"/>
      <c r="BB244" s="3445"/>
      <c r="BC244" s="3446"/>
      <c r="BD244" s="3446"/>
      <c r="BE244" s="3446"/>
      <c r="BF244" s="3446"/>
      <c r="BG244" s="3446"/>
      <c r="BH244" s="3446"/>
      <c r="BI244" s="3447"/>
      <c r="BJ244" s="3445"/>
      <c r="BK244" s="3446"/>
      <c r="BL244" s="3446"/>
      <c r="BM244" s="3446"/>
      <c r="BN244" s="3446"/>
      <c r="BO244" s="3446"/>
      <c r="BP244" s="3446"/>
      <c r="BQ244" s="3447"/>
      <c r="BR244" s="3445"/>
      <c r="BS244" s="3446"/>
      <c r="BT244" s="3446"/>
      <c r="BU244" s="3446"/>
      <c r="BV244" s="3446"/>
      <c r="BW244" s="3446"/>
      <c r="BX244" s="3446"/>
      <c r="BY244" s="3447"/>
      <c r="BZ244" s="3445"/>
      <c r="CA244" s="3446"/>
      <c r="CB244" s="3446"/>
      <c r="CC244" s="3446"/>
      <c r="CD244" s="3446"/>
      <c r="CE244" s="3446"/>
      <c r="CF244" s="3446"/>
      <c r="CG244" s="3447"/>
      <c r="CH244" s="3445"/>
      <c r="CI244" s="3446"/>
      <c r="CJ244" s="3446"/>
      <c r="CK244" s="3446"/>
      <c r="CL244" s="3446"/>
      <c r="CM244" s="3446"/>
      <c r="CN244" s="3446"/>
      <c r="CO244" s="3447"/>
      <c r="CP244" s="3447"/>
      <c r="CQ244" s="3727" t="s">
        <v>623</v>
      </c>
      <c r="CR244" s="3581"/>
      <c r="CS244" s="3728"/>
      <c r="CT244" s="3728" t="str">
        <f>IF(T244="","",T244)</f>
        <v>Группа потребителей</v>
      </c>
      <c r="CU244" s="3728"/>
      <c r="CV244" s="3728"/>
    </row>
    <row s="6553" customFormat="1" customHeight="1" ht="21">
      <c r="A245" s="3716"/>
      <c r="B245" s="3716"/>
      <c r="C245" s="3716"/>
      <c r="D245" s="3716"/>
      <c r="E245" s="3717"/>
      <c r="F245" s="3717" t="s">
        <v>152</v>
      </c>
      <c r="G245" s="3717"/>
      <c r="H245" s="3717"/>
      <c r="I245" s="3739"/>
      <c r="J245" s="3739"/>
      <c r="K245" s="3730" t="str">
        <f>J244&amp;".1"</f>
        <v>1.14.1.1.1.1.1</v>
      </c>
      <c r="L245" s="3719" t="s">
        <v>624</v>
      </c>
      <c r="M245" s="3573"/>
      <c r="N245" s="3573"/>
      <c r="O245" s="3573"/>
      <c r="P245" s="3732"/>
      <c r="Q245" s="3732"/>
      <c r="R245" s="3740">
        <v>1</v>
      </c>
      <c r="S245" s="3724" t="str">
        <f>$K245</f>
        <v>1.14.1.1.1.1.1</v>
      </c>
      <c r="T245" s="3743" t="s">
        <v>663</v>
      </c>
      <c r="U245" s="3726"/>
      <c r="V245" s="3448"/>
      <c r="W245" s="3449"/>
      <c r="X245" s="3448"/>
      <c r="Y245" s="3450"/>
      <c r="Z245" s="3451"/>
      <c r="AA245" s="2872" t="s">
        <v>63</v>
      </c>
      <c r="AB245" s="3451"/>
      <c r="AC245" s="2872" t="s">
        <v>63</v>
      </c>
      <c r="AD245" s="3448">
        <v>41.82</v>
      </c>
      <c r="AE245" s="3449"/>
      <c r="AF245" s="3448"/>
      <c r="AG245" s="3450"/>
      <c r="AH245" s="3451">
        <v>44197</v>
      </c>
      <c r="AI245" s="2872" t="s">
        <v>63</v>
      </c>
      <c r="AJ245" s="3451">
        <v>44377</v>
      </c>
      <c r="AK245" s="2872" t="s">
        <v>63</v>
      </c>
      <c r="AL245" s="3448">
        <v>41.82</v>
      </c>
      <c r="AM245" s="3449"/>
      <c r="AN245" s="3448"/>
      <c r="AO245" s="3450"/>
      <c r="AP245" s="3451">
        <v>44378</v>
      </c>
      <c r="AQ245" s="2872" t="s">
        <v>63</v>
      </c>
      <c r="AR245" s="3451">
        <v>44561</v>
      </c>
      <c r="AS245" s="2872" t="s">
        <v>63</v>
      </c>
      <c r="AT245" s="3448">
        <v>41.82</v>
      </c>
      <c r="AU245" s="3449"/>
      <c r="AV245" s="3448"/>
      <c r="AW245" s="3450"/>
      <c r="AX245" s="3451">
        <v>44562</v>
      </c>
      <c r="AY245" s="2872" t="s">
        <v>63</v>
      </c>
      <c r="AZ245" s="3451">
        <v>44601</v>
      </c>
      <c r="BA245" s="2872" t="s">
        <v>63</v>
      </c>
      <c r="BB245" s="3448">
        <v>41.82</v>
      </c>
      <c r="BC245" s="3449"/>
      <c r="BD245" s="3448"/>
      <c r="BE245" s="3450"/>
      <c r="BF245" s="3451">
        <v>44602</v>
      </c>
      <c r="BG245" s="2872" t="s">
        <v>63</v>
      </c>
      <c r="BH245" s="3451">
        <v>44742</v>
      </c>
      <c r="BI245" s="2872" t="s">
        <v>63</v>
      </c>
      <c r="BJ245" s="3448">
        <v>50.42</v>
      </c>
      <c r="BK245" s="3449"/>
      <c r="BL245" s="3448"/>
      <c r="BM245" s="3450"/>
      <c r="BN245" s="3451">
        <v>44743</v>
      </c>
      <c r="BO245" s="2872" t="s">
        <v>63</v>
      </c>
      <c r="BP245" s="3451">
        <v>44804</v>
      </c>
      <c r="BQ245" s="2872" t="s">
        <v>63</v>
      </c>
      <c r="BR245" s="3448">
        <v>50.42</v>
      </c>
      <c r="BS245" s="3449"/>
      <c r="BT245" s="3448"/>
      <c r="BU245" s="3450"/>
      <c r="BV245" s="3451">
        <v>44805</v>
      </c>
      <c r="BW245" s="2872" t="s">
        <v>63</v>
      </c>
      <c r="BX245" s="3451">
        <v>44895</v>
      </c>
      <c r="BY245" s="2872" t="s">
        <v>63</v>
      </c>
      <c r="BZ245" s="3448">
        <v>51.67</v>
      </c>
      <c r="CA245" s="3449"/>
      <c r="CB245" s="3448"/>
      <c r="CC245" s="3450"/>
      <c r="CD245" s="3451">
        <v>44896</v>
      </c>
      <c r="CE245" s="2872" t="s">
        <v>63</v>
      </c>
      <c r="CF245" s="3451">
        <v>45174</v>
      </c>
      <c r="CG245" s="2872" t="s">
        <v>63</v>
      </c>
      <c r="CH245" s="3448">
        <v>43.01</v>
      </c>
      <c r="CI245" s="3449"/>
      <c r="CJ245" s="3448"/>
      <c r="CK245" s="3450"/>
      <c r="CL245" s="3451">
        <v>45175</v>
      </c>
      <c r="CM245" s="2872" t="s">
        <v>63</v>
      </c>
      <c r="CN245" s="3451">
        <v>45291</v>
      </c>
      <c r="CO245" s="2872" t="s">
        <v>63</v>
      </c>
      <c r="CP245" s="3449"/>
      <c r="CQ245" s="3744" t="s">
        <v>625</v>
      </c>
      <c r="CR245" s="3581">
        <f>STRCHECKDATE(V246:CP246)</f>
      </c>
      <c r="CS245" s="3728"/>
      <c r="CT245" s="3728" t="str">
        <f>IF(T245="","",T245)</f>
        <v>вода</v>
      </c>
      <c r="CU245" s="3728"/>
      <c r="CV245" s="3728"/>
    </row>
    <row s="6554" customFormat="1" customHeight="1" ht="0.75">
      <c r="A246" s="3716"/>
      <c r="B246" s="3716"/>
      <c r="C246" s="3716"/>
      <c r="D246" s="3716"/>
      <c r="E246" s="3717"/>
      <c r="F246" s="3717" t="s">
        <v>152</v>
      </c>
      <c r="G246" s="3717"/>
      <c r="H246" s="3717"/>
      <c r="I246" s="3739"/>
      <c r="J246" s="3739"/>
      <c r="K246" s="3730"/>
      <c r="L246" s="3719"/>
      <c r="M246" s="3573"/>
      <c r="N246" s="3573"/>
      <c r="O246" s="3573"/>
      <c r="P246" s="3732"/>
      <c r="Q246" s="3732"/>
      <c r="R246" s="3740"/>
      <c r="S246" s="3746"/>
      <c r="T246" s="3726"/>
      <c r="U246" s="3726"/>
      <c r="V246" s="3449"/>
      <c r="W246" s="3449"/>
      <c r="X246" s="3449"/>
      <c r="Y246" s="3452" t="str">
        <f>Z245&amp;"-"&amp;AB245</f>
        <v>-</v>
      </c>
      <c r="Z246" s="3453"/>
      <c r="AA246" s="2872"/>
      <c r="AB246" s="3453"/>
      <c r="AC246" s="2872"/>
      <c r="AD246" s="3449"/>
      <c r="AE246" s="3449"/>
      <c r="AF246" s="3449"/>
      <c r="AG246" s="3452" t="str">
        <f>AH245&amp;"-"&amp;AJ245</f>
        <v>44197-44377</v>
      </c>
      <c r="AH246" s="3453"/>
      <c r="AI246" s="2872"/>
      <c r="AJ246" s="3453"/>
      <c r="AK246" s="2872"/>
      <c r="AL246" s="3449"/>
      <c r="AM246" s="3449"/>
      <c r="AN246" s="3449"/>
      <c r="AO246" s="3452" t="str">
        <f>AP245&amp;"-"&amp;AR245</f>
        <v>44378-44561</v>
      </c>
      <c r="AP246" s="3453"/>
      <c r="AQ246" s="2872"/>
      <c r="AR246" s="3453"/>
      <c r="AS246" s="2872"/>
      <c r="AT246" s="3449"/>
      <c r="AU246" s="3449"/>
      <c r="AV246" s="3449"/>
      <c r="AW246" s="3452" t="str">
        <f>AX245&amp;"-"&amp;AZ245</f>
        <v>44562-44601</v>
      </c>
      <c r="AX246" s="3453"/>
      <c r="AY246" s="2872"/>
      <c r="AZ246" s="3453"/>
      <c r="BA246" s="2872"/>
      <c r="BB246" s="3449"/>
      <c r="BC246" s="3449"/>
      <c r="BD246" s="3449"/>
      <c r="BE246" s="3452" t="str">
        <f>BF245&amp;"-"&amp;BH245</f>
        <v>44602-44742</v>
      </c>
      <c r="BF246" s="3453"/>
      <c r="BG246" s="2872"/>
      <c r="BH246" s="3453"/>
      <c r="BI246" s="2872"/>
      <c r="BJ246" s="3449"/>
      <c r="BK246" s="3449"/>
      <c r="BL246" s="3449"/>
      <c r="BM246" s="3452" t="str">
        <f>BN245&amp;"-"&amp;BP245</f>
        <v>44743-44804</v>
      </c>
      <c r="BN246" s="3453"/>
      <c r="BO246" s="2872"/>
      <c r="BP246" s="3453"/>
      <c r="BQ246" s="2872"/>
      <c r="BR246" s="3449"/>
      <c r="BS246" s="3449"/>
      <c r="BT246" s="3449"/>
      <c r="BU246" s="3452" t="str">
        <f>BV245&amp;"-"&amp;BX245</f>
        <v>44805-44895</v>
      </c>
      <c r="BV246" s="3453"/>
      <c r="BW246" s="2872"/>
      <c r="BX246" s="3453"/>
      <c r="BY246" s="2872"/>
      <c r="BZ246" s="3449"/>
      <c r="CA246" s="3449"/>
      <c r="CB246" s="3449"/>
      <c r="CC246" s="3452" t="str">
        <f>CD245&amp;"-"&amp;CF245</f>
        <v>44896-45174</v>
      </c>
      <c r="CD246" s="3453"/>
      <c r="CE246" s="2872"/>
      <c r="CF246" s="3453"/>
      <c r="CG246" s="2872"/>
      <c r="CH246" s="3449"/>
      <c r="CI246" s="3449"/>
      <c r="CJ246" s="3449"/>
      <c r="CK246" s="3452" t="str">
        <f>CL245&amp;"-"&amp;CN245</f>
        <v>45175-45291</v>
      </c>
      <c r="CL246" s="3453"/>
      <c r="CM246" s="2872"/>
      <c r="CN246" s="3453"/>
      <c r="CO246" s="2872"/>
      <c r="CP246" s="3449"/>
      <c r="CQ246" s="3747"/>
      <c r="CR246" s="3581"/>
      <c r="CS246" s="3728"/>
      <c r="CT246" s="3728" t="str">
        <f>IF(T246="","",T246)</f>
        <v/>
      </c>
      <c r="CU246" s="3728"/>
      <c r="CV246" s="3728"/>
    </row>
    <row s="6555" customFormat="1" customHeight="1" ht="15">
      <c r="A247" s="3716"/>
      <c r="B247" s="3716"/>
      <c r="C247" s="3716"/>
      <c r="D247" s="3716"/>
      <c r="E247" s="3717"/>
      <c r="F247" s="3717" t="s">
        <v>152</v>
      </c>
      <c r="G247" s="3717"/>
      <c r="H247" s="3717"/>
      <c r="I247" s="3739"/>
      <c r="J247" s="3730"/>
      <c r="K247" s="3716"/>
      <c r="L247" s="3719"/>
      <c r="M247" s="3573"/>
      <c r="N247" s="3573"/>
      <c r="O247" s="3731"/>
      <c r="P247" s="3732"/>
      <c r="Q247" s="3732"/>
      <c r="R247" s="3733"/>
      <c r="S247" s="6556"/>
      <c r="T247" s="6557" t="s">
        <v>626</v>
      </c>
      <c r="U247" s="6558"/>
      <c r="V247" s="6559"/>
      <c r="W247" s="6560"/>
      <c r="X247" s="6561"/>
      <c r="Y247" s="6562"/>
      <c r="Z247" s="6563"/>
      <c r="AA247" s="6564"/>
      <c r="AB247" s="6565"/>
      <c r="AC247" s="6566"/>
      <c r="AD247" s="6567"/>
      <c r="AE247" s="6568"/>
      <c r="AF247" s="6569"/>
      <c r="AG247" s="6570"/>
      <c r="AH247" s="6571"/>
      <c r="AI247" s="6572"/>
      <c r="AJ247" s="6573"/>
      <c r="AK247" s="6574"/>
      <c r="AL247" s="6575"/>
      <c r="AM247" s="6576"/>
      <c r="AN247" s="6577"/>
      <c r="AO247" s="6578"/>
      <c r="AP247" s="6579"/>
      <c r="AQ247" s="6580"/>
      <c r="AR247" s="6581"/>
      <c r="AS247" s="6582"/>
      <c r="AT247" s="6583"/>
      <c r="AU247" s="6584"/>
      <c r="AV247" s="6585"/>
      <c r="AW247" s="6586"/>
      <c r="AX247" s="6587"/>
      <c r="AY247" s="6588"/>
      <c r="AZ247" s="6589"/>
      <c r="BA247" s="6590"/>
      <c r="BB247" s="6591"/>
      <c r="BC247" s="6592"/>
      <c r="BD247" s="6593"/>
      <c r="BE247" s="6594"/>
      <c r="BF247" s="6595"/>
      <c r="BG247" s="6596"/>
      <c r="BH247" s="6597"/>
      <c r="BI247" s="6598"/>
      <c r="BJ247" s="6599"/>
      <c r="BK247" s="6600"/>
      <c r="BL247" s="6601"/>
      <c r="BM247" s="6602"/>
      <c r="BN247" s="6603"/>
      <c r="BO247" s="6604"/>
      <c r="BP247" s="6605"/>
      <c r="BQ247" s="6606"/>
      <c r="BR247" s="6607"/>
      <c r="BS247" s="6608"/>
      <c r="BT247" s="6609"/>
      <c r="BU247" s="6610"/>
      <c r="BV247" s="6611"/>
      <c r="BW247" s="6612"/>
      <c r="BX247" s="6613"/>
      <c r="BY247" s="6614"/>
      <c r="BZ247" s="6615"/>
      <c r="CA247" s="6616"/>
      <c r="CB247" s="6617"/>
      <c r="CC247" s="6618"/>
      <c r="CD247" s="6619"/>
      <c r="CE247" s="6620"/>
      <c r="CF247" s="6621"/>
      <c r="CG247" s="6622"/>
      <c r="CH247" s="6623"/>
      <c r="CI247" s="6624"/>
      <c r="CJ247" s="6625"/>
      <c r="CK247" s="6626"/>
      <c r="CL247" s="6627"/>
      <c r="CM247" s="6628"/>
      <c r="CN247" s="6629"/>
      <c r="CO247" s="6630"/>
      <c r="CP247" s="6631"/>
      <c r="CQ247" s="3825"/>
      <c r="CR247" s="3581"/>
      <c r="CS247" s="3728"/>
      <c r="CT247" s="3728" t="str">
        <f>IF(T247="","",T247)</f>
        <v>Добавить вид теплоносителя (параметры теплоносителя)</v>
      </c>
      <c r="CU247" s="3728"/>
      <c r="CV247" s="3728"/>
    </row>
    <row s="6632" customFormat="1" customHeight="1" ht="15">
      <c r="A248" s="3716"/>
      <c r="B248" s="3716"/>
      <c r="C248" s="3716"/>
      <c r="D248" s="3716"/>
      <c r="E248" s="3717"/>
      <c r="F248" s="3717" t="s">
        <v>152</v>
      </c>
      <c r="G248" s="3717"/>
      <c r="H248" s="3717"/>
      <c r="I248" s="3730"/>
      <c r="J248" s="3716"/>
      <c r="K248" s="3716"/>
      <c r="L248" s="3719"/>
      <c r="M248" s="3573"/>
      <c r="N248" s="3731"/>
      <c r="O248" s="3731"/>
      <c r="P248" s="3732"/>
      <c r="Q248" s="3732"/>
      <c r="R248" s="3733"/>
      <c r="S248" s="6633"/>
      <c r="T248" s="6634" t="s">
        <v>627</v>
      </c>
      <c r="U248" s="6635"/>
      <c r="V248" s="6636"/>
      <c r="W248" s="6637"/>
      <c r="X248" s="6638"/>
      <c r="Y248" s="6639"/>
      <c r="Z248" s="6640"/>
      <c r="AA248" s="6641"/>
      <c r="AB248" s="6642"/>
      <c r="AC248" s="6643"/>
      <c r="AD248" s="6644"/>
      <c r="AE248" s="6645"/>
      <c r="AF248" s="6646"/>
      <c r="AG248" s="6647"/>
      <c r="AH248" s="6648"/>
      <c r="AI248" s="6649"/>
      <c r="AJ248" s="6650"/>
      <c r="AK248" s="6651"/>
      <c r="AL248" s="6652"/>
      <c r="AM248" s="6653"/>
      <c r="AN248" s="6654"/>
      <c r="AO248" s="6655"/>
      <c r="AP248" s="6656"/>
      <c r="AQ248" s="6657"/>
      <c r="AR248" s="6658"/>
      <c r="AS248" s="6659"/>
      <c r="AT248" s="6660"/>
      <c r="AU248" s="6661"/>
      <c r="AV248" s="6662"/>
      <c r="AW248" s="6663"/>
      <c r="AX248" s="6664"/>
      <c r="AY248" s="6665"/>
      <c r="AZ248" s="6666"/>
      <c r="BA248" s="6667"/>
      <c r="BB248" s="6668"/>
      <c r="BC248" s="6669"/>
      <c r="BD248" s="6670"/>
      <c r="BE248" s="6671"/>
      <c r="BF248" s="6672"/>
      <c r="BG248" s="6673"/>
      <c r="BH248" s="6674"/>
      <c r="BI248" s="6675"/>
      <c r="BJ248" s="6676"/>
      <c r="BK248" s="6677"/>
      <c r="BL248" s="6678"/>
      <c r="BM248" s="6679"/>
      <c r="BN248" s="6680"/>
      <c r="BO248" s="6681"/>
      <c r="BP248" s="6682"/>
      <c r="BQ248" s="6683"/>
      <c r="BR248" s="6684"/>
      <c r="BS248" s="6685"/>
      <c r="BT248" s="6686"/>
      <c r="BU248" s="6687"/>
      <c r="BV248" s="6688"/>
      <c r="BW248" s="6689"/>
      <c r="BX248" s="6690"/>
      <c r="BY248" s="6691"/>
      <c r="BZ248" s="6692"/>
      <c r="CA248" s="6693"/>
      <c r="CB248" s="6694"/>
      <c r="CC248" s="6695"/>
      <c r="CD248" s="6696"/>
      <c r="CE248" s="6697"/>
      <c r="CF248" s="6698"/>
      <c r="CG248" s="6699"/>
      <c r="CH248" s="6700"/>
      <c r="CI248" s="6701"/>
      <c r="CJ248" s="6702"/>
      <c r="CK248" s="6703"/>
      <c r="CL248" s="6704"/>
      <c r="CM248" s="6705"/>
      <c r="CN248" s="6706"/>
      <c r="CO248" s="6707"/>
      <c r="CP248" s="6708"/>
      <c r="CQ248" s="6709"/>
      <c r="CR248" s="3581"/>
      <c r="CS248" s="3728"/>
      <c r="CT248" s="3728" t="str">
        <f>IF(T248="","",T248)</f>
        <v>Добавить группу потребителей</v>
      </c>
      <c r="CU248" s="3728"/>
      <c r="CV248" s="3728"/>
    </row>
    <row s="6710" customFormat="1" customHeight="1" ht="14.25">
      <c r="A249" s="3716"/>
      <c r="B249" s="3716"/>
      <c r="C249" s="3716"/>
      <c r="D249" s="3716"/>
      <c r="E249" s="3717"/>
      <c r="F249" s="3717" t="s">
        <v>152</v>
      </c>
      <c r="G249" s="3717"/>
      <c r="H249" s="3718"/>
      <c r="I249" s="3716"/>
      <c r="J249" s="3716"/>
      <c r="K249" s="3716"/>
      <c r="L249" s="3719"/>
      <c r="M249" s="3720"/>
      <c r="N249" s="3720"/>
      <c r="O249" s="3573"/>
      <c r="P249" s="3905"/>
      <c r="Q249" s="3906"/>
      <c r="R249" s="3907"/>
      <c r="S249" s="3908"/>
      <c r="T249" s="3909"/>
      <c r="U249" s="3569"/>
      <c r="V249" s="3569"/>
      <c r="W249" s="3569"/>
      <c r="X249" s="3569"/>
      <c r="Y249" s="3569"/>
      <c r="Z249" s="3569"/>
      <c r="AA249" s="3569"/>
      <c r="AB249" s="3569"/>
      <c r="AC249" s="3569"/>
      <c r="AD249" s="3569"/>
      <c r="AE249" s="3569"/>
      <c r="AF249" s="3569"/>
      <c r="AG249" s="3569"/>
      <c r="AH249" s="3569"/>
      <c r="AI249" s="3569"/>
      <c r="AJ249" s="3569"/>
      <c r="AK249" s="3569"/>
      <c r="AL249" s="3569"/>
      <c r="AM249" s="3569"/>
      <c r="AN249" s="3569"/>
      <c r="AO249" s="3569"/>
      <c r="AP249" s="3569"/>
      <c r="AQ249" s="3569"/>
      <c r="AR249" s="3569"/>
      <c r="AS249" s="3569"/>
      <c r="AT249" s="3569"/>
      <c r="AU249" s="3569"/>
      <c r="AV249" s="3569"/>
      <c r="AW249" s="3569"/>
      <c r="AX249" s="3569"/>
      <c r="AY249" s="3569"/>
      <c r="AZ249" s="3569"/>
      <c r="BA249" s="3569"/>
      <c r="BB249" s="3569"/>
      <c r="BC249" s="3569"/>
      <c r="BD249" s="3569"/>
      <c r="BE249" s="3569"/>
      <c r="BF249" s="3569"/>
      <c r="BG249" s="3569"/>
      <c r="BH249" s="3569"/>
      <c r="BI249" s="3569"/>
      <c r="BJ249" s="3569"/>
      <c r="BK249" s="3569"/>
      <c r="BL249" s="3569"/>
      <c r="BM249" s="3569"/>
      <c r="BN249" s="3569"/>
      <c r="BO249" s="3569"/>
      <c r="BP249" s="3569"/>
      <c r="BQ249" s="3569"/>
      <c r="BR249" s="3569"/>
      <c r="BS249" s="3569"/>
      <c r="BT249" s="3569"/>
      <c r="BU249" s="3569"/>
      <c r="BV249" s="3569"/>
      <c r="BW249" s="3569"/>
      <c r="BX249" s="3569"/>
      <c r="BY249" s="3569"/>
      <c r="BZ249" s="3569"/>
      <c r="CA249" s="3569"/>
      <c r="CB249" s="3569"/>
      <c r="CC249" s="3569"/>
      <c r="CD249" s="3569"/>
      <c r="CE249" s="3569"/>
      <c r="CF249" s="3569"/>
      <c r="CG249" s="3569"/>
      <c r="CH249" s="3569"/>
      <c r="CI249" s="3569"/>
      <c r="CJ249" s="3569"/>
      <c r="CK249" s="3569"/>
      <c r="CL249" s="3569"/>
      <c r="CM249" s="3569"/>
      <c r="CN249" s="3569"/>
      <c r="CO249" s="3569"/>
      <c r="CP249" s="3569"/>
      <c r="CQ249" s="3910"/>
      <c r="CR249" s="3581"/>
      <c r="CS249" s="3728"/>
      <c r="CT249" s="3728" t="str">
        <f>IF(T249="","",T249)</f>
        <v/>
      </c>
      <c r="CU249" s="3728"/>
      <c r="CV249" s="3728"/>
    </row>
    <row s="6711" customFormat="1" customHeight="1" ht="0.75">
      <c r="A250" s="4239"/>
      <c r="B250" s="4239"/>
      <c r="C250" s="4239"/>
      <c r="D250" s="4239"/>
      <c r="E250" s="3717"/>
      <c r="F250" s="3717" t="s">
        <v>152</v>
      </c>
      <c r="G250" s="3718"/>
      <c r="H250" s="4239"/>
      <c r="I250" s="4239"/>
      <c r="J250" s="4239"/>
      <c r="K250" s="4239"/>
      <c r="L250" s="4240"/>
      <c r="M250" s="4241"/>
      <c r="N250" s="4241"/>
      <c r="O250" s="3581"/>
      <c r="P250" s="4242"/>
      <c r="Q250" s="4243"/>
      <c r="R250" s="4242"/>
      <c r="S250" s="4244"/>
      <c r="T250" s="4245" t="s">
        <v>254</v>
      </c>
      <c r="U250" s="3571"/>
      <c r="V250" s="3571"/>
      <c r="W250" s="3571"/>
      <c r="X250" s="3571"/>
      <c r="Y250" s="3571"/>
      <c r="Z250" s="3571"/>
      <c r="AA250" s="3571"/>
      <c r="AB250" s="3571"/>
      <c r="AC250" s="3571"/>
      <c r="AD250" s="3571"/>
      <c r="AE250" s="3571"/>
      <c r="AF250" s="3571"/>
      <c r="AG250" s="3571"/>
      <c r="AH250" s="3571"/>
      <c r="AI250" s="3571"/>
      <c r="AJ250" s="3571"/>
      <c r="AK250" s="3571"/>
      <c r="AL250" s="3571"/>
      <c r="AM250" s="3571"/>
      <c r="AN250" s="3571"/>
      <c r="AO250" s="3571"/>
      <c r="AP250" s="3571"/>
      <c r="AQ250" s="3571"/>
      <c r="AR250" s="3571"/>
      <c r="AS250" s="3571"/>
      <c r="AT250" s="3571"/>
      <c r="AU250" s="3571"/>
      <c r="AV250" s="3571"/>
      <c r="AW250" s="3571"/>
      <c r="AX250" s="3571"/>
      <c r="AY250" s="3571"/>
      <c r="AZ250" s="3571"/>
      <c r="BA250" s="3571"/>
      <c r="BB250" s="3571"/>
      <c r="BC250" s="3571"/>
      <c r="BD250" s="3571"/>
      <c r="BE250" s="3571"/>
      <c r="BF250" s="3571"/>
      <c r="BG250" s="3571"/>
      <c r="BH250" s="3571"/>
      <c r="BI250" s="3571"/>
      <c r="BJ250" s="3571"/>
      <c r="BK250" s="3571"/>
      <c r="BL250" s="3571"/>
      <c r="BM250" s="3571"/>
      <c r="BN250" s="3571"/>
      <c r="BO250" s="3571"/>
      <c r="BP250" s="3571"/>
      <c r="BQ250" s="3571"/>
      <c r="BR250" s="3571"/>
      <c r="BS250" s="3571"/>
      <c r="BT250" s="3571"/>
      <c r="BU250" s="3571"/>
      <c r="BV250" s="3571"/>
      <c r="BW250" s="3571"/>
      <c r="BX250" s="3571"/>
      <c r="BY250" s="3571"/>
      <c r="BZ250" s="3571"/>
      <c r="CA250" s="3571"/>
      <c r="CB250" s="3571"/>
      <c r="CC250" s="3571"/>
      <c r="CD250" s="3571"/>
      <c r="CE250" s="3571"/>
      <c r="CF250" s="3571"/>
      <c r="CG250" s="3571"/>
      <c r="CH250" s="3571"/>
      <c r="CI250" s="3571"/>
      <c r="CJ250" s="3571"/>
      <c r="CK250" s="3571"/>
      <c r="CL250" s="3571"/>
      <c r="CM250" s="3571"/>
      <c r="CN250" s="3571"/>
      <c r="CO250" s="3571"/>
      <c r="CP250" s="3571"/>
      <c r="CQ250" s="3571"/>
      <c r="CR250" s="3581"/>
      <c r="CS250" s="3728"/>
      <c r="CT250" s="3728" t="str">
        <f>IF(T250="","",T250)</f>
        <v>Добавить источник для дифференциации</v>
      </c>
      <c r="CU250" s="3728"/>
      <c r="CV250" s="3728"/>
    </row>
    <row s="6712" customFormat="1" customHeight="1" ht="0.75">
      <c r="A251" s="4239"/>
      <c r="B251" s="4239"/>
      <c r="C251" s="4239"/>
      <c r="D251" s="4239"/>
      <c r="E251" s="3717"/>
      <c r="F251" s="3718" t="s">
        <v>152</v>
      </c>
      <c r="G251" s="4239"/>
      <c r="H251" s="4239"/>
      <c r="I251" s="4239"/>
      <c r="J251" s="4239"/>
      <c r="K251" s="4239"/>
      <c r="L251" s="4240"/>
      <c r="M251" s="4247"/>
      <c r="N251" s="4247"/>
      <c r="O251" s="3581"/>
      <c r="P251" s="4242"/>
      <c r="Q251" s="4243"/>
      <c r="R251" s="4242"/>
      <c r="S251" s="4248"/>
      <c r="T251" s="4249" t="s">
        <v>255</v>
      </c>
      <c r="U251" s="3572"/>
      <c r="V251" s="3572"/>
      <c r="W251" s="3572"/>
      <c r="X251" s="3572"/>
      <c r="Y251" s="3572"/>
      <c r="Z251" s="3572"/>
      <c r="AA251" s="3572"/>
      <c r="AB251" s="3572"/>
      <c r="AC251" s="3572"/>
      <c r="AD251" s="3572"/>
      <c r="AE251" s="3572"/>
      <c r="AF251" s="3572"/>
      <c r="AG251" s="3572"/>
      <c r="AH251" s="3572"/>
      <c r="AI251" s="3572"/>
      <c r="AJ251" s="3572"/>
      <c r="AK251" s="3572"/>
      <c r="AL251" s="3572"/>
      <c r="AM251" s="3572"/>
      <c r="AN251" s="3572"/>
      <c r="AO251" s="3572"/>
      <c r="AP251" s="3572"/>
      <c r="AQ251" s="3572"/>
      <c r="AR251" s="3572"/>
      <c r="AS251" s="3572"/>
      <c r="AT251" s="3572"/>
      <c r="AU251" s="3572"/>
      <c r="AV251" s="3572"/>
      <c r="AW251" s="3572"/>
      <c r="AX251" s="3572"/>
      <c r="AY251" s="3572"/>
      <c r="AZ251" s="3572"/>
      <c r="BA251" s="3572"/>
      <c r="BB251" s="3572"/>
      <c r="BC251" s="3572"/>
      <c r="BD251" s="3572"/>
      <c r="BE251" s="3572"/>
      <c r="BF251" s="3572"/>
      <c r="BG251" s="3572"/>
      <c r="BH251" s="3572"/>
      <c r="BI251" s="3572"/>
      <c r="BJ251" s="3572"/>
      <c r="BK251" s="3572"/>
      <c r="BL251" s="3572"/>
      <c r="BM251" s="3572"/>
      <c r="BN251" s="3572"/>
      <c r="BO251" s="3572"/>
      <c r="BP251" s="3572"/>
      <c r="BQ251" s="3572"/>
      <c r="BR251" s="3572"/>
      <c r="BS251" s="3572"/>
      <c r="BT251" s="3572"/>
      <c r="BU251" s="3572"/>
      <c r="BV251" s="3572"/>
      <c r="BW251" s="3572"/>
      <c r="BX251" s="3572"/>
      <c r="BY251" s="3572"/>
      <c r="BZ251" s="3572"/>
      <c r="CA251" s="3572"/>
      <c r="CB251" s="3572"/>
      <c r="CC251" s="3572"/>
      <c r="CD251" s="3572"/>
      <c r="CE251" s="3572"/>
      <c r="CF251" s="3572"/>
      <c r="CG251" s="3572"/>
      <c r="CH251" s="3572"/>
      <c r="CI251" s="3572"/>
      <c r="CJ251" s="3572"/>
      <c r="CK251" s="3572"/>
      <c r="CL251" s="3572"/>
      <c r="CM251" s="3572"/>
      <c r="CN251" s="3572"/>
      <c r="CO251" s="3572"/>
      <c r="CP251" s="3572"/>
      <c r="CQ251" s="3572"/>
      <c r="CR251" s="3581"/>
      <c r="CS251" s="3728"/>
      <c r="CT251" s="3728" t="str">
        <f>IF(T251="","",T251)</f>
        <v>Добавить централизованную систему для дифференциации</v>
      </c>
      <c r="CU251" s="3728"/>
      <c r="CV251" s="3728"/>
    </row>
    <row s="6713" customFormat="1" customHeight="1" ht="21">
      <c r="A252" s="3716"/>
      <c r="B252" s="3716" t="s">
        <v>307</v>
      </c>
      <c r="C252" s="3716"/>
      <c r="D252" s="3716"/>
      <c r="E252" s="3717"/>
      <c r="F252" s="3718" t="s">
        <v>159</v>
      </c>
      <c r="G252" s="3716"/>
      <c r="H252" s="3716"/>
      <c r="I252" s="3716"/>
      <c r="J252" s="3716"/>
      <c r="K252" s="3716"/>
      <c r="L252" s="3719"/>
      <c r="M252" s="3720"/>
      <c r="N252" s="3720"/>
      <c r="O252" s="3720"/>
      <c r="P252" s="4073"/>
      <c r="Q252" s="3722"/>
      <c r="R252" s="3723"/>
      <c r="S252" s="3724" t="str">
        <f>INDEX(PT_DIFFERENTIATION_NUM_TER,MATCH(B252,PT_DIFFERENTIATION_TER_ID,0))</f>
        <v>1.15</v>
      </c>
      <c r="T252" s="4074" t="s">
        <v>612</v>
      </c>
      <c r="U252" s="3726"/>
      <c r="V252" s="3432"/>
      <c r="W252" s="3433"/>
      <c r="X252" s="3433"/>
      <c r="Y252" s="3433"/>
      <c r="Z252" s="3433"/>
      <c r="AA252" s="3433"/>
      <c r="AB252" s="3433"/>
      <c r="AC252" s="3434"/>
      <c r="AD252" s="3432" t="str">
        <f>INDEX(PT_DIFFERENTIATION_TER,MATCH(B252,PT_DIFFERENTIATION_TER_ID,0))</f>
        <v>Территория 15</v>
      </c>
      <c r="AE252" s="3433"/>
      <c r="AF252" s="3433"/>
      <c r="AG252" s="3433"/>
      <c r="AH252" s="3433"/>
      <c r="AI252" s="3433"/>
      <c r="AJ252" s="3433"/>
      <c r="AK252" s="3433"/>
      <c r="AL252" s="3432"/>
      <c r="AM252" s="3433"/>
      <c r="AN252" s="3433"/>
      <c r="AO252" s="3433"/>
      <c r="AP252" s="3433"/>
      <c r="AQ252" s="3433"/>
      <c r="AR252" s="3433"/>
      <c r="AS252" s="3434"/>
      <c r="AT252" s="3432"/>
      <c r="AU252" s="3433"/>
      <c r="AV252" s="3433"/>
      <c r="AW252" s="3433"/>
      <c r="AX252" s="3433"/>
      <c r="AY252" s="3433"/>
      <c r="AZ252" s="3433"/>
      <c r="BA252" s="3434"/>
      <c r="BB252" s="3432"/>
      <c r="BC252" s="3433"/>
      <c r="BD252" s="3433"/>
      <c r="BE252" s="3433"/>
      <c r="BF252" s="3433"/>
      <c r="BG252" s="3433"/>
      <c r="BH252" s="3433"/>
      <c r="BI252" s="3434"/>
      <c r="BJ252" s="3432"/>
      <c r="BK252" s="3433"/>
      <c r="BL252" s="3433"/>
      <c r="BM252" s="3433"/>
      <c r="BN252" s="3433"/>
      <c r="BO252" s="3433"/>
      <c r="BP252" s="3433"/>
      <c r="BQ252" s="3434"/>
      <c r="BR252" s="3432"/>
      <c r="BS252" s="3433"/>
      <c r="BT252" s="3433"/>
      <c r="BU252" s="3433"/>
      <c r="BV252" s="3433"/>
      <c r="BW252" s="3433"/>
      <c r="BX252" s="3433"/>
      <c r="BY252" s="3434"/>
      <c r="BZ252" s="3432"/>
      <c r="CA252" s="3433"/>
      <c r="CB252" s="3433"/>
      <c r="CC252" s="3433"/>
      <c r="CD252" s="3433"/>
      <c r="CE252" s="3433"/>
      <c r="CF252" s="3433"/>
      <c r="CG252" s="3434"/>
      <c r="CH252" s="3432"/>
      <c r="CI252" s="3433"/>
      <c r="CJ252" s="3433"/>
      <c r="CK252" s="3433"/>
      <c r="CL252" s="3433"/>
      <c r="CM252" s="3433"/>
      <c r="CN252" s="3433"/>
      <c r="CO252" s="3434"/>
      <c r="CP252" s="3434"/>
      <c r="CQ252" s="3727" t="s">
        <v>613</v>
      </c>
      <c r="CR252" s="3581"/>
      <c r="CS252" s="3728"/>
      <c r="CT252" s="3728" t="str">
        <f>IF(T252="","",T252)</f>
        <v>Территория действия тарифа</v>
      </c>
      <c r="CU252" s="3728"/>
      <c r="CV252" s="3728"/>
    </row>
    <row s="6714" customFormat="1" customHeight="1" ht="23.25">
      <c r="A253" s="3716"/>
      <c r="B253" s="3716"/>
      <c r="C253" s="3716" t="s">
        <v>308</v>
      </c>
      <c r="D253" s="3716"/>
      <c r="E253" s="3717"/>
      <c r="F253" s="3717" t="s">
        <v>157</v>
      </c>
      <c r="G253" s="3718">
        <v>1</v>
      </c>
      <c r="H253" s="3716"/>
      <c r="I253" s="3716"/>
      <c r="J253" s="3716"/>
      <c r="K253" s="3716"/>
      <c r="L253" s="3719"/>
      <c r="M253" s="3720"/>
      <c r="N253" s="3720"/>
      <c r="O253" s="3720"/>
      <c r="P253" s="3721"/>
      <c r="Q253" s="3722"/>
      <c r="R253" s="3723"/>
      <c r="S253" s="3724" t="str">
        <f>INDEX(PT_DIFFERENTIATION_NUM_CS,MATCH(C253,PT_DIFFERENTIATION_CS_ID,0))</f>
        <v>1.15.1</v>
      </c>
      <c r="T253" s="4076" t="s">
        <v>614</v>
      </c>
      <c r="U253" s="3726"/>
      <c r="V253" s="3432"/>
      <c r="W253" s="3433"/>
      <c r="X253" s="3433"/>
      <c r="Y253" s="3433"/>
      <c r="Z253" s="3433"/>
      <c r="AA253" s="3433"/>
      <c r="AB253" s="3433"/>
      <c r="AC253" s="3434"/>
      <c r="AD253" s="3432" t="str">
        <f>INDEX(PT_DIFFERENTIATION_CS,MATCH(C253,PT_DIFFERENTIATION_CS_ID,0))</f>
        <v>без дифференциации</v>
      </c>
      <c r="AE253" s="3433"/>
      <c r="AF253" s="3433"/>
      <c r="AG253" s="3433"/>
      <c r="AH253" s="3433"/>
      <c r="AI253" s="3433"/>
      <c r="AJ253" s="3433"/>
      <c r="AK253" s="3433"/>
      <c r="AL253" s="3432"/>
      <c r="AM253" s="3433"/>
      <c r="AN253" s="3433"/>
      <c r="AO253" s="3433"/>
      <c r="AP253" s="3433"/>
      <c r="AQ253" s="3433"/>
      <c r="AR253" s="3433"/>
      <c r="AS253" s="3434"/>
      <c r="AT253" s="3432"/>
      <c r="AU253" s="3433"/>
      <c r="AV253" s="3433"/>
      <c r="AW253" s="3433"/>
      <c r="AX253" s="3433"/>
      <c r="AY253" s="3433"/>
      <c r="AZ253" s="3433"/>
      <c r="BA253" s="3434"/>
      <c r="BB253" s="3432"/>
      <c r="BC253" s="3433"/>
      <c r="BD253" s="3433"/>
      <c r="BE253" s="3433"/>
      <c r="BF253" s="3433"/>
      <c r="BG253" s="3433"/>
      <c r="BH253" s="3433"/>
      <c r="BI253" s="3434"/>
      <c r="BJ253" s="3432"/>
      <c r="BK253" s="3433"/>
      <c r="BL253" s="3433"/>
      <c r="BM253" s="3433"/>
      <c r="BN253" s="3433"/>
      <c r="BO253" s="3433"/>
      <c r="BP253" s="3433"/>
      <c r="BQ253" s="3434"/>
      <c r="BR253" s="3432"/>
      <c r="BS253" s="3433"/>
      <c r="BT253" s="3433"/>
      <c r="BU253" s="3433"/>
      <c r="BV253" s="3433"/>
      <c r="BW253" s="3433"/>
      <c r="BX253" s="3433"/>
      <c r="BY253" s="3434"/>
      <c r="BZ253" s="3432"/>
      <c r="CA253" s="3433"/>
      <c r="CB253" s="3433"/>
      <c r="CC253" s="3433"/>
      <c r="CD253" s="3433"/>
      <c r="CE253" s="3433"/>
      <c r="CF253" s="3433"/>
      <c r="CG253" s="3434"/>
      <c r="CH253" s="3432"/>
      <c r="CI253" s="3433"/>
      <c r="CJ253" s="3433"/>
      <c r="CK253" s="3433"/>
      <c r="CL253" s="3433"/>
      <c r="CM253" s="3433"/>
      <c r="CN253" s="3433"/>
      <c r="CO253" s="3434"/>
      <c r="CP253" s="3434"/>
      <c r="CQ253" s="3727" t="s">
        <v>615</v>
      </c>
      <c r="CR253" s="3581"/>
      <c r="CS253" s="3728"/>
      <c r="CT253" s="3728" t="str">
        <f>IF(T253="","",T253)</f>
        <v>Наименование системы теплоснабжения </v>
      </c>
      <c r="CU253" s="3728"/>
      <c r="CV253" s="3728"/>
    </row>
    <row s="6715" customFormat="1" customHeight="1" ht="21">
      <c r="A254" s="3716"/>
      <c r="B254" s="3716"/>
      <c r="C254" s="3716"/>
      <c r="D254" s="3716" t="s">
        <v>309</v>
      </c>
      <c r="E254" s="3717"/>
      <c r="F254" s="3717" t="s">
        <v>157</v>
      </c>
      <c r="G254" s="3717"/>
      <c r="H254" s="3718">
        <v>1</v>
      </c>
      <c r="I254" s="3716"/>
      <c r="J254" s="3716"/>
      <c r="K254" s="3716"/>
      <c r="L254" s="3719"/>
      <c r="M254" s="3720"/>
      <c r="N254" s="3720"/>
      <c r="O254" s="3720"/>
      <c r="P254" s="3721"/>
      <c r="Q254" s="3722"/>
      <c r="R254" s="3723"/>
      <c r="S254" s="3724" t="str">
        <f>INDEX(PT_DIFFERENTIATION_NUM_IST_TE,MATCH(D254,PT_DIFFERENTIATION_IST_TE_ID,0))</f>
        <v>1.15.1.1</v>
      </c>
      <c r="T254" s="3725" t="s">
        <v>616</v>
      </c>
      <c r="U254" s="3726"/>
      <c r="V254" s="3432"/>
      <c r="W254" s="3433"/>
      <c r="X254" s="3433"/>
      <c r="Y254" s="3433"/>
      <c r="Z254" s="3433"/>
      <c r="AA254" s="3433"/>
      <c r="AB254" s="3433"/>
      <c r="AC254" s="3434"/>
      <c r="AD254" s="3432" t="str">
        <f>INDEX(PT_DIFFERENTIATION_IST_TE,MATCH(D254,PT_DIFFERENTIATION_IST_TE_ID,0))</f>
        <v>с.п.Териберка (мазутная котельная)</v>
      </c>
      <c r="AE254" s="3433"/>
      <c r="AF254" s="3433"/>
      <c r="AG254" s="3433"/>
      <c r="AH254" s="3433"/>
      <c r="AI254" s="3433"/>
      <c r="AJ254" s="3433"/>
      <c r="AK254" s="3433"/>
      <c r="AL254" s="3432"/>
      <c r="AM254" s="3433"/>
      <c r="AN254" s="3433"/>
      <c r="AO254" s="3433"/>
      <c r="AP254" s="3433"/>
      <c r="AQ254" s="3433"/>
      <c r="AR254" s="3433"/>
      <c r="AS254" s="3434"/>
      <c r="AT254" s="3432"/>
      <c r="AU254" s="3433"/>
      <c r="AV254" s="3433"/>
      <c r="AW254" s="3433"/>
      <c r="AX254" s="3433"/>
      <c r="AY254" s="3433"/>
      <c r="AZ254" s="3433"/>
      <c r="BA254" s="3434"/>
      <c r="BB254" s="3432"/>
      <c r="BC254" s="3433"/>
      <c r="BD254" s="3433"/>
      <c r="BE254" s="3433"/>
      <c r="BF254" s="3433"/>
      <c r="BG254" s="3433"/>
      <c r="BH254" s="3433"/>
      <c r="BI254" s="3434"/>
      <c r="BJ254" s="3432"/>
      <c r="BK254" s="3433"/>
      <c r="BL254" s="3433"/>
      <c r="BM254" s="3433"/>
      <c r="BN254" s="3433"/>
      <c r="BO254" s="3433"/>
      <c r="BP254" s="3433"/>
      <c r="BQ254" s="3434"/>
      <c r="BR254" s="3432"/>
      <c r="BS254" s="3433"/>
      <c r="BT254" s="3433"/>
      <c r="BU254" s="3433"/>
      <c r="BV254" s="3433"/>
      <c r="BW254" s="3433"/>
      <c r="BX254" s="3433"/>
      <c r="BY254" s="3434"/>
      <c r="BZ254" s="3432"/>
      <c r="CA254" s="3433"/>
      <c r="CB254" s="3433"/>
      <c r="CC254" s="3433"/>
      <c r="CD254" s="3433"/>
      <c r="CE254" s="3433"/>
      <c r="CF254" s="3433"/>
      <c r="CG254" s="3434"/>
      <c r="CH254" s="3432"/>
      <c r="CI254" s="3433"/>
      <c r="CJ254" s="3433"/>
      <c r="CK254" s="3433"/>
      <c r="CL254" s="3433"/>
      <c r="CM254" s="3433"/>
      <c r="CN254" s="3433"/>
      <c r="CO254" s="3434"/>
      <c r="CP254" s="3434"/>
      <c r="CQ254" s="3727" t="s">
        <v>617</v>
      </c>
      <c r="CR254" s="3581"/>
      <c r="CS254" s="3728"/>
      <c r="CT254" s="3728" t="str">
        <f>IF(T254="","",T254)</f>
        <v>Источник тепловой энергии  </v>
      </c>
      <c r="CU254" s="3728"/>
      <c r="CV254" s="3728"/>
    </row>
    <row s="6716" customFormat="1" customHeight="1" ht="14.25">
      <c r="A255" s="3716"/>
      <c r="B255" s="3716"/>
      <c r="C255" s="3716"/>
      <c r="D255" s="3716"/>
      <c r="E255" s="3717"/>
      <c r="F255" s="3717" t="s">
        <v>157</v>
      </c>
      <c r="G255" s="3717"/>
      <c r="H255" s="3717"/>
      <c r="I255" s="3730" t="str">
        <f>S254&amp;".1"</f>
        <v>1.15.1.1.1</v>
      </c>
      <c r="J255" s="3716"/>
      <c r="K255" s="3716"/>
      <c r="L255" s="3719" t="s">
        <v>618</v>
      </c>
      <c r="M255" s="3573"/>
      <c r="N255" s="3731"/>
      <c r="O255" s="3731"/>
      <c r="P255" s="3732">
        <v>1</v>
      </c>
      <c r="Q255" s="3732"/>
      <c r="R255" s="3733"/>
      <c r="S255" s="3734"/>
      <c r="T255" s="3735"/>
      <c r="U255" s="3736"/>
      <c r="V255" s="3441"/>
      <c r="W255" s="3442"/>
      <c r="X255" s="3442"/>
      <c r="Y255" s="3442"/>
      <c r="Z255" s="3442"/>
      <c r="AA255" s="3442"/>
      <c r="AB255" s="3442"/>
      <c r="AC255" s="3443"/>
      <c r="AD255" s="3441"/>
      <c r="AE255" s="3442"/>
      <c r="AF255" s="3442"/>
      <c r="AG255" s="3442"/>
      <c r="AH255" s="3442"/>
      <c r="AI255" s="3442"/>
      <c r="AJ255" s="3442"/>
      <c r="AK255" s="3442"/>
      <c r="AL255" s="3441"/>
      <c r="AM255" s="3442"/>
      <c r="AN255" s="3442"/>
      <c r="AO255" s="3442"/>
      <c r="AP255" s="3442"/>
      <c r="AQ255" s="3442"/>
      <c r="AR255" s="3442"/>
      <c r="AS255" s="3443"/>
      <c r="AT255" s="3441"/>
      <c r="AU255" s="3442"/>
      <c r="AV255" s="3442"/>
      <c r="AW255" s="3442"/>
      <c r="AX255" s="3442"/>
      <c r="AY255" s="3442"/>
      <c r="AZ255" s="3442"/>
      <c r="BA255" s="3443"/>
      <c r="BB255" s="3441"/>
      <c r="BC255" s="3442"/>
      <c r="BD255" s="3442"/>
      <c r="BE255" s="3442"/>
      <c r="BF255" s="3442"/>
      <c r="BG255" s="3442"/>
      <c r="BH255" s="3442"/>
      <c r="BI255" s="3443"/>
      <c r="BJ255" s="3441"/>
      <c r="BK255" s="3442"/>
      <c r="BL255" s="3442"/>
      <c r="BM255" s="3442"/>
      <c r="BN255" s="3442"/>
      <c r="BO255" s="3442"/>
      <c r="BP255" s="3442"/>
      <c r="BQ255" s="3443"/>
      <c r="BR255" s="3441"/>
      <c r="BS255" s="3442"/>
      <c r="BT255" s="3442"/>
      <c r="BU255" s="3442"/>
      <c r="BV255" s="3442"/>
      <c r="BW255" s="3442"/>
      <c r="BX255" s="3442"/>
      <c r="BY255" s="3443"/>
      <c r="BZ255" s="3441"/>
      <c r="CA255" s="3442"/>
      <c r="CB255" s="3442"/>
      <c r="CC255" s="3442"/>
      <c r="CD255" s="3442"/>
      <c r="CE255" s="3442"/>
      <c r="CF255" s="3442"/>
      <c r="CG255" s="3443"/>
      <c r="CH255" s="3441"/>
      <c r="CI255" s="3442"/>
      <c r="CJ255" s="3442"/>
      <c r="CK255" s="3442"/>
      <c r="CL255" s="3442"/>
      <c r="CM255" s="3442"/>
      <c r="CN255" s="3442"/>
      <c r="CO255" s="3443"/>
      <c r="CP255" s="3443"/>
      <c r="CQ255" s="3737"/>
      <c r="CR255" s="3581"/>
      <c r="CS255" s="3728"/>
      <c r="CT255" s="3728" t="str">
        <f>IF(T255="","",T255)</f>
        <v/>
      </c>
      <c r="CU255" s="3728"/>
      <c r="CV255" s="3728"/>
    </row>
    <row s="6717" customFormat="1" customHeight="1" ht="21">
      <c r="A256" s="3716"/>
      <c r="B256" s="3716"/>
      <c r="C256" s="3716"/>
      <c r="D256" s="3716"/>
      <c r="E256" s="3717"/>
      <c r="F256" s="3717" t="s">
        <v>157</v>
      </c>
      <c r="G256" s="3717"/>
      <c r="H256" s="3717"/>
      <c r="I256" s="3739"/>
      <c r="J256" s="3730" t="str">
        <f>I255&amp;".1"</f>
        <v>1.15.1.1.1.1</v>
      </c>
      <c r="K256" s="3716"/>
      <c r="L256" s="3719" t="s">
        <v>621</v>
      </c>
      <c r="M256" s="3573"/>
      <c r="N256" s="3573"/>
      <c r="O256" s="3731"/>
      <c r="P256" s="3732"/>
      <c r="Q256" s="3732">
        <v>1</v>
      </c>
      <c r="R256" s="3740"/>
      <c r="S256" s="3724" t="str">
        <f>$J256</f>
        <v>1.15.1.1.1.1</v>
      </c>
      <c r="T256" s="3741" t="s">
        <v>622</v>
      </c>
      <c r="U256" s="3726"/>
      <c r="V256" s="3445"/>
      <c r="W256" s="3446"/>
      <c r="X256" s="3446"/>
      <c r="Y256" s="3446"/>
      <c r="Z256" s="3446"/>
      <c r="AA256" s="3446"/>
      <c r="AB256" s="3446"/>
      <c r="AC256" s="3447"/>
      <c r="AD256" s="3445" t="s">
        <v>662</v>
      </c>
      <c r="AE256" s="3446"/>
      <c r="AF256" s="3446"/>
      <c r="AG256" s="3446"/>
      <c r="AH256" s="3446"/>
      <c r="AI256" s="3446"/>
      <c r="AJ256" s="3446"/>
      <c r="AK256" s="3446"/>
      <c r="AL256" s="3445"/>
      <c r="AM256" s="3446"/>
      <c r="AN256" s="3446"/>
      <c r="AO256" s="3446"/>
      <c r="AP256" s="3446"/>
      <c r="AQ256" s="3446"/>
      <c r="AR256" s="3446"/>
      <c r="AS256" s="3447"/>
      <c r="AT256" s="3445"/>
      <c r="AU256" s="3446"/>
      <c r="AV256" s="3446"/>
      <c r="AW256" s="3446"/>
      <c r="AX256" s="3446"/>
      <c r="AY256" s="3446"/>
      <c r="AZ256" s="3446"/>
      <c r="BA256" s="3447"/>
      <c r="BB256" s="3445"/>
      <c r="BC256" s="3446"/>
      <c r="BD256" s="3446"/>
      <c r="BE256" s="3446"/>
      <c r="BF256" s="3446"/>
      <c r="BG256" s="3446"/>
      <c r="BH256" s="3446"/>
      <c r="BI256" s="3447"/>
      <c r="BJ256" s="3445"/>
      <c r="BK256" s="3446"/>
      <c r="BL256" s="3446"/>
      <c r="BM256" s="3446"/>
      <c r="BN256" s="3446"/>
      <c r="BO256" s="3446"/>
      <c r="BP256" s="3446"/>
      <c r="BQ256" s="3447"/>
      <c r="BR256" s="3445"/>
      <c r="BS256" s="3446"/>
      <c r="BT256" s="3446"/>
      <c r="BU256" s="3446"/>
      <c r="BV256" s="3446"/>
      <c r="BW256" s="3446"/>
      <c r="BX256" s="3446"/>
      <c r="BY256" s="3447"/>
      <c r="BZ256" s="3445"/>
      <c r="CA256" s="3446"/>
      <c r="CB256" s="3446"/>
      <c r="CC256" s="3446"/>
      <c r="CD256" s="3446"/>
      <c r="CE256" s="3446"/>
      <c r="CF256" s="3446"/>
      <c r="CG256" s="3447"/>
      <c r="CH256" s="3445"/>
      <c r="CI256" s="3446"/>
      <c r="CJ256" s="3446"/>
      <c r="CK256" s="3446"/>
      <c r="CL256" s="3446"/>
      <c r="CM256" s="3446"/>
      <c r="CN256" s="3446"/>
      <c r="CO256" s="3447"/>
      <c r="CP256" s="3447"/>
      <c r="CQ256" s="3727" t="s">
        <v>623</v>
      </c>
      <c r="CR256" s="3581"/>
      <c r="CS256" s="3728"/>
      <c r="CT256" s="3728" t="str">
        <f>IF(T256="","",T256)</f>
        <v>Группа потребителей</v>
      </c>
      <c r="CU256" s="3728"/>
      <c r="CV256" s="3728"/>
    </row>
    <row s="6718" customFormat="1" customHeight="1" ht="21">
      <c r="A257" s="3716"/>
      <c r="B257" s="3716"/>
      <c r="C257" s="3716"/>
      <c r="D257" s="3716"/>
      <c r="E257" s="3717"/>
      <c r="F257" s="3717" t="s">
        <v>157</v>
      </c>
      <c r="G257" s="3717"/>
      <c r="H257" s="3717"/>
      <c r="I257" s="3739"/>
      <c r="J257" s="3739"/>
      <c r="K257" s="3730" t="str">
        <f>J256&amp;".1"</f>
        <v>1.15.1.1.1.1.1</v>
      </c>
      <c r="L257" s="3719" t="s">
        <v>624</v>
      </c>
      <c r="M257" s="3573"/>
      <c r="N257" s="3573"/>
      <c r="O257" s="3573"/>
      <c r="P257" s="3732"/>
      <c r="Q257" s="3732"/>
      <c r="R257" s="3740">
        <v>1</v>
      </c>
      <c r="S257" s="3724" t="str">
        <f>$K257</f>
        <v>1.15.1.1.1.1.1</v>
      </c>
      <c r="T257" s="3743" t="s">
        <v>663</v>
      </c>
      <c r="U257" s="3726"/>
      <c r="V257" s="3448"/>
      <c r="W257" s="3449"/>
      <c r="X257" s="3448"/>
      <c r="Y257" s="3450"/>
      <c r="Z257" s="3451"/>
      <c r="AA257" s="2872" t="s">
        <v>63</v>
      </c>
      <c r="AB257" s="3451"/>
      <c r="AC257" s="2872" t="s">
        <v>63</v>
      </c>
      <c r="AD257" s="3448">
        <v>44.35</v>
      </c>
      <c r="AE257" s="3449"/>
      <c r="AF257" s="3448"/>
      <c r="AG257" s="3450"/>
      <c r="AH257" s="3451">
        <v>44197</v>
      </c>
      <c r="AI257" s="2872" t="s">
        <v>63</v>
      </c>
      <c r="AJ257" s="3451">
        <v>44377</v>
      </c>
      <c r="AK257" s="2872" t="s">
        <v>63</v>
      </c>
      <c r="AL257" s="3448">
        <v>79.5</v>
      </c>
      <c r="AM257" s="3449"/>
      <c r="AN257" s="3448"/>
      <c r="AO257" s="3450"/>
      <c r="AP257" s="3451">
        <v>44378</v>
      </c>
      <c r="AQ257" s="2872" t="s">
        <v>63</v>
      </c>
      <c r="AR257" s="3451">
        <v>44561</v>
      </c>
      <c r="AS257" s="2872" t="s">
        <v>63</v>
      </c>
      <c r="AT257" s="3448">
        <v>79.5</v>
      </c>
      <c r="AU257" s="3449"/>
      <c r="AV257" s="3448"/>
      <c r="AW257" s="3450"/>
      <c r="AX257" s="3451">
        <v>44562</v>
      </c>
      <c r="AY257" s="2872" t="s">
        <v>63</v>
      </c>
      <c r="AZ257" s="3451">
        <v>44601</v>
      </c>
      <c r="BA257" s="2872" t="s">
        <v>63</v>
      </c>
      <c r="BB257" s="3448">
        <v>79.5</v>
      </c>
      <c r="BC257" s="3449"/>
      <c r="BD257" s="3448"/>
      <c r="BE257" s="3450"/>
      <c r="BF257" s="3451">
        <v>44602</v>
      </c>
      <c r="BG257" s="2872" t="s">
        <v>63</v>
      </c>
      <c r="BH257" s="3451">
        <v>44742</v>
      </c>
      <c r="BI257" s="2872" t="s">
        <v>63</v>
      </c>
      <c r="BJ257" s="3448">
        <v>140.53</v>
      </c>
      <c r="BK257" s="3449"/>
      <c r="BL257" s="3448"/>
      <c r="BM257" s="3450"/>
      <c r="BN257" s="3451">
        <v>44743</v>
      </c>
      <c r="BO257" s="2872" t="s">
        <v>63</v>
      </c>
      <c r="BP257" s="3451">
        <v>44804</v>
      </c>
      <c r="BQ257" s="2872" t="s">
        <v>63</v>
      </c>
      <c r="BR257" s="3448">
        <v>140.53</v>
      </c>
      <c r="BS257" s="3449"/>
      <c r="BT257" s="3448"/>
      <c r="BU257" s="3450"/>
      <c r="BV257" s="3451">
        <v>44805</v>
      </c>
      <c r="BW257" s="2872" t="s">
        <v>63</v>
      </c>
      <c r="BX257" s="3451">
        <v>44895</v>
      </c>
      <c r="BY257" s="2872" t="s">
        <v>63</v>
      </c>
      <c r="BZ257" s="3448">
        <v>155.94</v>
      </c>
      <c r="CA257" s="3449"/>
      <c r="CB257" s="3448"/>
      <c r="CC257" s="3450"/>
      <c r="CD257" s="3451">
        <v>44896</v>
      </c>
      <c r="CE257" s="2872" t="s">
        <v>63</v>
      </c>
      <c r="CF257" s="3451">
        <v>45174</v>
      </c>
      <c r="CG257" s="2872" t="s">
        <v>63</v>
      </c>
      <c r="CH257" s="3448">
        <v>155.94</v>
      </c>
      <c r="CI257" s="3449"/>
      <c r="CJ257" s="3448"/>
      <c r="CK257" s="3450"/>
      <c r="CL257" s="3451">
        <v>45175</v>
      </c>
      <c r="CM257" s="2872" t="s">
        <v>63</v>
      </c>
      <c r="CN257" s="3451">
        <v>45291</v>
      </c>
      <c r="CO257" s="2872" t="s">
        <v>63</v>
      </c>
      <c r="CP257" s="3449"/>
      <c r="CQ257" s="3744" t="s">
        <v>625</v>
      </c>
      <c r="CR257" s="3581">
        <f>STRCHECKDATE(V258:CP258)</f>
      </c>
      <c r="CS257" s="3728"/>
      <c r="CT257" s="3728" t="str">
        <f>IF(T257="","",T257)</f>
        <v>вода</v>
      </c>
      <c r="CU257" s="3728"/>
      <c r="CV257" s="3728"/>
    </row>
    <row s="6719" customFormat="1" customHeight="1" ht="0.75">
      <c r="A258" s="3716"/>
      <c r="B258" s="3716"/>
      <c r="C258" s="3716"/>
      <c r="D258" s="3716"/>
      <c r="E258" s="3717"/>
      <c r="F258" s="3717" t="s">
        <v>157</v>
      </c>
      <c r="G258" s="3717"/>
      <c r="H258" s="3717"/>
      <c r="I258" s="3739"/>
      <c r="J258" s="3739"/>
      <c r="K258" s="3730"/>
      <c r="L258" s="3719"/>
      <c r="M258" s="3573"/>
      <c r="N258" s="3573"/>
      <c r="O258" s="3573"/>
      <c r="P258" s="3732"/>
      <c r="Q258" s="3732"/>
      <c r="R258" s="3740"/>
      <c r="S258" s="3746"/>
      <c r="T258" s="3726"/>
      <c r="U258" s="3726"/>
      <c r="V258" s="3449"/>
      <c r="W258" s="3449"/>
      <c r="X258" s="3449"/>
      <c r="Y258" s="3452" t="str">
        <f>Z257&amp;"-"&amp;AB257</f>
        <v>-</v>
      </c>
      <c r="Z258" s="3453"/>
      <c r="AA258" s="2872"/>
      <c r="AB258" s="3453"/>
      <c r="AC258" s="2872"/>
      <c r="AD258" s="3449"/>
      <c r="AE258" s="3449"/>
      <c r="AF258" s="3449"/>
      <c r="AG258" s="3452" t="str">
        <f>AH257&amp;"-"&amp;AJ257</f>
        <v>44197-44377</v>
      </c>
      <c r="AH258" s="3453"/>
      <c r="AI258" s="2872"/>
      <c r="AJ258" s="3453"/>
      <c r="AK258" s="2872"/>
      <c r="AL258" s="3449"/>
      <c r="AM258" s="3449"/>
      <c r="AN258" s="3449"/>
      <c r="AO258" s="3452" t="str">
        <f>AP257&amp;"-"&amp;AR257</f>
        <v>44378-44561</v>
      </c>
      <c r="AP258" s="3453"/>
      <c r="AQ258" s="2872"/>
      <c r="AR258" s="3453"/>
      <c r="AS258" s="2872"/>
      <c r="AT258" s="3449"/>
      <c r="AU258" s="3449"/>
      <c r="AV258" s="3449"/>
      <c r="AW258" s="3452" t="str">
        <f>AX257&amp;"-"&amp;AZ257</f>
        <v>44562-44601</v>
      </c>
      <c r="AX258" s="3453"/>
      <c r="AY258" s="2872"/>
      <c r="AZ258" s="3453"/>
      <c r="BA258" s="2872"/>
      <c r="BB258" s="3449"/>
      <c r="BC258" s="3449"/>
      <c r="BD258" s="3449"/>
      <c r="BE258" s="3452" t="str">
        <f>BF257&amp;"-"&amp;BH257</f>
        <v>44602-44742</v>
      </c>
      <c r="BF258" s="3453"/>
      <c r="BG258" s="2872"/>
      <c r="BH258" s="3453"/>
      <c r="BI258" s="2872"/>
      <c r="BJ258" s="3449"/>
      <c r="BK258" s="3449"/>
      <c r="BL258" s="3449"/>
      <c r="BM258" s="3452" t="str">
        <f>BN257&amp;"-"&amp;BP257</f>
        <v>44743-44804</v>
      </c>
      <c r="BN258" s="3453"/>
      <c r="BO258" s="2872"/>
      <c r="BP258" s="3453"/>
      <c r="BQ258" s="2872"/>
      <c r="BR258" s="3449"/>
      <c r="BS258" s="3449"/>
      <c r="BT258" s="3449"/>
      <c r="BU258" s="3452" t="str">
        <f>BV257&amp;"-"&amp;BX257</f>
        <v>44805-44895</v>
      </c>
      <c r="BV258" s="3453"/>
      <c r="BW258" s="2872"/>
      <c r="BX258" s="3453"/>
      <c r="BY258" s="2872"/>
      <c r="BZ258" s="3449"/>
      <c r="CA258" s="3449"/>
      <c r="CB258" s="3449"/>
      <c r="CC258" s="3452" t="str">
        <f>CD257&amp;"-"&amp;CF257</f>
        <v>44896-45174</v>
      </c>
      <c r="CD258" s="3453"/>
      <c r="CE258" s="2872"/>
      <c r="CF258" s="3453"/>
      <c r="CG258" s="2872"/>
      <c r="CH258" s="3449"/>
      <c r="CI258" s="3449"/>
      <c r="CJ258" s="3449"/>
      <c r="CK258" s="3452" t="str">
        <f>CL257&amp;"-"&amp;CN257</f>
        <v>45175-45291</v>
      </c>
      <c r="CL258" s="3453"/>
      <c r="CM258" s="2872"/>
      <c r="CN258" s="3453"/>
      <c r="CO258" s="2872"/>
      <c r="CP258" s="3449"/>
      <c r="CQ258" s="3747"/>
      <c r="CR258" s="3581"/>
      <c r="CS258" s="3728"/>
      <c r="CT258" s="3728" t="str">
        <f>IF(T258="","",T258)</f>
        <v/>
      </c>
      <c r="CU258" s="3728"/>
      <c r="CV258" s="3728"/>
    </row>
    <row s="6720" customFormat="1" customHeight="1" ht="15">
      <c r="A259" s="3716"/>
      <c r="B259" s="3716"/>
      <c r="C259" s="3716"/>
      <c r="D259" s="3716"/>
      <c r="E259" s="3717"/>
      <c r="F259" s="3717" t="s">
        <v>157</v>
      </c>
      <c r="G259" s="3717"/>
      <c r="H259" s="3717"/>
      <c r="I259" s="3739"/>
      <c r="J259" s="3730"/>
      <c r="K259" s="3716"/>
      <c r="L259" s="3719"/>
      <c r="M259" s="3573"/>
      <c r="N259" s="3573"/>
      <c r="O259" s="3731"/>
      <c r="P259" s="3732"/>
      <c r="Q259" s="3732"/>
      <c r="R259" s="3733"/>
      <c r="S259" s="6721"/>
      <c r="T259" s="6722" t="s">
        <v>626</v>
      </c>
      <c r="U259" s="6723"/>
      <c r="V259" s="6724"/>
      <c r="W259" s="6725"/>
      <c r="X259" s="6726"/>
      <c r="Y259" s="6727"/>
      <c r="Z259" s="6728"/>
      <c r="AA259" s="6729"/>
      <c r="AB259" s="6730"/>
      <c r="AC259" s="6731"/>
      <c r="AD259" s="6732"/>
      <c r="AE259" s="6733"/>
      <c r="AF259" s="6734"/>
      <c r="AG259" s="6735"/>
      <c r="AH259" s="6736"/>
      <c r="AI259" s="6737"/>
      <c r="AJ259" s="6738"/>
      <c r="AK259" s="6739"/>
      <c r="AL259" s="6740"/>
      <c r="AM259" s="6741"/>
      <c r="AN259" s="6742"/>
      <c r="AO259" s="6743"/>
      <c r="AP259" s="6744"/>
      <c r="AQ259" s="6745"/>
      <c r="AR259" s="6746"/>
      <c r="AS259" s="6747"/>
      <c r="AT259" s="6748"/>
      <c r="AU259" s="6749"/>
      <c r="AV259" s="6750"/>
      <c r="AW259" s="6751"/>
      <c r="AX259" s="6752"/>
      <c r="AY259" s="6753"/>
      <c r="AZ259" s="6754"/>
      <c r="BA259" s="6755"/>
      <c r="BB259" s="6756"/>
      <c r="BC259" s="6757"/>
      <c r="BD259" s="6758"/>
      <c r="BE259" s="6759"/>
      <c r="BF259" s="6760"/>
      <c r="BG259" s="6761"/>
      <c r="BH259" s="6762"/>
      <c r="BI259" s="6763"/>
      <c r="BJ259" s="6764"/>
      <c r="BK259" s="6765"/>
      <c r="BL259" s="6766"/>
      <c r="BM259" s="6767"/>
      <c r="BN259" s="6768"/>
      <c r="BO259" s="6769"/>
      <c r="BP259" s="6770"/>
      <c r="BQ259" s="6771"/>
      <c r="BR259" s="6772"/>
      <c r="BS259" s="6773"/>
      <c r="BT259" s="6774"/>
      <c r="BU259" s="6775"/>
      <c r="BV259" s="6776"/>
      <c r="BW259" s="6777"/>
      <c r="BX259" s="6778"/>
      <c r="BY259" s="6779"/>
      <c r="BZ259" s="6780"/>
      <c r="CA259" s="6781"/>
      <c r="CB259" s="6782"/>
      <c r="CC259" s="6783"/>
      <c r="CD259" s="6784"/>
      <c r="CE259" s="6785"/>
      <c r="CF259" s="6786"/>
      <c r="CG259" s="6787"/>
      <c r="CH259" s="6788"/>
      <c r="CI259" s="6789"/>
      <c r="CJ259" s="6790"/>
      <c r="CK259" s="6791"/>
      <c r="CL259" s="6792"/>
      <c r="CM259" s="6793"/>
      <c r="CN259" s="6794"/>
      <c r="CO259" s="6795"/>
      <c r="CP259" s="6796"/>
      <c r="CQ259" s="3825"/>
      <c r="CR259" s="3581"/>
      <c r="CS259" s="3728"/>
      <c r="CT259" s="3728" t="str">
        <f>IF(T259="","",T259)</f>
        <v>Добавить вид теплоносителя (параметры теплоносителя)</v>
      </c>
      <c r="CU259" s="3728"/>
      <c r="CV259" s="3728"/>
    </row>
    <row s="6797" customFormat="1" customHeight="1" ht="15">
      <c r="A260" s="3716"/>
      <c r="B260" s="3716"/>
      <c r="C260" s="3716"/>
      <c r="D260" s="3716"/>
      <c r="E260" s="3717"/>
      <c r="F260" s="3717" t="s">
        <v>157</v>
      </c>
      <c r="G260" s="3717"/>
      <c r="H260" s="3717"/>
      <c r="I260" s="3730"/>
      <c r="J260" s="3716"/>
      <c r="K260" s="3716"/>
      <c r="L260" s="3719"/>
      <c r="M260" s="3573"/>
      <c r="N260" s="3731"/>
      <c r="O260" s="3731"/>
      <c r="P260" s="3732"/>
      <c r="Q260" s="3732"/>
      <c r="R260" s="3733"/>
      <c r="S260" s="6798"/>
      <c r="T260" s="6799" t="s">
        <v>627</v>
      </c>
      <c r="U260" s="6800"/>
      <c r="V260" s="6801"/>
      <c r="W260" s="6802"/>
      <c r="X260" s="6803"/>
      <c r="Y260" s="6804"/>
      <c r="Z260" s="6805"/>
      <c r="AA260" s="6806"/>
      <c r="AB260" s="6807"/>
      <c r="AC260" s="6808"/>
      <c r="AD260" s="6809"/>
      <c r="AE260" s="6810"/>
      <c r="AF260" s="6811"/>
      <c r="AG260" s="6812"/>
      <c r="AH260" s="6813"/>
      <c r="AI260" s="6814"/>
      <c r="AJ260" s="6815"/>
      <c r="AK260" s="6816"/>
      <c r="AL260" s="6817"/>
      <c r="AM260" s="6818"/>
      <c r="AN260" s="6819"/>
      <c r="AO260" s="6820"/>
      <c r="AP260" s="6821"/>
      <c r="AQ260" s="6822"/>
      <c r="AR260" s="6823"/>
      <c r="AS260" s="6824"/>
      <c r="AT260" s="6825"/>
      <c r="AU260" s="6826"/>
      <c r="AV260" s="6827"/>
      <c r="AW260" s="6828"/>
      <c r="AX260" s="6829"/>
      <c r="AY260" s="6830"/>
      <c r="AZ260" s="6831"/>
      <c r="BA260" s="6832"/>
      <c r="BB260" s="6833"/>
      <c r="BC260" s="6834"/>
      <c r="BD260" s="6835"/>
      <c r="BE260" s="6836"/>
      <c r="BF260" s="6837"/>
      <c r="BG260" s="6838"/>
      <c r="BH260" s="6839"/>
      <c r="BI260" s="6840"/>
      <c r="BJ260" s="6841"/>
      <c r="BK260" s="6842"/>
      <c r="BL260" s="6843"/>
      <c r="BM260" s="6844"/>
      <c r="BN260" s="6845"/>
      <c r="BO260" s="6846"/>
      <c r="BP260" s="6847"/>
      <c r="BQ260" s="6848"/>
      <c r="BR260" s="6849"/>
      <c r="BS260" s="6850"/>
      <c r="BT260" s="6851"/>
      <c r="BU260" s="6852"/>
      <c r="BV260" s="6853"/>
      <c r="BW260" s="6854"/>
      <c r="BX260" s="6855"/>
      <c r="BY260" s="6856"/>
      <c r="BZ260" s="6857"/>
      <c r="CA260" s="6858"/>
      <c r="CB260" s="6859"/>
      <c r="CC260" s="6860"/>
      <c r="CD260" s="6861"/>
      <c r="CE260" s="6862"/>
      <c r="CF260" s="6863"/>
      <c r="CG260" s="6864"/>
      <c r="CH260" s="6865"/>
      <c r="CI260" s="6866"/>
      <c r="CJ260" s="6867"/>
      <c r="CK260" s="6868"/>
      <c r="CL260" s="6869"/>
      <c r="CM260" s="6870"/>
      <c r="CN260" s="6871"/>
      <c r="CO260" s="6872"/>
      <c r="CP260" s="6873"/>
      <c r="CQ260" s="6874"/>
      <c r="CR260" s="3581"/>
      <c r="CS260" s="3728"/>
      <c r="CT260" s="3728" t="str">
        <f>IF(T260="","",T260)</f>
        <v>Добавить группу потребителей</v>
      </c>
      <c r="CU260" s="3728"/>
      <c r="CV260" s="3728"/>
    </row>
    <row s="6875" customFormat="1" customHeight="1" ht="14.25">
      <c r="A261" s="3716"/>
      <c r="B261" s="3716"/>
      <c r="C261" s="3716"/>
      <c r="D261" s="3716"/>
      <c r="E261" s="3717"/>
      <c r="F261" s="3717" t="s">
        <v>157</v>
      </c>
      <c r="G261" s="3717"/>
      <c r="H261" s="3718"/>
      <c r="I261" s="3716"/>
      <c r="J261" s="3716"/>
      <c r="K261" s="3716"/>
      <c r="L261" s="3719"/>
      <c r="M261" s="3720"/>
      <c r="N261" s="3720"/>
      <c r="O261" s="3573"/>
      <c r="P261" s="3905"/>
      <c r="Q261" s="3906"/>
      <c r="R261" s="3907"/>
      <c r="S261" s="3908"/>
      <c r="T261" s="3909"/>
      <c r="U261" s="3569"/>
      <c r="V261" s="3569"/>
      <c r="W261" s="3569"/>
      <c r="X261" s="3569"/>
      <c r="Y261" s="3569"/>
      <c r="Z261" s="3569"/>
      <c r="AA261" s="3569"/>
      <c r="AB261" s="3569"/>
      <c r="AC261" s="3569"/>
      <c r="AD261" s="3569"/>
      <c r="AE261" s="3569"/>
      <c r="AF261" s="3569"/>
      <c r="AG261" s="3569"/>
      <c r="AH261" s="3569"/>
      <c r="AI261" s="3569"/>
      <c r="AJ261" s="3569"/>
      <c r="AK261" s="3569"/>
      <c r="AL261" s="3569"/>
      <c r="AM261" s="3569"/>
      <c r="AN261" s="3569"/>
      <c r="AO261" s="3569"/>
      <c r="AP261" s="3569"/>
      <c r="AQ261" s="3569"/>
      <c r="AR261" s="3569"/>
      <c r="AS261" s="3569"/>
      <c r="AT261" s="3569"/>
      <c r="AU261" s="3569"/>
      <c r="AV261" s="3569"/>
      <c r="AW261" s="3569"/>
      <c r="AX261" s="3569"/>
      <c r="AY261" s="3569"/>
      <c r="AZ261" s="3569"/>
      <c r="BA261" s="3569"/>
      <c r="BB261" s="3569"/>
      <c r="BC261" s="3569"/>
      <c r="BD261" s="3569"/>
      <c r="BE261" s="3569"/>
      <c r="BF261" s="3569"/>
      <c r="BG261" s="3569"/>
      <c r="BH261" s="3569"/>
      <c r="BI261" s="3569"/>
      <c r="BJ261" s="3569"/>
      <c r="BK261" s="3569"/>
      <c r="BL261" s="3569"/>
      <c r="BM261" s="3569"/>
      <c r="BN261" s="3569"/>
      <c r="BO261" s="3569"/>
      <c r="BP261" s="3569"/>
      <c r="BQ261" s="3569"/>
      <c r="BR261" s="3569"/>
      <c r="BS261" s="3569"/>
      <c r="BT261" s="3569"/>
      <c r="BU261" s="3569"/>
      <c r="BV261" s="3569"/>
      <c r="BW261" s="3569"/>
      <c r="BX261" s="3569"/>
      <c r="BY261" s="3569"/>
      <c r="BZ261" s="3569"/>
      <c r="CA261" s="3569"/>
      <c r="CB261" s="3569"/>
      <c r="CC261" s="3569"/>
      <c r="CD261" s="3569"/>
      <c r="CE261" s="3569"/>
      <c r="CF261" s="3569"/>
      <c r="CG261" s="3569"/>
      <c r="CH261" s="3569"/>
      <c r="CI261" s="3569"/>
      <c r="CJ261" s="3569"/>
      <c r="CK261" s="3569"/>
      <c r="CL261" s="3569"/>
      <c r="CM261" s="3569"/>
      <c r="CN261" s="3569"/>
      <c r="CO261" s="3569"/>
      <c r="CP261" s="3569"/>
      <c r="CQ261" s="3910"/>
      <c r="CR261" s="3581"/>
      <c r="CS261" s="3728"/>
      <c r="CT261" s="3728" t="str">
        <f>IF(T261="","",T261)</f>
        <v/>
      </c>
      <c r="CU261" s="3728"/>
      <c r="CV261" s="3728"/>
    </row>
    <row s="6876" customFormat="1" customHeight="1" ht="0.75">
      <c r="A262" s="4239"/>
      <c r="B262" s="4239"/>
      <c r="C262" s="4239"/>
      <c r="D262" s="4239"/>
      <c r="E262" s="3717"/>
      <c r="F262" s="3717" t="s">
        <v>157</v>
      </c>
      <c r="G262" s="3718"/>
      <c r="H262" s="4239"/>
      <c r="I262" s="4239"/>
      <c r="J262" s="4239"/>
      <c r="K262" s="4239"/>
      <c r="L262" s="4240"/>
      <c r="M262" s="4241"/>
      <c r="N262" s="4241"/>
      <c r="O262" s="3581"/>
      <c r="P262" s="4242"/>
      <c r="Q262" s="4243"/>
      <c r="R262" s="4242"/>
      <c r="S262" s="4244"/>
      <c r="T262" s="4245" t="s">
        <v>254</v>
      </c>
      <c r="U262" s="3571"/>
      <c r="V262" s="3571"/>
      <c r="W262" s="3571"/>
      <c r="X262" s="3571"/>
      <c r="Y262" s="3571"/>
      <c r="Z262" s="3571"/>
      <c r="AA262" s="3571"/>
      <c r="AB262" s="3571"/>
      <c r="AC262" s="3571"/>
      <c r="AD262" s="3571"/>
      <c r="AE262" s="3571"/>
      <c r="AF262" s="3571"/>
      <c r="AG262" s="3571"/>
      <c r="AH262" s="3571"/>
      <c r="AI262" s="3571"/>
      <c r="AJ262" s="3571"/>
      <c r="AK262" s="3571"/>
      <c r="AL262" s="3571"/>
      <c r="AM262" s="3571"/>
      <c r="AN262" s="3571"/>
      <c r="AO262" s="3571"/>
      <c r="AP262" s="3571"/>
      <c r="AQ262" s="3571"/>
      <c r="AR262" s="3571"/>
      <c r="AS262" s="3571"/>
      <c r="AT262" s="3571"/>
      <c r="AU262" s="3571"/>
      <c r="AV262" s="3571"/>
      <c r="AW262" s="3571"/>
      <c r="AX262" s="3571"/>
      <c r="AY262" s="3571"/>
      <c r="AZ262" s="3571"/>
      <c r="BA262" s="3571"/>
      <c r="BB262" s="3571"/>
      <c r="BC262" s="3571"/>
      <c r="BD262" s="3571"/>
      <c r="BE262" s="3571"/>
      <c r="BF262" s="3571"/>
      <c r="BG262" s="3571"/>
      <c r="BH262" s="3571"/>
      <c r="BI262" s="3571"/>
      <c r="BJ262" s="3571"/>
      <c r="BK262" s="3571"/>
      <c r="BL262" s="3571"/>
      <c r="BM262" s="3571"/>
      <c r="BN262" s="3571"/>
      <c r="BO262" s="3571"/>
      <c r="BP262" s="3571"/>
      <c r="BQ262" s="3571"/>
      <c r="BR262" s="3571"/>
      <c r="BS262" s="3571"/>
      <c r="BT262" s="3571"/>
      <c r="BU262" s="3571"/>
      <c r="BV262" s="3571"/>
      <c r="BW262" s="3571"/>
      <c r="BX262" s="3571"/>
      <c r="BY262" s="3571"/>
      <c r="BZ262" s="3571"/>
      <c r="CA262" s="3571"/>
      <c r="CB262" s="3571"/>
      <c r="CC262" s="3571"/>
      <c r="CD262" s="3571"/>
      <c r="CE262" s="3571"/>
      <c r="CF262" s="3571"/>
      <c r="CG262" s="3571"/>
      <c r="CH262" s="3571"/>
      <c r="CI262" s="3571"/>
      <c r="CJ262" s="3571"/>
      <c r="CK262" s="3571"/>
      <c r="CL262" s="3571"/>
      <c r="CM262" s="3571"/>
      <c r="CN262" s="3571"/>
      <c r="CO262" s="3571"/>
      <c r="CP262" s="3571"/>
      <c r="CQ262" s="3571"/>
      <c r="CR262" s="3581"/>
      <c r="CS262" s="3728"/>
      <c r="CT262" s="3728" t="str">
        <f>IF(T262="","",T262)</f>
        <v>Добавить источник для дифференциации</v>
      </c>
      <c r="CU262" s="3728"/>
      <c r="CV262" s="3728"/>
    </row>
    <row s="6877" customFormat="1" customHeight="1" ht="0.75">
      <c r="A263" s="4239"/>
      <c r="B263" s="4239"/>
      <c r="C263" s="4239"/>
      <c r="D263" s="4239"/>
      <c r="E263" s="3717"/>
      <c r="F263" s="3718" t="s">
        <v>157</v>
      </c>
      <c r="G263" s="4239"/>
      <c r="H263" s="4239"/>
      <c r="I263" s="4239"/>
      <c r="J263" s="4239"/>
      <c r="K263" s="4239"/>
      <c r="L263" s="4240"/>
      <c r="M263" s="4247"/>
      <c r="N263" s="4247"/>
      <c r="O263" s="3581"/>
      <c r="P263" s="4242"/>
      <c r="Q263" s="4243"/>
      <c r="R263" s="4242"/>
      <c r="S263" s="4248"/>
      <c r="T263" s="4249" t="s">
        <v>255</v>
      </c>
      <c r="U263" s="3572"/>
      <c r="V263" s="3572"/>
      <c r="W263" s="3572"/>
      <c r="X263" s="3572"/>
      <c r="Y263" s="3572"/>
      <c r="Z263" s="3572"/>
      <c r="AA263" s="3572"/>
      <c r="AB263" s="3572"/>
      <c r="AC263" s="3572"/>
      <c r="AD263" s="3572"/>
      <c r="AE263" s="3572"/>
      <c r="AF263" s="3572"/>
      <c r="AG263" s="3572"/>
      <c r="AH263" s="3572"/>
      <c r="AI263" s="3572"/>
      <c r="AJ263" s="3572"/>
      <c r="AK263" s="3572"/>
      <c r="AL263" s="3572"/>
      <c r="AM263" s="3572"/>
      <c r="AN263" s="3572"/>
      <c r="AO263" s="3572"/>
      <c r="AP263" s="3572"/>
      <c r="AQ263" s="3572"/>
      <c r="AR263" s="3572"/>
      <c r="AS263" s="3572"/>
      <c r="AT263" s="3572"/>
      <c r="AU263" s="3572"/>
      <c r="AV263" s="3572"/>
      <c r="AW263" s="3572"/>
      <c r="AX263" s="3572"/>
      <c r="AY263" s="3572"/>
      <c r="AZ263" s="3572"/>
      <c r="BA263" s="3572"/>
      <c r="BB263" s="3572"/>
      <c r="BC263" s="3572"/>
      <c r="BD263" s="3572"/>
      <c r="BE263" s="3572"/>
      <c r="BF263" s="3572"/>
      <c r="BG263" s="3572"/>
      <c r="BH263" s="3572"/>
      <c r="BI263" s="3572"/>
      <c r="BJ263" s="3572"/>
      <c r="BK263" s="3572"/>
      <c r="BL263" s="3572"/>
      <c r="BM263" s="3572"/>
      <c r="BN263" s="3572"/>
      <c r="BO263" s="3572"/>
      <c r="BP263" s="3572"/>
      <c r="BQ263" s="3572"/>
      <c r="BR263" s="3572"/>
      <c r="BS263" s="3572"/>
      <c r="BT263" s="3572"/>
      <c r="BU263" s="3572"/>
      <c r="BV263" s="3572"/>
      <c r="BW263" s="3572"/>
      <c r="BX263" s="3572"/>
      <c r="BY263" s="3572"/>
      <c r="BZ263" s="3572"/>
      <c r="CA263" s="3572"/>
      <c r="CB263" s="3572"/>
      <c r="CC263" s="3572"/>
      <c r="CD263" s="3572"/>
      <c r="CE263" s="3572"/>
      <c r="CF263" s="3572"/>
      <c r="CG263" s="3572"/>
      <c r="CH263" s="3572"/>
      <c r="CI263" s="3572"/>
      <c r="CJ263" s="3572"/>
      <c r="CK263" s="3572"/>
      <c r="CL263" s="3572"/>
      <c r="CM263" s="3572"/>
      <c r="CN263" s="3572"/>
      <c r="CO263" s="3572"/>
      <c r="CP263" s="3572"/>
      <c r="CQ263" s="3572"/>
      <c r="CR263" s="3581"/>
      <c r="CS263" s="3728"/>
      <c r="CT263" s="3728" t="str">
        <f>IF(T263="","",T263)</f>
        <v>Добавить централизованную систему для дифференциации</v>
      </c>
      <c r="CU263" s="3728"/>
      <c r="CV263" s="3728"/>
    </row>
    <row s="6878" customFormat="1" customHeight="1" ht="21">
      <c r="A264" s="3716"/>
      <c r="B264" s="3716" t="s">
        <v>311</v>
      </c>
      <c r="C264" s="3716"/>
      <c r="D264" s="3716"/>
      <c r="E264" s="3717"/>
      <c r="F264" s="3718" t="s">
        <v>166</v>
      </c>
      <c r="G264" s="3716"/>
      <c r="H264" s="3716"/>
      <c r="I264" s="3716"/>
      <c r="J264" s="3716"/>
      <c r="K264" s="3716"/>
      <c r="L264" s="3719"/>
      <c r="M264" s="3720"/>
      <c r="N264" s="3720"/>
      <c r="O264" s="3720"/>
      <c r="P264" s="4073"/>
      <c r="Q264" s="3722"/>
      <c r="R264" s="3723"/>
      <c r="S264" s="3724" t="str">
        <f>INDEX(PT_DIFFERENTIATION_NUM_TER,MATCH(B264,PT_DIFFERENTIATION_TER_ID,0))</f>
        <v>1.16</v>
      </c>
      <c r="T264" s="4074" t="s">
        <v>612</v>
      </c>
      <c r="U264" s="3726"/>
      <c r="V264" s="3432"/>
      <c r="W264" s="3433"/>
      <c r="X264" s="3433"/>
      <c r="Y264" s="3433"/>
      <c r="Z264" s="3433"/>
      <c r="AA264" s="3433"/>
      <c r="AB264" s="3433"/>
      <c r="AC264" s="3434"/>
      <c r="AD264" s="3432" t="str">
        <f>INDEX(PT_DIFFERENTIATION_TER,MATCH(B264,PT_DIFFERENTIATION_TER_ID,0))</f>
        <v>Территория 16</v>
      </c>
      <c r="AE264" s="3433"/>
      <c r="AF264" s="3433"/>
      <c r="AG264" s="3433"/>
      <c r="AH264" s="3433"/>
      <c r="AI264" s="3433"/>
      <c r="AJ264" s="3433"/>
      <c r="AK264" s="3433"/>
      <c r="AL264" s="3432"/>
      <c r="AM264" s="3433"/>
      <c r="AN264" s="3433"/>
      <c r="AO264" s="3433"/>
      <c r="AP264" s="3433"/>
      <c r="AQ264" s="3433"/>
      <c r="AR264" s="3433"/>
      <c r="AS264" s="3434"/>
      <c r="AT264" s="3432"/>
      <c r="AU264" s="3433"/>
      <c r="AV264" s="3433"/>
      <c r="AW264" s="3433"/>
      <c r="AX264" s="3433"/>
      <c r="AY264" s="3433"/>
      <c r="AZ264" s="3433"/>
      <c r="BA264" s="3434"/>
      <c r="BB264" s="3432"/>
      <c r="BC264" s="3433"/>
      <c r="BD264" s="3433"/>
      <c r="BE264" s="3433"/>
      <c r="BF264" s="3433"/>
      <c r="BG264" s="3433"/>
      <c r="BH264" s="3433"/>
      <c r="BI264" s="3434"/>
      <c r="BJ264" s="3432"/>
      <c r="BK264" s="3433"/>
      <c r="BL264" s="3433"/>
      <c r="BM264" s="3433"/>
      <c r="BN264" s="3433"/>
      <c r="BO264" s="3433"/>
      <c r="BP264" s="3433"/>
      <c r="BQ264" s="3434"/>
      <c r="BR264" s="3432"/>
      <c r="BS264" s="3433"/>
      <c r="BT264" s="3433"/>
      <c r="BU264" s="3433"/>
      <c r="BV264" s="3433"/>
      <c r="BW264" s="3433"/>
      <c r="BX264" s="3433"/>
      <c r="BY264" s="3434"/>
      <c r="BZ264" s="3432"/>
      <c r="CA264" s="3433"/>
      <c r="CB264" s="3433"/>
      <c r="CC264" s="3433"/>
      <c r="CD264" s="3433"/>
      <c r="CE264" s="3433"/>
      <c r="CF264" s="3433"/>
      <c r="CG264" s="3434"/>
      <c r="CH264" s="3432"/>
      <c r="CI264" s="3433"/>
      <c r="CJ264" s="3433"/>
      <c r="CK264" s="3433"/>
      <c r="CL264" s="3433"/>
      <c r="CM264" s="3433"/>
      <c r="CN264" s="3433"/>
      <c r="CO264" s="3434"/>
      <c r="CP264" s="3434"/>
      <c r="CQ264" s="3727" t="s">
        <v>613</v>
      </c>
      <c r="CR264" s="3581"/>
      <c r="CS264" s="3728"/>
      <c r="CT264" s="3728" t="str">
        <f>IF(T264="","",T264)</f>
        <v>Территория действия тарифа</v>
      </c>
      <c r="CU264" s="3728"/>
      <c r="CV264" s="3728"/>
    </row>
    <row s="6879" customFormat="1" customHeight="1" ht="23.25">
      <c r="A265" s="3716"/>
      <c r="B265" s="3716"/>
      <c r="C265" s="3716" t="s">
        <v>312</v>
      </c>
      <c r="D265" s="3716"/>
      <c r="E265" s="3717"/>
      <c r="F265" s="3717" t="s">
        <v>159</v>
      </c>
      <c r="G265" s="3718">
        <v>1</v>
      </c>
      <c r="H265" s="3716"/>
      <c r="I265" s="3716"/>
      <c r="J265" s="3716"/>
      <c r="K265" s="3716"/>
      <c r="L265" s="3719"/>
      <c r="M265" s="3720"/>
      <c r="N265" s="3720"/>
      <c r="O265" s="3720"/>
      <c r="P265" s="3721"/>
      <c r="Q265" s="3722"/>
      <c r="R265" s="3723"/>
      <c r="S265" s="3724" t="str">
        <f>INDEX(PT_DIFFERENTIATION_NUM_CS,MATCH(C265,PT_DIFFERENTIATION_CS_ID,0))</f>
        <v>1.16.1</v>
      </c>
      <c r="T265" s="4076" t="s">
        <v>614</v>
      </c>
      <c r="U265" s="3726"/>
      <c r="V265" s="3432"/>
      <c r="W265" s="3433"/>
      <c r="X265" s="3433"/>
      <c r="Y265" s="3433"/>
      <c r="Z265" s="3433"/>
      <c r="AA265" s="3433"/>
      <c r="AB265" s="3433"/>
      <c r="AC265" s="3434"/>
      <c r="AD265" s="3432" t="str">
        <f>INDEX(PT_DIFFERENTIATION_CS,MATCH(C265,PT_DIFFERENTIATION_CS_ID,0))</f>
        <v>без дифференциации</v>
      </c>
      <c r="AE265" s="3433"/>
      <c r="AF265" s="3433"/>
      <c r="AG265" s="3433"/>
      <c r="AH265" s="3433"/>
      <c r="AI265" s="3433"/>
      <c r="AJ265" s="3433"/>
      <c r="AK265" s="3433"/>
      <c r="AL265" s="3432"/>
      <c r="AM265" s="3433"/>
      <c r="AN265" s="3433"/>
      <c r="AO265" s="3433"/>
      <c r="AP265" s="3433"/>
      <c r="AQ265" s="3433"/>
      <c r="AR265" s="3433"/>
      <c r="AS265" s="3434"/>
      <c r="AT265" s="3432"/>
      <c r="AU265" s="3433"/>
      <c r="AV265" s="3433"/>
      <c r="AW265" s="3433"/>
      <c r="AX265" s="3433"/>
      <c r="AY265" s="3433"/>
      <c r="AZ265" s="3433"/>
      <c r="BA265" s="3434"/>
      <c r="BB265" s="3432"/>
      <c r="BC265" s="3433"/>
      <c r="BD265" s="3433"/>
      <c r="BE265" s="3433"/>
      <c r="BF265" s="3433"/>
      <c r="BG265" s="3433"/>
      <c r="BH265" s="3433"/>
      <c r="BI265" s="3434"/>
      <c r="BJ265" s="3432"/>
      <c r="BK265" s="3433"/>
      <c r="BL265" s="3433"/>
      <c r="BM265" s="3433"/>
      <c r="BN265" s="3433"/>
      <c r="BO265" s="3433"/>
      <c r="BP265" s="3433"/>
      <c r="BQ265" s="3434"/>
      <c r="BR265" s="3432"/>
      <c r="BS265" s="3433"/>
      <c r="BT265" s="3433"/>
      <c r="BU265" s="3433"/>
      <c r="BV265" s="3433"/>
      <c r="BW265" s="3433"/>
      <c r="BX265" s="3433"/>
      <c r="BY265" s="3434"/>
      <c r="BZ265" s="3432"/>
      <c r="CA265" s="3433"/>
      <c r="CB265" s="3433"/>
      <c r="CC265" s="3433"/>
      <c r="CD265" s="3433"/>
      <c r="CE265" s="3433"/>
      <c r="CF265" s="3433"/>
      <c r="CG265" s="3434"/>
      <c r="CH265" s="3432"/>
      <c r="CI265" s="3433"/>
      <c r="CJ265" s="3433"/>
      <c r="CK265" s="3433"/>
      <c r="CL265" s="3433"/>
      <c r="CM265" s="3433"/>
      <c r="CN265" s="3433"/>
      <c r="CO265" s="3434"/>
      <c r="CP265" s="3434"/>
      <c r="CQ265" s="3727" t="s">
        <v>615</v>
      </c>
      <c r="CR265" s="3581"/>
      <c r="CS265" s="3728"/>
      <c r="CT265" s="3728" t="str">
        <f>IF(T265="","",T265)</f>
        <v>Наименование системы теплоснабжения </v>
      </c>
      <c r="CU265" s="3728"/>
      <c r="CV265" s="3728"/>
    </row>
    <row s="6880" customFormat="1" customHeight="1" ht="21">
      <c r="A266" s="3716"/>
      <c r="B266" s="3716"/>
      <c r="C266" s="3716"/>
      <c r="D266" s="3716" t="s">
        <v>313</v>
      </c>
      <c r="E266" s="3717"/>
      <c r="F266" s="3717" t="s">
        <v>159</v>
      </c>
      <c r="G266" s="3717"/>
      <c r="H266" s="3718">
        <v>1</v>
      </c>
      <c r="I266" s="3716"/>
      <c r="J266" s="3716"/>
      <c r="K266" s="3716"/>
      <c r="L266" s="3719"/>
      <c r="M266" s="3720"/>
      <c r="N266" s="3720"/>
      <c r="O266" s="3720"/>
      <c r="P266" s="3721"/>
      <c r="Q266" s="3722"/>
      <c r="R266" s="3723"/>
      <c r="S266" s="3724" t="str">
        <f>INDEX(PT_DIFFERENTIATION_NUM_IST_TE,MATCH(D266,PT_DIFFERENTIATION_IST_TE_ID,0))</f>
        <v>1.16.1.1</v>
      </c>
      <c r="T266" s="3725" t="s">
        <v>616</v>
      </c>
      <c r="U266" s="3726"/>
      <c r="V266" s="3432"/>
      <c r="W266" s="3433"/>
      <c r="X266" s="3433"/>
      <c r="Y266" s="3433"/>
      <c r="Z266" s="3433"/>
      <c r="AA266" s="3433"/>
      <c r="AB266" s="3433"/>
      <c r="AC266" s="3434"/>
      <c r="AD266" s="3432" t="str">
        <f>INDEX(PT_DIFFERENTIATION_IST_TE,MATCH(D266,PT_DIFFERENTIATION_IST_TE_ID,0))</f>
        <v>н.п.Енский (мазутная котельная)</v>
      </c>
      <c r="AE266" s="3433"/>
      <c r="AF266" s="3433"/>
      <c r="AG266" s="3433"/>
      <c r="AH266" s="3433"/>
      <c r="AI266" s="3433"/>
      <c r="AJ266" s="3433"/>
      <c r="AK266" s="3433"/>
      <c r="AL266" s="3432"/>
      <c r="AM266" s="3433"/>
      <c r="AN266" s="3433"/>
      <c r="AO266" s="3433"/>
      <c r="AP266" s="3433"/>
      <c r="AQ266" s="3433"/>
      <c r="AR266" s="3433"/>
      <c r="AS266" s="3434"/>
      <c r="AT266" s="3432"/>
      <c r="AU266" s="3433"/>
      <c r="AV266" s="3433"/>
      <c r="AW266" s="3433"/>
      <c r="AX266" s="3433"/>
      <c r="AY266" s="3433"/>
      <c r="AZ266" s="3433"/>
      <c r="BA266" s="3434"/>
      <c r="BB266" s="3432"/>
      <c r="BC266" s="3433"/>
      <c r="BD266" s="3433"/>
      <c r="BE266" s="3433"/>
      <c r="BF266" s="3433"/>
      <c r="BG266" s="3433"/>
      <c r="BH266" s="3433"/>
      <c r="BI266" s="3434"/>
      <c r="BJ266" s="3432"/>
      <c r="BK266" s="3433"/>
      <c r="BL266" s="3433"/>
      <c r="BM266" s="3433"/>
      <c r="BN266" s="3433"/>
      <c r="BO266" s="3433"/>
      <c r="BP266" s="3433"/>
      <c r="BQ266" s="3434"/>
      <c r="BR266" s="3432"/>
      <c r="BS266" s="3433"/>
      <c r="BT266" s="3433"/>
      <c r="BU266" s="3433"/>
      <c r="BV266" s="3433"/>
      <c r="BW266" s="3433"/>
      <c r="BX266" s="3433"/>
      <c r="BY266" s="3434"/>
      <c r="BZ266" s="3432"/>
      <c r="CA266" s="3433"/>
      <c r="CB266" s="3433"/>
      <c r="CC266" s="3433"/>
      <c r="CD266" s="3433"/>
      <c r="CE266" s="3433"/>
      <c r="CF266" s="3433"/>
      <c r="CG266" s="3434"/>
      <c r="CH266" s="3432"/>
      <c r="CI266" s="3433"/>
      <c r="CJ266" s="3433"/>
      <c r="CK266" s="3433"/>
      <c r="CL266" s="3433"/>
      <c r="CM266" s="3433"/>
      <c r="CN266" s="3433"/>
      <c r="CO266" s="3434"/>
      <c r="CP266" s="3434"/>
      <c r="CQ266" s="3727" t="s">
        <v>617</v>
      </c>
      <c r="CR266" s="3581"/>
      <c r="CS266" s="3728"/>
      <c r="CT266" s="3728" t="str">
        <f>IF(T266="","",T266)</f>
        <v>Источник тепловой энергии  </v>
      </c>
      <c r="CU266" s="3728"/>
      <c r="CV266" s="3728"/>
    </row>
    <row s="6881" customFormat="1" customHeight="1" ht="14.25">
      <c r="A267" s="3716"/>
      <c r="B267" s="3716"/>
      <c r="C267" s="3716"/>
      <c r="D267" s="3716"/>
      <c r="E267" s="3717"/>
      <c r="F267" s="3717" t="s">
        <v>159</v>
      </c>
      <c r="G267" s="3717"/>
      <c r="H267" s="3717"/>
      <c r="I267" s="3730" t="str">
        <f>S266&amp;".1"</f>
        <v>1.16.1.1.1</v>
      </c>
      <c r="J267" s="3716"/>
      <c r="K267" s="3716"/>
      <c r="L267" s="3719" t="s">
        <v>618</v>
      </c>
      <c r="M267" s="3573"/>
      <c r="N267" s="3731"/>
      <c r="O267" s="3731"/>
      <c r="P267" s="3732">
        <v>1</v>
      </c>
      <c r="Q267" s="3732"/>
      <c r="R267" s="3733"/>
      <c r="S267" s="3734"/>
      <c r="T267" s="3735"/>
      <c r="U267" s="3736"/>
      <c r="V267" s="3441"/>
      <c r="W267" s="3442"/>
      <c r="X267" s="3442"/>
      <c r="Y267" s="3442"/>
      <c r="Z267" s="3442"/>
      <c r="AA267" s="3442"/>
      <c r="AB267" s="3442"/>
      <c r="AC267" s="3443"/>
      <c r="AD267" s="3441"/>
      <c r="AE267" s="3442"/>
      <c r="AF267" s="3442"/>
      <c r="AG267" s="3442"/>
      <c r="AH267" s="3442"/>
      <c r="AI267" s="3442"/>
      <c r="AJ267" s="3442"/>
      <c r="AK267" s="3442"/>
      <c r="AL267" s="3441"/>
      <c r="AM267" s="3442"/>
      <c r="AN267" s="3442"/>
      <c r="AO267" s="3442"/>
      <c r="AP267" s="3442"/>
      <c r="AQ267" s="3442"/>
      <c r="AR267" s="3442"/>
      <c r="AS267" s="3443"/>
      <c r="AT267" s="3441"/>
      <c r="AU267" s="3442"/>
      <c r="AV267" s="3442"/>
      <c r="AW267" s="3442"/>
      <c r="AX267" s="3442"/>
      <c r="AY267" s="3442"/>
      <c r="AZ267" s="3442"/>
      <c r="BA267" s="3443"/>
      <c r="BB267" s="3441"/>
      <c r="BC267" s="3442"/>
      <c r="BD267" s="3442"/>
      <c r="BE267" s="3442"/>
      <c r="BF267" s="3442"/>
      <c r="BG267" s="3442"/>
      <c r="BH267" s="3442"/>
      <c r="BI267" s="3443"/>
      <c r="BJ267" s="3441"/>
      <c r="BK267" s="3442"/>
      <c r="BL267" s="3442"/>
      <c r="BM267" s="3442"/>
      <c r="BN267" s="3442"/>
      <c r="BO267" s="3442"/>
      <c r="BP267" s="3442"/>
      <c r="BQ267" s="3443"/>
      <c r="BR267" s="3441"/>
      <c r="BS267" s="3442"/>
      <c r="BT267" s="3442"/>
      <c r="BU267" s="3442"/>
      <c r="BV267" s="3442"/>
      <c r="BW267" s="3442"/>
      <c r="BX267" s="3442"/>
      <c r="BY267" s="3443"/>
      <c r="BZ267" s="3441"/>
      <c r="CA267" s="3442"/>
      <c r="CB267" s="3442"/>
      <c r="CC267" s="3442"/>
      <c r="CD267" s="3442"/>
      <c r="CE267" s="3442"/>
      <c r="CF267" s="3442"/>
      <c r="CG267" s="3443"/>
      <c r="CH267" s="3441"/>
      <c r="CI267" s="3442"/>
      <c r="CJ267" s="3442"/>
      <c r="CK267" s="3442"/>
      <c r="CL267" s="3442"/>
      <c r="CM267" s="3442"/>
      <c r="CN267" s="3442"/>
      <c r="CO267" s="3443"/>
      <c r="CP267" s="3443"/>
      <c r="CQ267" s="3737"/>
      <c r="CR267" s="3581"/>
      <c r="CS267" s="3728"/>
      <c r="CT267" s="3728" t="str">
        <f>IF(T267="","",T267)</f>
        <v/>
      </c>
      <c r="CU267" s="3728"/>
      <c r="CV267" s="3728"/>
    </row>
    <row s="6882" customFormat="1" customHeight="1" ht="21">
      <c r="A268" s="3716"/>
      <c r="B268" s="3716"/>
      <c r="C268" s="3716"/>
      <c r="D268" s="3716"/>
      <c r="E268" s="3717"/>
      <c r="F268" s="3717" t="s">
        <v>159</v>
      </c>
      <c r="G268" s="3717"/>
      <c r="H268" s="3717"/>
      <c r="I268" s="3739"/>
      <c r="J268" s="3730" t="str">
        <f>I267&amp;".1"</f>
        <v>1.16.1.1.1.1</v>
      </c>
      <c r="K268" s="3716"/>
      <c r="L268" s="3719" t="s">
        <v>621</v>
      </c>
      <c r="M268" s="3573"/>
      <c r="N268" s="3573"/>
      <c r="O268" s="3731"/>
      <c r="P268" s="3732"/>
      <c r="Q268" s="3732">
        <v>1</v>
      </c>
      <c r="R268" s="3740"/>
      <c r="S268" s="3724" t="str">
        <f>$J268</f>
        <v>1.16.1.1.1.1</v>
      </c>
      <c r="T268" s="3741" t="s">
        <v>622</v>
      </c>
      <c r="U268" s="3726"/>
      <c r="V268" s="3445"/>
      <c r="W268" s="3446"/>
      <c r="X268" s="3446"/>
      <c r="Y268" s="3446"/>
      <c r="Z268" s="3446"/>
      <c r="AA268" s="3446"/>
      <c r="AB268" s="3446"/>
      <c r="AC268" s="3447"/>
      <c r="AD268" s="3445" t="s">
        <v>662</v>
      </c>
      <c r="AE268" s="3446"/>
      <c r="AF268" s="3446"/>
      <c r="AG268" s="3446"/>
      <c r="AH268" s="3446"/>
      <c r="AI268" s="3446"/>
      <c r="AJ268" s="3446"/>
      <c r="AK268" s="3446"/>
      <c r="AL268" s="3445"/>
      <c r="AM268" s="3446"/>
      <c r="AN268" s="3446"/>
      <c r="AO268" s="3446"/>
      <c r="AP268" s="3446"/>
      <c r="AQ268" s="3446"/>
      <c r="AR268" s="3446"/>
      <c r="AS268" s="3447"/>
      <c r="AT268" s="3445"/>
      <c r="AU268" s="3446"/>
      <c r="AV268" s="3446"/>
      <c r="AW268" s="3446"/>
      <c r="AX268" s="3446"/>
      <c r="AY268" s="3446"/>
      <c r="AZ268" s="3446"/>
      <c r="BA268" s="3447"/>
      <c r="BB268" s="3445"/>
      <c r="BC268" s="3446"/>
      <c r="BD268" s="3446"/>
      <c r="BE268" s="3446"/>
      <c r="BF268" s="3446"/>
      <c r="BG268" s="3446"/>
      <c r="BH268" s="3446"/>
      <c r="BI268" s="3447"/>
      <c r="BJ268" s="3445"/>
      <c r="BK268" s="3446"/>
      <c r="BL268" s="3446"/>
      <c r="BM268" s="3446"/>
      <c r="BN268" s="3446"/>
      <c r="BO268" s="3446"/>
      <c r="BP268" s="3446"/>
      <c r="BQ268" s="3447"/>
      <c r="BR268" s="3445"/>
      <c r="BS268" s="3446"/>
      <c r="BT268" s="3446"/>
      <c r="BU268" s="3446"/>
      <c r="BV268" s="3446"/>
      <c r="BW268" s="3446"/>
      <c r="BX268" s="3446"/>
      <c r="BY268" s="3447"/>
      <c r="BZ268" s="3445"/>
      <c r="CA268" s="3446"/>
      <c r="CB268" s="3446"/>
      <c r="CC268" s="3446"/>
      <c r="CD268" s="3446"/>
      <c r="CE268" s="3446"/>
      <c r="CF268" s="3446"/>
      <c r="CG268" s="3447"/>
      <c r="CH268" s="3445"/>
      <c r="CI268" s="3446"/>
      <c r="CJ268" s="3446"/>
      <c r="CK268" s="3446"/>
      <c r="CL268" s="3446"/>
      <c r="CM268" s="3446"/>
      <c r="CN268" s="3446"/>
      <c r="CO268" s="3447"/>
      <c r="CP268" s="3447"/>
      <c r="CQ268" s="3727" t="s">
        <v>623</v>
      </c>
      <c r="CR268" s="3581"/>
      <c r="CS268" s="3728"/>
      <c r="CT268" s="3728" t="str">
        <f>IF(T268="","",T268)</f>
        <v>Группа потребителей</v>
      </c>
      <c r="CU268" s="3728"/>
      <c r="CV268" s="3728"/>
    </row>
    <row s="6883" customFormat="1" customHeight="1" ht="21">
      <c r="A269" s="3716"/>
      <c r="B269" s="3716"/>
      <c r="C269" s="3716"/>
      <c r="D269" s="3716"/>
      <c r="E269" s="3717"/>
      <c r="F269" s="3717" t="s">
        <v>159</v>
      </c>
      <c r="G269" s="3717"/>
      <c r="H269" s="3717"/>
      <c r="I269" s="3739"/>
      <c r="J269" s="3739"/>
      <c r="K269" s="3730" t="str">
        <f>J268&amp;".1"</f>
        <v>1.16.1.1.1.1.1</v>
      </c>
      <c r="L269" s="3719" t="s">
        <v>624</v>
      </c>
      <c r="M269" s="3573"/>
      <c r="N269" s="3573"/>
      <c r="O269" s="3573"/>
      <c r="P269" s="3732"/>
      <c r="Q269" s="3732"/>
      <c r="R269" s="3740">
        <v>1</v>
      </c>
      <c r="S269" s="3724" t="str">
        <f>$K269</f>
        <v>1.16.1.1.1.1.1</v>
      </c>
      <c r="T269" s="3743" t="s">
        <v>663</v>
      </c>
      <c r="U269" s="3726"/>
      <c r="V269" s="3448"/>
      <c r="W269" s="3449"/>
      <c r="X269" s="3448"/>
      <c r="Y269" s="3450"/>
      <c r="Z269" s="3451"/>
      <c r="AA269" s="2872" t="s">
        <v>63</v>
      </c>
      <c r="AB269" s="3451"/>
      <c r="AC269" s="2872" t="s">
        <v>63</v>
      </c>
      <c r="AD269" s="3448">
        <v>87.52</v>
      </c>
      <c r="AE269" s="3449"/>
      <c r="AF269" s="3448"/>
      <c r="AG269" s="3450"/>
      <c r="AH269" s="3451">
        <v>44197</v>
      </c>
      <c r="AI269" s="2872" t="s">
        <v>63</v>
      </c>
      <c r="AJ269" s="3451">
        <v>44377</v>
      </c>
      <c r="AK269" s="2872" t="s">
        <v>63</v>
      </c>
      <c r="AL269" s="3448">
        <v>113.06</v>
      </c>
      <c r="AM269" s="3449"/>
      <c r="AN269" s="3448"/>
      <c r="AO269" s="3450"/>
      <c r="AP269" s="3451">
        <v>44378</v>
      </c>
      <c r="AQ269" s="2872" t="s">
        <v>63</v>
      </c>
      <c r="AR269" s="3451">
        <v>44561</v>
      </c>
      <c r="AS269" s="2872" t="s">
        <v>63</v>
      </c>
      <c r="AT269" s="3448">
        <v>0</v>
      </c>
      <c r="AU269" s="3449"/>
      <c r="AV269" s="3448"/>
      <c r="AW269" s="3450"/>
      <c r="AX269" s="3451">
        <v>44562</v>
      </c>
      <c r="AY269" s="2872" t="s">
        <v>63</v>
      </c>
      <c r="AZ269" s="3451">
        <v>44601</v>
      </c>
      <c r="BA269" s="2872" t="s">
        <v>63</v>
      </c>
      <c r="BB269" s="3448">
        <v>0</v>
      </c>
      <c r="BC269" s="3449"/>
      <c r="BD269" s="3448"/>
      <c r="BE269" s="3450"/>
      <c r="BF269" s="3451">
        <v>44602</v>
      </c>
      <c r="BG269" s="2872" t="s">
        <v>63</v>
      </c>
      <c r="BH269" s="3451">
        <v>44742</v>
      </c>
      <c r="BI269" s="2872" t="s">
        <v>63</v>
      </c>
      <c r="BJ269" s="3448">
        <v>0</v>
      </c>
      <c r="BK269" s="3449"/>
      <c r="BL269" s="3448"/>
      <c r="BM269" s="3450"/>
      <c r="BN269" s="3451">
        <v>44743</v>
      </c>
      <c r="BO269" s="2872" t="s">
        <v>63</v>
      </c>
      <c r="BP269" s="3451">
        <v>44804</v>
      </c>
      <c r="BQ269" s="2872" t="s">
        <v>63</v>
      </c>
      <c r="BR269" s="3448">
        <v>0</v>
      </c>
      <c r="BS269" s="3449"/>
      <c r="BT269" s="3448"/>
      <c r="BU269" s="3450"/>
      <c r="BV269" s="3451">
        <v>44805</v>
      </c>
      <c r="BW269" s="2872" t="s">
        <v>63</v>
      </c>
      <c r="BX269" s="3451">
        <v>44895</v>
      </c>
      <c r="BY269" s="2872" t="s">
        <v>63</v>
      </c>
      <c r="BZ269" s="3448">
        <v>0</v>
      </c>
      <c r="CA269" s="3449"/>
      <c r="CB269" s="3448"/>
      <c r="CC269" s="3450"/>
      <c r="CD269" s="3451">
        <v>44896</v>
      </c>
      <c r="CE269" s="2872" t="s">
        <v>63</v>
      </c>
      <c r="CF269" s="3451">
        <v>45174</v>
      </c>
      <c r="CG269" s="2872" t="s">
        <v>63</v>
      </c>
      <c r="CH269" s="3448">
        <v>0</v>
      </c>
      <c r="CI269" s="3449"/>
      <c r="CJ269" s="3448"/>
      <c r="CK269" s="3450"/>
      <c r="CL269" s="3451">
        <v>45175</v>
      </c>
      <c r="CM269" s="2872" t="s">
        <v>63</v>
      </c>
      <c r="CN269" s="3451">
        <v>45291</v>
      </c>
      <c r="CO269" s="2872" t="s">
        <v>63</v>
      </c>
      <c r="CP269" s="3449"/>
      <c r="CQ269" s="3744" t="s">
        <v>625</v>
      </c>
      <c r="CR269" s="3581">
        <f>STRCHECKDATE(V270:CP270)</f>
      </c>
      <c r="CS269" s="3728"/>
      <c r="CT269" s="3728" t="str">
        <f>IF(T269="","",T269)</f>
        <v>вода</v>
      </c>
      <c r="CU269" s="3728"/>
      <c r="CV269" s="3728"/>
    </row>
    <row s="6884" customFormat="1" customHeight="1" ht="0.75">
      <c r="A270" s="3716"/>
      <c r="B270" s="3716"/>
      <c r="C270" s="3716"/>
      <c r="D270" s="3716"/>
      <c r="E270" s="3717"/>
      <c r="F270" s="3717" t="s">
        <v>159</v>
      </c>
      <c r="G270" s="3717"/>
      <c r="H270" s="3717"/>
      <c r="I270" s="3739"/>
      <c r="J270" s="3739"/>
      <c r="K270" s="3730"/>
      <c r="L270" s="3719"/>
      <c r="M270" s="3573"/>
      <c r="N270" s="3573"/>
      <c r="O270" s="3573"/>
      <c r="P270" s="3732"/>
      <c r="Q270" s="3732"/>
      <c r="R270" s="3740"/>
      <c r="S270" s="3746"/>
      <c r="T270" s="3726"/>
      <c r="U270" s="3726"/>
      <c r="V270" s="3449"/>
      <c r="W270" s="3449"/>
      <c r="X270" s="3449"/>
      <c r="Y270" s="3452" t="str">
        <f>Z269&amp;"-"&amp;AB269</f>
        <v>-</v>
      </c>
      <c r="Z270" s="3453"/>
      <c r="AA270" s="2872"/>
      <c r="AB270" s="3453"/>
      <c r="AC270" s="2872"/>
      <c r="AD270" s="3449"/>
      <c r="AE270" s="3449"/>
      <c r="AF270" s="3449"/>
      <c r="AG270" s="3452" t="str">
        <f>AH269&amp;"-"&amp;AJ269</f>
        <v>44197-44377</v>
      </c>
      <c r="AH270" s="3453"/>
      <c r="AI270" s="2872"/>
      <c r="AJ270" s="3453"/>
      <c r="AK270" s="2872"/>
      <c r="AL270" s="3449"/>
      <c r="AM270" s="3449"/>
      <c r="AN270" s="3449"/>
      <c r="AO270" s="3452" t="str">
        <f>AP269&amp;"-"&amp;AR269</f>
        <v>44378-44561</v>
      </c>
      <c r="AP270" s="3453"/>
      <c r="AQ270" s="2872"/>
      <c r="AR270" s="3453"/>
      <c r="AS270" s="2872"/>
      <c r="AT270" s="3449"/>
      <c r="AU270" s="3449"/>
      <c r="AV270" s="3449"/>
      <c r="AW270" s="3452" t="str">
        <f>AX269&amp;"-"&amp;AZ269</f>
        <v>44562-44601</v>
      </c>
      <c r="AX270" s="3453"/>
      <c r="AY270" s="2872"/>
      <c r="AZ270" s="3453"/>
      <c r="BA270" s="2872"/>
      <c r="BB270" s="3449"/>
      <c r="BC270" s="3449"/>
      <c r="BD270" s="3449"/>
      <c r="BE270" s="3452" t="str">
        <f>BF269&amp;"-"&amp;BH269</f>
        <v>44602-44742</v>
      </c>
      <c r="BF270" s="3453"/>
      <c r="BG270" s="2872"/>
      <c r="BH270" s="3453"/>
      <c r="BI270" s="2872"/>
      <c r="BJ270" s="3449"/>
      <c r="BK270" s="3449"/>
      <c r="BL270" s="3449"/>
      <c r="BM270" s="3452" t="str">
        <f>BN269&amp;"-"&amp;BP269</f>
        <v>44743-44804</v>
      </c>
      <c r="BN270" s="3453"/>
      <c r="BO270" s="2872"/>
      <c r="BP270" s="3453"/>
      <c r="BQ270" s="2872"/>
      <c r="BR270" s="3449"/>
      <c r="BS270" s="3449"/>
      <c r="BT270" s="3449"/>
      <c r="BU270" s="3452" t="str">
        <f>BV269&amp;"-"&amp;BX269</f>
        <v>44805-44895</v>
      </c>
      <c r="BV270" s="3453"/>
      <c r="BW270" s="2872"/>
      <c r="BX270" s="3453"/>
      <c r="BY270" s="2872"/>
      <c r="BZ270" s="3449"/>
      <c r="CA270" s="3449"/>
      <c r="CB270" s="3449"/>
      <c r="CC270" s="3452" t="str">
        <f>CD269&amp;"-"&amp;CF269</f>
        <v>44896-45174</v>
      </c>
      <c r="CD270" s="3453"/>
      <c r="CE270" s="2872"/>
      <c r="CF270" s="3453"/>
      <c r="CG270" s="2872"/>
      <c r="CH270" s="3449"/>
      <c r="CI270" s="3449"/>
      <c r="CJ270" s="3449"/>
      <c r="CK270" s="3452" t="str">
        <f>CL269&amp;"-"&amp;CN269</f>
        <v>45175-45291</v>
      </c>
      <c r="CL270" s="3453"/>
      <c r="CM270" s="2872"/>
      <c r="CN270" s="3453"/>
      <c r="CO270" s="2872"/>
      <c r="CP270" s="3449"/>
      <c r="CQ270" s="3747"/>
      <c r="CR270" s="3581"/>
      <c r="CS270" s="3728"/>
      <c r="CT270" s="3728" t="str">
        <f>IF(T270="","",T270)</f>
        <v/>
      </c>
      <c r="CU270" s="3728"/>
      <c r="CV270" s="3728"/>
    </row>
    <row s="6885" customFormat="1" customHeight="1" ht="15">
      <c r="A271" s="3716"/>
      <c r="B271" s="3716"/>
      <c r="C271" s="3716"/>
      <c r="D271" s="3716"/>
      <c r="E271" s="3717"/>
      <c r="F271" s="3717" t="s">
        <v>159</v>
      </c>
      <c r="G271" s="3717"/>
      <c r="H271" s="3717"/>
      <c r="I271" s="3739"/>
      <c r="J271" s="3730"/>
      <c r="K271" s="3716"/>
      <c r="L271" s="3719"/>
      <c r="M271" s="3573"/>
      <c r="N271" s="3573"/>
      <c r="O271" s="3731"/>
      <c r="P271" s="3732"/>
      <c r="Q271" s="3732"/>
      <c r="R271" s="3733"/>
      <c r="S271" s="6886"/>
      <c r="T271" s="6887" t="s">
        <v>626</v>
      </c>
      <c r="U271" s="6888"/>
      <c r="V271" s="6889"/>
      <c r="W271" s="6890"/>
      <c r="X271" s="6891"/>
      <c r="Y271" s="6892"/>
      <c r="Z271" s="6893"/>
      <c r="AA271" s="6894"/>
      <c r="AB271" s="6895"/>
      <c r="AC271" s="6896"/>
      <c r="AD271" s="6897"/>
      <c r="AE271" s="6898"/>
      <c r="AF271" s="6899"/>
      <c r="AG271" s="6900"/>
      <c r="AH271" s="6901"/>
      <c r="AI271" s="6902"/>
      <c r="AJ271" s="6903"/>
      <c r="AK271" s="6904"/>
      <c r="AL271" s="6905"/>
      <c r="AM271" s="6906"/>
      <c r="AN271" s="6907"/>
      <c r="AO271" s="6908"/>
      <c r="AP271" s="6909"/>
      <c r="AQ271" s="6910"/>
      <c r="AR271" s="6911"/>
      <c r="AS271" s="6912"/>
      <c r="AT271" s="6913"/>
      <c r="AU271" s="6914"/>
      <c r="AV271" s="6915"/>
      <c r="AW271" s="6916"/>
      <c r="AX271" s="6917"/>
      <c r="AY271" s="6918"/>
      <c r="AZ271" s="6919"/>
      <c r="BA271" s="6920"/>
      <c r="BB271" s="6921"/>
      <c r="BC271" s="6922"/>
      <c r="BD271" s="6923"/>
      <c r="BE271" s="6924"/>
      <c r="BF271" s="6925"/>
      <c r="BG271" s="6926"/>
      <c r="BH271" s="6927"/>
      <c r="BI271" s="6928"/>
      <c r="BJ271" s="6929"/>
      <c r="BK271" s="6930"/>
      <c r="BL271" s="6931"/>
      <c r="BM271" s="6932"/>
      <c r="BN271" s="6933"/>
      <c r="BO271" s="6934"/>
      <c r="BP271" s="6935"/>
      <c r="BQ271" s="6936"/>
      <c r="BR271" s="6937"/>
      <c r="BS271" s="6938"/>
      <c r="BT271" s="6939"/>
      <c r="BU271" s="6940"/>
      <c r="BV271" s="6941"/>
      <c r="BW271" s="6942"/>
      <c r="BX271" s="6943"/>
      <c r="BY271" s="6944"/>
      <c r="BZ271" s="6945"/>
      <c r="CA271" s="6946"/>
      <c r="CB271" s="6947"/>
      <c r="CC271" s="6948"/>
      <c r="CD271" s="6949"/>
      <c r="CE271" s="6950"/>
      <c r="CF271" s="6951"/>
      <c r="CG271" s="6952"/>
      <c r="CH271" s="6953"/>
      <c r="CI271" s="6954"/>
      <c r="CJ271" s="6955"/>
      <c r="CK271" s="6956"/>
      <c r="CL271" s="6957"/>
      <c r="CM271" s="6958"/>
      <c r="CN271" s="6959"/>
      <c r="CO271" s="6960"/>
      <c r="CP271" s="6961"/>
      <c r="CQ271" s="3825"/>
      <c r="CR271" s="3581"/>
      <c r="CS271" s="3728"/>
      <c r="CT271" s="3728" t="str">
        <f>IF(T271="","",T271)</f>
        <v>Добавить вид теплоносителя (параметры теплоносителя)</v>
      </c>
      <c r="CU271" s="3728"/>
      <c r="CV271" s="3728"/>
    </row>
    <row s="6962" customFormat="1" customHeight="1" ht="15">
      <c r="A272" s="3716"/>
      <c r="B272" s="3716"/>
      <c r="C272" s="3716"/>
      <c r="D272" s="3716"/>
      <c r="E272" s="3717"/>
      <c r="F272" s="3717" t="s">
        <v>159</v>
      </c>
      <c r="G272" s="3717"/>
      <c r="H272" s="3717"/>
      <c r="I272" s="3730"/>
      <c r="J272" s="3716"/>
      <c r="K272" s="3716"/>
      <c r="L272" s="3719"/>
      <c r="M272" s="3573"/>
      <c r="N272" s="3731"/>
      <c r="O272" s="3731"/>
      <c r="P272" s="3732"/>
      <c r="Q272" s="3732"/>
      <c r="R272" s="3733"/>
      <c r="S272" s="6963"/>
      <c r="T272" s="6964" t="s">
        <v>627</v>
      </c>
      <c r="U272" s="6965"/>
      <c r="V272" s="6966"/>
      <c r="W272" s="6967"/>
      <c r="X272" s="6968"/>
      <c r="Y272" s="6969"/>
      <c r="Z272" s="6970"/>
      <c r="AA272" s="6971"/>
      <c r="AB272" s="6972"/>
      <c r="AC272" s="6973"/>
      <c r="AD272" s="6974"/>
      <c r="AE272" s="6975"/>
      <c r="AF272" s="6976"/>
      <c r="AG272" s="6977"/>
      <c r="AH272" s="6978"/>
      <c r="AI272" s="6979"/>
      <c r="AJ272" s="6980"/>
      <c r="AK272" s="6981"/>
      <c r="AL272" s="6982"/>
      <c r="AM272" s="6983"/>
      <c r="AN272" s="6984"/>
      <c r="AO272" s="6985"/>
      <c r="AP272" s="6986"/>
      <c r="AQ272" s="6987"/>
      <c r="AR272" s="6988"/>
      <c r="AS272" s="6989"/>
      <c r="AT272" s="6990"/>
      <c r="AU272" s="6991"/>
      <c r="AV272" s="6992"/>
      <c r="AW272" s="6993"/>
      <c r="AX272" s="6994"/>
      <c r="AY272" s="6995"/>
      <c r="AZ272" s="6996"/>
      <c r="BA272" s="6997"/>
      <c r="BB272" s="6998"/>
      <c r="BC272" s="6999"/>
      <c r="BD272" s="7000"/>
      <c r="BE272" s="7001"/>
      <c r="BF272" s="7002"/>
      <c r="BG272" s="7003"/>
      <c r="BH272" s="7004"/>
      <c r="BI272" s="7005"/>
      <c r="BJ272" s="7006"/>
      <c r="BK272" s="7007"/>
      <c r="BL272" s="7008"/>
      <c r="BM272" s="7009"/>
      <c r="BN272" s="7010"/>
      <c r="BO272" s="7011"/>
      <c r="BP272" s="7012"/>
      <c r="BQ272" s="7013"/>
      <c r="BR272" s="7014"/>
      <c r="BS272" s="7015"/>
      <c r="BT272" s="7016"/>
      <c r="BU272" s="7017"/>
      <c r="BV272" s="7018"/>
      <c r="BW272" s="7019"/>
      <c r="BX272" s="7020"/>
      <c r="BY272" s="7021"/>
      <c r="BZ272" s="7022"/>
      <c r="CA272" s="7023"/>
      <c r="CB272" s="7024"/>
      <c r="CC272" s="7025"/>
      <c r="CD272" s="7026"/>
      <c r="CE272" s="7027"/>
      <c r="CF272" s="7028"/>
      <c r="CG272" s="7029"/>
      <c r="CH272" s="7030"/>
      <c r="CI272" s="7031"/>
      <c r="CJ272" s="7032"/>
      <c r="CK272" s="7033"/>
      <c r="CL272" s="7034"/>
      <c r="CM272" s="7035"/>
      <c r="CN272" s="7036"/>
      <c r="CO272" s="7037"/>
      <c r="CP272" s="7038"/>
      <c r="CQ272" s="7039"/>
      <c r="CR272" s="3581"/>
      <c r="CS272" s="3728"/>
      <c r="CT272" s="3728" t="str">
        <f>IF(T272="","",T272)</f>
        <v>Добавить группу потребителей</v>
      </c>
      <c r="CU272" s="3728"/>
      <c r="CV272" s="3728"/>
    </row>
    <row s="7040" customFormat="1" customHeight="1" ht="14.25">
      <c r="A273" s="3716"/>
      <c r="B273" s="3716"/>
      <c r="C273" s="3716"/>
      <c r="D273" s="3716"/>
      <c r="E273" s="3717"/>
      <c r="F273" s="3717" t="s">
        <v>159</v>
      </c>
      <c r="G273" s="3717"/>
      <c r="H273" s="3718"/>
      <c r="I273" s="3716"/>
      <c r="J273" s="3716"/>
      <c r="K273" s="3716"/>
      <c r="L273" s="3719"/>
      <c r="M273" s="3720"/>
      <c r="N273" s="3720"/>
      <c r="O273" s="3573"/>
      <c r="P273" s="3905"/>
      <c r="Q273" s="3906"/>
      <c r="R273" s="3907"/>
      <c r="S273" s="3908"/>
      <c r="T273" s="3909"/>
      <c r="U273" s="3569"/>
      <c r="V273" s="3569"/>
      <c r="W273" s="3569"/>
      <c r="X273" s="3569"/>
      <c r="Y273" s="3569"/>
      <c r="Z273" s="3569"/>
      <c r="AA273" s="3569"/>
      <c r="AB273" s="3569"/>
      <c r="AC273" s="3569"/>
      <c r="AD273" s="3569"/>
      <c r="AE273" s="3569"/>
      <c r="AF273" s="3569"/>
      <c r="AG273" s="3569"/>
      <c r="AH273" s="3569"/>
      <c r="AI273" s="3569"/>
      <c r="AJ273" s="3569"/>
      <c r="AK273" s="3569"/>
      <c r="AL273" s="3569"/>
      <c r="AM273" s="3569"/>
      <c r="AN273" s="3569"/>
      <c r="AO273" s="3569"/>
      <c r="AP273" s="3569"/>
      <c r="AQ273" s="3569"/>
      <c r="AR273" s="3569"/>
      <c r="AS273" s="3569"/>
      <c r="AT273" s="3569"/>
      <c r="AU273" s="3569"/>
      <c r="AV273" s="3569"/>
      <c r="AW273" s="3569"/>
      <c r="AX273" s="3569"/>
      <c r="AY273" s="3569"/>
      <c r="AZ273" s="3569"/>
      <c r="BA273" s="3569"/>
      <c r="BB273" s="3569"/>
      <c r="BC273" s="3569"/>
      <c r="BD273" s="3569"/>
      <c r="BE273" s="3569"/>
      <c r="BF273" s="3569"/>
      <c r="BG273" s="3569"/>
      <c r="BH273" s="3569"/>
      <c r="BI273" s="3569"/>
      <c r="BJ273" s="3569"/>
      <c r="BK273" s="3569"/>
      <c r="BL273" s="3569"/>
      <c r="BM273" s="3569"/>
      <c r="BN273" s="3569"/>
      <c r="BO273" s="3569"/>
      <c r="BP273" s="3569"/>
      <c r="BQ273" s="3569"/>
      <c r="BR273" s="3569"/>
      <c r="BS273" s="3569"/>
      <c r="BT273" s="3569"/>
      <c r="BU273" s="3569"/>
      <c r="BV273" s="3569"/>
      <c r="BW273" s="3569"/>
      <c r="BX273" s="3569"/>
      <c r="BY273" s="3569"/>
      <c r="BZ273" s="3569"/>
      <c r="CA273" s="3569"/>
      <c r="CB273" s="3569"/>
      <c r="CC273" s="3569"/>
      <c r="CD273" s="3569"/>
      <c r="CE273" s="3569"/>
      <c r="CF273" s="3569"/>
      <c r="CG273" s="3569"/>
      <c r="CH273" s="3569"/>
      <c r="CI273" s="3569"/>
      <c r="CJ273" s="3569"/>
      <c r="CK273" s="3569"/>
      <c r="CL273" s="3569"/>
      <c r="CM273" s="3569"/>
      <c r="CN273" s="3569"/>
      <c r="CO273" s="3569"/>
      <c r="CP273" s="3569"/>
      <c r="CQ273" s="3910"/>
      <c r="CR273" s="3581"/>
      <c r="CS273" s="3728"/>
      <c r="CT273" s="3728" t="str">
        <f>IF(T273="","",T273)</f>
        <v/>
      </c>
      <c r="CU273" s="3728"/>
      <c r="CV273" s="3728"/>
    </row>
    <row s="7041" customFormat="1" customHeight="1" ht="21">
      <c r="A274" s="3716"/>
      <c r="B274" s="3716"/>
      <c r="C274" s="3716"/>
      <c r="D274" s="3716" t="s">
        <v>315</v>
      </c>
      <c r="E274" s="3717"/>
      <c r="F274" s="3717"/>
      <c r="G274" s="3717"/>
      <c r="H274" s="3718" t="s">
        <v>104</v>
      </c>
      <c r="I274" s="3716"/>
      <c r="J274" s="3716"/>
      <c r="K274" s="3716"/>
      <c r="L274" s="3719"/>
      <c r="M274" s="3720"/>
      <c r="N274" s="3720"/>
      <c r="O274" s="3720"/>
      <c r="P274" s="3721"/>
      <c r="Q274" s="3722"/>
      <c r="R274" s="3723"/>
      <c r="S274" s="3724" t="str">
        <f>INDEX(PT_DIFFERENTIATION_NUM_IST_TE,MATCH(D274,PT_DIFFERENTIATION_IST_TE_ID,0))</f>
        <v>1.16.1.2</v>
      </c>
      <c r="T274" s="3725" t="s">
        <v>616</v>
      </c>
      <c r="U274" s="3726"/>
      <c r="V274" s="3432"/>
      <c r="W274" s="3433"/>
      <c r="X274" s="3433"/>
      <c r="Y274" s="3433"/>
      <c r="Z274" s="3433"/>
      <c r="AA274" s="3433"/>
      <c r="AB274" s="3433"/>
      <c r="AC274" s="3434"/>
      <c r="AD274" s="3432" t="str">
        <f>INDEX(PT_DIFFERENTIATION_IST_TE,MATCH(D274,PT_DIFFERENTIATION_IST_TE_ID,0))</f>
        <v>н.п.Лейпи </v>
      </c>
      <c r="AE274" s="3433"/>
      <c r="AF274" s="3433"/>
      <c r="AG274" s="3433"/>
      <c r="AH274" s="3433"/>
      <c r="AI274" s="3433"/>
      <c r="AJ274" s="3433"/>
      <c r="AK274" s="3433"/>
      <c r="AL274" s="3432"/>
      <c r="AM274" s="3433"/>
      <c r="AN274" s="3433"/>
      <c r="AO274" s="3433"/>
      <c r="AP274" s="3433"/>
      <c r="AQ274" s="3433"/>
      <c r="AR274" s="3433"/>
      <c r="AS274" s="3434"/>
      <c r="AT274" s="3432"/>
      <c r="AU274" s="3433"/>
      <c r="AV274" s="3433"/>
      <c r="AW274" s="3433"/>
      <c r="AX274" s="3433"/>
      <c r="AY274" s="3433"/>
      <c r="AZ274" s="3433"/>
      <c r="BA274" s="3434"/>
      <c r="BB274" s="3432"/>
      <c r="BC274" s="3433"/>
      <c r="BD274" s="3433"/>
      <c r="BE274" s="3433"/>
      <c r="BF274" s="3433"/>
      <c r="BG274" s="3433"/>
      <c r="BH274" s="3433"/>
      <c r="BI274" s="3434"/>
      <c r="BJ274" s="3432"/>
      <c r="BK274" s="3433"/>
      <c r="BL274" s="3433"/>
      <c r="BM274" s="3433"/>
      <c r="BN274" s="3433"/>
      <c r="BO274" s="3433"/>
      <c r="BP274" s="3433"/>
      <c r="BQ274" s="3434"/>
      <c r="BR274" s="3432"/>
      <c r="BS274" s="3433"/>
      <c r="BT274" s="3433"/>
      <c r="BU274" s="3433"/>
      <c r="BV274" s="3433"/>
      <c r="BW274" s="3433"/>
      <c r="BX274" s="3433"/>
      <c r="BY274" s="3434"/>
      <c r="BZ274" s="3432"/>
      <c r="CA274" s="3433"/>
      <c r="CB274" s="3433"/>
      <c r="CC274" s="3433"/>
      <c r="CD274" s="3433"/>
      <c r="CE274" s="3433"/>
      <c r="CF274" s="3433"/>
      <c r="CG274" s="3434"/>
      <c r="CH274" s="3432"/>
      <c r="CI274" s="3433"/>
      <c r="CJ274" s="3433"/>
      <c r="CK274" s="3433"/>
      <c r="CL274" s="3433"/>
      <c r="CM274" s="3433"/>
      <c r="CN274" s="3433"/>
      <c r="CO274" s="3434"/>
      <c r="CP274" s="3434"/>
      <c r="CQ274" s="3727" t="s">
        <v>617</v>
      </c>
      <c r="CR274" s="3581"/>
      <c r="CS274" s="3728"/>
      <c r="CT274" s="3728" t="str">
        <f>IF(T274="","",T274)</f>
        <v>Источник тепловой энергии  </v>
      </c>
      <c r="CU274" s="3728"/>
      <c r="CV274" s="3728"/>
    </row>
    <row s="7042" customFormat="1" customHeight="1" ht="14.25">
      <c r="A275" s="3716"/>
      <c r="B275" s="3716"/>
      <c r="C275" s="3716"/>
      <c r="D275" s="3716"/>
      <c r="E275" s="3717"/>
      <c r="F275" s="3717"/>
      <c r="G275" s="3717"/>
      <c r="H275" s="3717">
        <v>1</v>
      </c>
      <c r="I275" s="3730" t="str">
        <f>S274&amp;".1"</f>
        <v>1.16.1.2.1</v>
      </c>
      <c r="J275" s="3716"/>
      <c r="K275" s="3716"/>
      <c r="L275" s="3719" t="s">
        <v>618</v>
      </c>
      <c r="M275" s="3573"/>
      <c r="N275" s="3731"/>
      <c r="O275" s="3731"/>
      <c r="P275" s="3732">
        <v>1</v>
      </c>
      <c r="Q275" s="3732"/>
      <c r="R275" s="3733"/>
      <c r="S275" s="3734"/>
      <c r="T275" s="3735"/>
      <c r="U275" s="3736"/>
      <c r="V275" s="3441"/>
      <c r="W275" s="3442"/>
      <c r="X275" s="3442"/>
      <c r="Y275" s="3442"/>
      <c r="Z275" s="3442"/>
      <c r="AA275" s="3442"/>
      <c r="AB275" s="3442"/>
      <c r="AC275" s="3443"/>
      <c r="AD275" s="3441"/>
      <c r="AE275" s="3442"/>
      <c r="AF275" s="3442"/>
      <c r="AG275" s="3442"/>
      <c r="AH275" s="3442"/>
      <c r="AI275" s="3442"/>
      <c r="AJ275" s="3442"/>
      <c r="AK275" s="3442"/>
      <c r="AL275" s="3441"/>
      <c r="AM275" s="3442"/>
      <c r="AN275" s="3442"/>
      <c r="AO275" s="3442"/>
      <c r="AP275" s="3442"/>
      <c r="AQ275" s="3442"/>
      <c r="AR275" s="3442"/>
      <c r="AS275" s="3443"/>
      <c r="AT275" s="3441"/>
      <c r="AU275" s="3442"/>
      <c r="AV275" s="3442"/>
      <c r="AW275" s="3442"/>
      <c r="AX275" s="3442"/>
      <c r="AY275" s="3442"/>
      <c r="AZ275" s="3442"/>
      <c r="BA275" s="3443"/>
      <c r="BB275" s="3441"/>
      <c r="BC275" s="3442"/>
      <c r="BD275" s="3442"/>
      <c r="BE275" s="3442"/>
      <c r="BF275" s="3442"/>
      <c r="BG275" s="3442"/>
      <c r="BH275" s="3442"/>
      <c r="BI275" s="3443"/>
      <c r="BJ275" s="3441"/>
      <c r="BK275" s="3442"/>
      <c r="BL275" s="3442"/>
      <c r="BM275" s="3442"/>
      <c r="BN275" s="3442"/>
      <c r="BO275" s="3442"/>
      <c r="BP275" s="3442"/>
      <c r="BQ275" s="3443"/>
      <c r="BR275" s="3441"/>
      <c r="BS275" s="3442"/>
      <c r="BT275" s="3442"/>
      <c r="BU275" s="3442"/>
      <c r="BV275" s="3442"/>
      <c r="BW275" s="3442"/>
      <c r="BX275" s="3442"/>
      <c r="BY275" s="3443"/>
      <c r="BZ275" s="3441"/>
      <c r="CA275" s="3442"/>
      <c r="CB275" s="3442"/>
      <c r="CC275" s="3442"/>
      <c r="CD275" s="3442"/>
      <c r="CE275" s="3442"/>
      <c r="CF275" s="3442"/>
      <c r="CG275" s="3443"/>
      <c r="CH275" s="3441"/>
      <c r="CI275" s="3442"/>
      <c r="CJ275" s="3442"/>
      <c r="CK275" s="3442"/>
      <c r="CL275" s="3442"/>
      <c r="CM275" s="3442"/>
      <c r="CN275" s="3442"/>
      <c r="CO275" s="3443"/>
      <c r="CP275" s="3443"/>
      <c r="CQ275" s="3737"/>
      <c r="CR275" s="3581"/>
      <c r="CS275" s="3728"/>
      <c r="CT275" s="3728" t="str">
        <f>IF(T275="","",T275)</f>
        <v/>
      </c>
      <c r="CU275" s="3728"/>
      <c r="CV275" s="3728"/>
    </row>
    <row s="7043" customFormat="1" customHeight="1" ht="21">
      <c r="A276" s="3716"/>
      <c r="B276" s="3716"/>
      <c r="C276" s="3716"/>
      <c r="D276" s="3716"/>
      <c r="E276" s="3717"/>
      <c r="F276" s="3717"/>
      <c r="G276" s="3717"/>
      <c r="H276" s="3717">
        <v>1</v>
      </c>
      <c r="I276" s="3739"/>
      <c r="J276" s="3730" t="str">
        <f>I275&amp;".1"</f>
        <v>1.16.1.2.1.1</v>
      </c>
      <c r="K276" s="3716"/>
      <c r="L276" s="3719" t="s">
        <v>621</v>
      </c>
      <c r="M276" s="3573"/>
      <c r="N276" s="3573"/>
      <c r="O276" s="3731"/>
      <c r="P276" s="3732"/>
      <c r="Q276" s="3732">
        <v>1</v>
      </c>
      <c r="R276" s="3740"/>
      <c r="S276" s="3724" t="str">
        <f>$J276</f>
        <v>1.16.1.2.1.1</v>
      </c>
      <c r="T276" s="3741" t="s">
        <v>622</v>
      </c>
      <c r="U276" s="3726"/>
      <c r="V276" s="3445"/>
      <c r="W276" s="3446"/>
      <c r="X276" s="3446"/>
      <c r="Y276" s="3446"/>
      <c r="Z276" s="3446"/>
      <c r="AA276" s="3446"/>
      <c r="AB276" s="3446"/>
      <c r="AC276" s="3447"/>
      <c r="AD276" s="3445" t="s">
        <v>662</v>
      </c>
      <c r="AE276" s="3446"/>
      <c r="AF276" s="3446"/>
      <c r="AG276" s="3446"/>
      <c r="AH276" s="3446"/>
      <c r="AI276" s="3446"/>
      <c r="AJ276" s="3446"/>
      <c r="AK276" s="3446"/>
      <c r="AL276" s="3445"/>
      <c r="AM276" s="3446"/>
      <c r="AN276" s="3446"/>
      <c r="AO276" s="3446"/>
      <c r="AP276" s="3446"/>
      <c r="AQ276" s="3446"/>
      <c r="AR276" s="3446"/>
      <c r="AS276" s="3447"/>
      <c r="AT276" s="3445"/>
      <c r="AU276" s="3446"/>
      <c r="AV276" s="3446"/>
      <c r="AW276" s="3446"/>
      <c r="AX276" s="3446"/>
      <c r="AY276" s="3446"/>
      <c r="AZ276" s="3446"/>
      <c r="BA276" s="3447"/>
      <c r="BB276" s="3445"/>
      <c r="BC276" s="3446"/>
      <c r="BD276" s="3446"/>
      <c r="BE276" s="3446"/>
      <c r="BF276" s="3446"/>
      <c r="BG276" s="3446"/>
      <c r="BH276" s="3446"/>
      <c r="BI276" s="3447"/>
      <c r="BJ276" s="3445"/>
      <c r="BK276" s="3446"/>
      <c r="BL276" s="3446"/>
      <c r="BM276" s="3446"/>
      <c r="BN276" s="3446"/>
      <c r="BO276" s="3446"/>
      <c r="BP276" s="3446"/>
      <c r="BQ276" s="3447"/>
      <c r="BR276" s="3445"/>
      <c r="BS276" s="3446"/>
      <c r="BT276" s="3446"/>
      <c r="BU276" s="3446"/>
      <c r="BV276" s="3446"/>
      <c r="BW276" s="3446"/>
      <c r="BX276" s="3446"/>
      <c r="BY276" s="3447"/>
      <c r="BZ276" s="3445"/>
      <c r="CA276" s="3446"/>
      <c r="CB276" s="3446"/>
      <c r="CC276" s="3446"/>
      <c r="CD276" s="3446"/>
      <c r="CE276" s="3446"/>
      <c r="CF276" s="3446"/>
      <c r="CG276" s="3447"/>
      <c r="CH276" s="3445"/>
      <c r="CI276" s="3446"/>
      <c r="CJ276" s="3446"/>
      <c r="CK276" s="3446"/>
      <c r="CL276" s="3446"/>
      <c r="CM276" s="3446"/>
      <c r="CN276" s="3446"/>
      <c r="CO276" s="3447"/>
      <c r="CP276" s="3447"/>
      <c r="CQ276" s="3727" t="s">
        <v>623</v>
      </c>
      <c r="CR276" s="3581"/>
      <c r="CS276" s="3728"/>
      <c r="CT276" s="3728" t="str">
        <f>IF(T276="","",T276)</f>
        <v>Группа потребителей</v>
      </c>
      <c r="CU276" s="3728"/>
      <c r="CV276" s="3728"/>
    </row>
    <row s="7044" customFormat="1" customHeight="1" ht="21">
      <c r="A277" s="3716"/>
      <c r="B277" s="3716"/>
      <c r="C277" s="3716"/>
      <c r="D277" s="3716"/>
      <c r="E277" s="3717"/>
      <c r="F277" s="3717"/>
      <c r="G277" s="3717"/>
      <c r="H277" s="3717">
        <v>1</v>
      </c>
      <c r="I277" s="3739"/>
      <c r="J277" s="3739"/>
      <c r="K277" s="3730" t="str">
        <f>J276&amp;".1"</f>
        <v>1.16.1.2.1.1.1</v>
      </c>
      <c r="L277" s="3719" t="s">
        <v>624</v>
      </c>
      <c r="M277" s="3573"/>
      <c r="N277" s="3573"/>
      <c r="O277" s="3573"/>
      <c r="P277" s="3732"/>
      <c r="Q277" s="3732"/>
      <c r="R277" s="3740">
        <v>1</v>
      </c>
      <c r="S277" s="3724" t="str">
        <f>$K277</f>
        <v>1.16.1.2.1.1.1</v>
      </c>
      <c r="T277" s="3743" t="s">
        <v>663</v>
      </c>
      <c r="U277" s="3726"/>
      <c r="V277" s="3448"/>
      <c r="W277" s="3449"/>
      <c r="X277" s="3448"/>
      <c r="Y277" s="3450"/>
      <c r="Z277" s="3451"/>
      <c r="AA277" s="2872" t="s">
        <v>63</v>
      </c>
      <c r="AB277" s="3451"/>
      <c r="AC277" s="2872" t="s">
        <v>63</v>
      </c>
      <c r="AD277" s="3448">
        <v>21.5</v>
      </c>
      <c r="AE277" s="3449"/>
      <c r="AF277" s="3448"/>
      <c r="AG277" s="3450"/>
      <c r="AH277" s="3451">
        <v>44197</v>
      </c>
      <c r="AI277" s="2872" t="s">
        <v>63</v>
      </c>
      <c r="AJ277" s="3451">
        <v>44377</v>
      </c>
      <c r="AK277" s="2872" t="s">
        <v>63</v>
      </c>
      <c r="AL277" s="3448">
        <v>27.77</v>
      </c>
      <c r="AM277" s="3449"/>
      <c r="AN277" s="3448"/>
      <c r="AO277" s="3450"/>
      <c r="AP277" s="3451">
        <v>44378</v>
      </c>
      <c r="AQ277" s="2872" t="s">
        <v>63</v>
      </c>
      <c r="AR277" s="3451">
        <v>44561</v>
      </c>
      <c r="AS277" s="2872" t="s">
        <v>63</v>
      </c>
      <c r="AT277" s="3448">
        <v>27.77</v>
      </c>
      <c r="AU277" s="3449"/>
      <c r="AV277" s="3448"/>
      <c r="AW277" s="3450"/>
      <c r="AX277" s="3451">
        <v>44562</v>
      </c>
      <c r="AY277" s="2872" t="s">
        <v>63</v>
      </c>
      <c r="AZ277" s="3451">
        <v>44601</v>
      </c>
      <c r="BA277" s="2872" t="s">
        <v>63</v>
      </c>
      <c r="BB277" s="3448">
        <v>27.77</v>
      </c>
      <c r="BC277" s="3449"/>
      <c r="BD277" s="3448"/>
      <c r="BE277" s="3450"/>
      <c r="BF277" s="3451">
        <v>44602</v>
      </c>
      <c r="BG277" s="2872" t="s">
        <v>63</v>
      </c>
      <c r="BH277" s="3451">
        <v>44742</v>
      </c>
      <c r="BI277" s="2872" t="s">
        <v>63</v>
      </c>
      <c r="BJ277" s="3448">
        <v>48.04</v>
      </c>
      <c r="BK277" s="3449"/>
      <c r="BL277" s="3448"/>
      <c r="BM277" s="3450"/>
      <c r="BN277" s="3451">
        <v>44743</v>
      </c>
      <c r="BO277" s="2872" t="s">
        <v>63</v>
      </c>
      <c r="BP277" s="3451">
        <v>44804</v>
      </c>
      <c r="BQ277" s="2872" t="s">
        <v>63</v>
      </c>
      <c r="BR277" s="3448">
        <v>48.04</v>
      </c>
      <c r="BS277" s="3449"/>
      <c r="BT277" s="3448"/>
      <c r="BU277" s="3450"/>
      <c r="BV277" s="3451">
        <v>44805</v>
      </c>
      <c r="BW277" s="2872" t="s">
        <v>63</v>
      </c>
      <c r="BX277" s="3451">
        <v>44895</v>
      </c>
      <c r="BY277" s="2872" t="s">
        <v>63</v>
      </c>
      <c r="BZ277" s="3448">
        <v>50.92</v>
      </c>
      <c r="CA277" s="3449"/>
      <c r="CB277" s="3448"/>
      <c r="CC277" s="3450"/>
      <c r="CD277" s="3451">
        <v>44896</v>
      </c>
      <c r="CE277" s="2872" t="s">
        <v>63</v>
      </c>
      <c r="CF277" s="3451">
        <v>45174</v>
      </c>
      <c r="CG277" s="2872" t="s">
        <v>63</v>
      </c>
      <c r="CH277" s="3448">
        <v>50.92</v>
      </c>
      <c r="CI277" s="3449"/>
      <c r="CJ277" s="3448"/>
      <c r="CK277" s="3450"/>
      <c r="CL277" s="3451">
        <v>45175</v>
      </c>
      <c r="CM277" s="2872" t="s">
        <v>63</v>
      </c>
      <c r="CN277" s="3451">
        <v>45291</v>
      </c>
      <c r="CO277" s="2872" t="s">
        <v>63</v>
      </c>
      <c r="CP277" s="3449"/>
      <c r="CQ277" s="3744" t="s">
        <v>625</v>
      </c>
      <c r="CR277" s="3581">
        <f>STRCHECKDATE(V278:CP278)</f>
      </c>
      <c r="CS277" s="3728"/>
      <c r="CT277" s="3728" t="str">
        <f>IF(T277="","",T277)</f>
        <v>вода</v>
      </c>
      <c r="CU277" s="3728"/>
      <c r="CV277" s="3728"/>
    </row>
    <row s="7045" customFormat="1" customHeight="1" ht="0.75">
      <c r="A278" s="3716"/>
      <c r="B278" s="3716"/>
      <c r="C278" s="3716"/>
      <c r="D278" s="3716"/>
      <c r="E278" s="3717"/>
      <c r="F278" s="3717"/>
      <c r="G278" s="3717"/>
      <c r="H278" s="3717">
        <v>1</v>
      </c>
      <c r="I278" s="3739"/>
      <c r="J278" s="3739"/>
      <c r="K278" s="3730"/>
      <c r="L278" s="3719"/>
      <c r="M278" s="3573"/>
      <c r="N278" s="3573"/>
      <c r="O278" s="3573"/>
      <c r="P278" s="3732"/>
      <c r="Q278" s="3732"/>
      <c r="R278" s="3740"/>
      <c r="S278" s="3746"/>
      <c r="T278" s="3726"/>
      <c r="U278" s="3726"/>
      <c r="V278" s="3449"/>
      <c r="W278" s="3449"/>
      <c r="X278" s="3449"/>
      <c r="Y278" s="3452" t="str">
        <f>Z277&amp;"-"&amp;AB277</f>
        <v>-</v>
      </c>
      <c r="Z278" s="3453"/>
      <c r="AA278" s="2872"/>
      <c r="AB278" s="3453"/>
      <c r="AC278" s="2872"/>
      <c r="AD278" s="3449"/>
      <c r="AE278" s="3449"/>
      <c r="AF278" s="3449"/>
      <c r="AG278" s="3452" t="str">
        <f>AH277&amp;"-"&amp;AJ277</f>
        <v>44197-44377</v>
      </c>
      <c r="AH278" s="3453"/>
      <c r="AI278" s="2872"/>
      <c r="AJ278" s="3453"/>
      <c r="AK278" s="2872"/>
      <c r="AL278" s="3449"/>
      <c r="AM278" s="3449"/>
      <c r="AN278" s="3449"/>
      <c r="AO278" s="3452" t="str">
        <f>AP277&amp;"-"&amp;AR277</f>
        <v>44378-44561</v>
      </c>
      <c r="AP278" s="3453"/>
      <c r="AQ278" s="2872"/>
      <c r="AR278" s="3453"/>
      <c r="AS278" s="2872"/>
      <c r="AT278" s="3449"/>
      <c r="AU278" s="3449"/>
      <c r="AV278" s="3449"/>
      <c r="AW278" s="3452" t="str">
        <f>AX277&amp;"-"&amp;AZ277</f>
        <v>44562-44601</v>
      </c>
      <c r="AX278" s="3453"/>
      <c r="AY278" s="2872"/>
      <c r="AZ278" s="3453"/>
      <c r="BA278" s="2872"/>
      <c r="BB278" s="3449"/>
      <c r="BC278" s="3449"/>
      <c r="BD278" s="3449"/>
      <c r="BE278" s="3452" t="str">
        <f>BF277&amp;"-"&amp;BH277</f>
        <v>44602-44742</v>
      </c>
      <c r="BF278" s="3453"/>
      <c r="BG278" s="2872"/>
      <c r="BH278" s="3453"/>
      <c r="BI278" s="2872"/>
      <c r="BJ278" s="3449"/>
      <c r="BK278" s="3449"/>
      <c r="BL278" s="3449"/>
      <c r="BM278" s="3452" t="str">
        <f>BN277&amp;"-"&amp;BP277</f>
        <v>44743-44804</v>
      </c>
      <c r="BN278" s="3453"/>
      <c r="BO278" s="2872"/>
      <c r="BP278" s="3453"/>
      <c r="BQ278" s="2872"/>
      <c r="BR278" s="3449"/>
      <c r="BS278" s="3449"/>
      <c r="BT278" s="3449"/>
      <c r="BU278" s="3452" t="str">
        <f>BV277&amp;"-"&amp;BX277</f>
        <v>44805-44895</v>
      </c>
      <c r="BV278" s="3453"/>
      <c r="BW278" s="2872"/>
      <c r="BX278" s="3453"/>
      <c r="BY278" s="2872"/>
      <c r="BZ278" s="3449"/>
      <c r="CA278" s="3449"/>
      <c r="CB278" s="3449"/>
      <c r="CC278" s="3452" t="str">
        <f>CD277&amp;"-"&amp;CF277</f>
        <v>44896-45174</v>
      </c>
      <c r="CD278" s="3453"/>
      <c r="CE278" s="2872"/>
      <c r="CF278" s="3453"/>
      <c r="CG278" s="2872"/>
      <c r="CH278" s="3449"/>
      <c r="CI278" s="3449"/>
      <c r="CJ278" s="3449"/>
      <c r="CK278" s="3452" t="str">
        <f>CL277&amp;"-"&amp;CN277</f>
        <v>45175-45291</v>
      </c>
      <c r="CL278" s="3453"/>
      <c r="CM278" s="2872"/>
      <c r="CN278" s="3453"/>
      <c r="CO278" s="2872"/>
      <c r="CP278" s="3449"/>
      <c r="CQ278" s="3747"/>
      <c r="CR278" s="3581"/>
      <c r="CS278" s="3728"/>
      <c r="CT278" s="3728" t="str">
        <f>IF(T278="","",T278)</f>
        <v/>
      </c>
      <c r="CU278" s="3728"/>
      <c r="CV278" s="3728"/>
    </row>
    <row s="7046" customFormat="1" customHeight="1" ht="15">
      <c r="A279" s="3716"/>
      <c r="B279" s="3716"/>
      <c r="C279" s="3716"/>
      <c r="D279" s="3716"/>
      <c r="E279" s="3717"/>
      <c r="F279" s="3717"/>
      <c r="G279" s="3717"/>
      <c r="H279" s="3717">
        <v>1</v>
      </c>
      <c r="I279" s="3739"/>
      <c r="J279" s="3730"/>
      <c r="K279" s="3716"/>
      <c r="L279" s="3719"/>
      <c r="M279" s="3573"/>
      <c r="N279" s="3573"/>
      <c r="O279" s="3731"/>
      <c r="P279" s="3732"/>
      <c r="Q279" s="3732"/>
      <c r="R279" s="3733"/>
      <c r="S279" s="7047"/>
      <c r="T279" s="7048" t="s">
        <v>626</v>
      </c>
      <c r="U279" s="7049"/>
      <c r="V279" s="7050"/>
      <c r="W279" s="7051"/>
      <c r="X279" s="7052"/>
      <c r="Y279" s="7053"/>
      <c r="Z279" s="7054"/>
      <c r="AA279" s="7055"/>
      <c r="AB279" s="7056"/>
      <c r="AC279" s="7057"/>
      <c r="AD279" s="7058"/>
      <c r="AE279" s="7059"/>
      <c r="AF279" s="7060"/>
      <c r="AG279" s="7061"/>
      <c r="AH279" s="7062"/>
      <c r="AI279" s="7063"/>
      <c r="AJ279" s="7064"/>
      <c r="AK279" s="7065"/>
      <c r="AL279" s="7066"/>
      <c r="AM279" s="7067"/>
      <c r="AN279" s="7068"/>
      <c r="AO279" s="7069"/>
      <c r="AP279" s="7070"/>
      <c r="AQ279" s="7071"/>
      <c r="AR279" s="7072"/>
      <c r="AS279" s="7073"/>
      <c r="AT279" s="7074"/>
      <c r="AU279" s="7075"/>
      <c r="AV279" s="7076"/>
      <c r="AW279" s="7077"/>
      <c r="AX279" s="7078"/>
      <c r="AY279" s="7079"/>
      <c r="AZ279" s="7080"/>
      <c r="BA279" s="7081"/>
      <c r="BB279" s="7082"/>
      <c r="BC279" s="7083"/>
      <c r="BD279" s="7084"/>
      <c r="BE279" s="7085"/>
      <c r="BF279" s="7086"/>
      <c r="BG279" s="7087"/>
      <c r="BH279" s="7088"/>
      <c r="BI279" s="7089"/>
      <c r="BJ279" s="7090"/>
      <c r="BK279" s="7091"/>
      <c r="BL279" s="7092"/>
      <c r="BM279" s="7093"/>
      <c r="BN279" s="7094"/>
      <c r="BO279" s="7095"/>
      <c r="BP279" s="7096"/>
      <c r="BQ279" s="7097"/>
      <c r="BR279" s="7098"/>
      <c r="BS279" s="7099"/>
      <c r="BT279" s="7100"/>
      <c r="BU279" s="7101"/>
      <c r="BV279" s="7102"/>
      <c r="BW279" s="7103"/>
      <c r="BX279" s="7104"/>
      <c r="BY279" s="7105"/>
      <c r="BZ279" s="7106"/>
      <c r="CA279" s="7107"/>
      <c r="CB279" s="7108"/>
      <c r="CC279" s="7109"/>
      <c r="CD279" s="7110"/>
      <c r="CE279" s="7111"/>
      <c r="CF279" s="7112"/>
      <c r="CG279" s="7113"/>
      <c r="CH279" s="7114"/>
      <c r="CI279" s="7115"/>
      <c r="CJ279" s="7116"/>
      <c r="CK279" s="7117"/>
      <c r="CL279" s="7118"/>
      <c r="CM279" s="7119"/>
      <c r="CN279" s="7120"/>
      <c r="CO279" s="7121"/>
      <c r="CP279" s="7122"/>
      <c r="CQ279" s="3825"/>
      <c r="CR279" s="3581"/>
      <c r="CS279" s="3728"/>
      <c r="CT279" s="3728" t="str">
        <f>IF(T279="","",T279)</f>
        <v>Добавить вид теплоносителя (параметры теплоносителя)</v>
      </c>
      <c r="CU279" s="3728"/>
      <c r="CV279" s="3728"/>
    </row>
    <row s="7123" customFormat="1" customHeight="1" ht="15">
      <c r="A280" s="3716"/>
      <c r="B280" s="3716"/>
      <c r="C280" s="3716"/>
      <c r="D280" s="3716"/>
      <c r="E280" s="3717"/>
      <c r="F280" s="3717"/>
      <c r="G280" s="3717"/>
      <c r="H280" s="3717">
        <v>1</v>
      </c>
      <c r="I280" s="3730"/>
      <c r="J280" s="3716"/>
      <c r="K280" s="3716"/>
      <c r="L280" s="3719"/>
      <c r="M280" s="3573"/>
      <c r="N280" s="3731"/>
      <c r="O280" s="3731"/>
      <c r="P280" s="3732"/>
      <c r="Q280" s="3732"/>
      <c r="R280" s="3733"/>
      <c r="S280" s="7124"/>
      <c r="T280" s="7125" t="s">
        <v>627</v>
      </c>
      <c r="U280" s="7126"/>
      <c r="V280" s="7127"/>
      <c r="W280" s="7128"/>
      <c r="X280" s="7129"/>
      <c r="Y280" s="7130"/>
      <c r="Z280" s="7131"/>
      <c r="AA280" s="7132"/>
      <c r="AB280" s="7133"/>
      <c r="AC280" s="7134"/>
      <c r="AD280" s="7135"/>
      <c r="AE280" s="7136"/>
      <c r="AF280" s="7137"/>
      <c r="AG280" s="7138"/>
      <c r="AH280" s="7139"/>
      <c r="AI280" s="7140"/>
      <c r="AJ280" s="7141"/>
      <c r="AK280" s="7142"/>
      <c r="AL280" s="7143"/>
      <c r="AM280" s="7144"/>
      <c r="AN280" s="7145"/>
      <c r="AO280" s="7146"/>
      <c r="AP280" s="7147"/>
      <c r="AQ280" s="7148"/>
      <c r="AR280" s="7149"/>
      <c r="AS280" s="7150"/>
      <c r="AT280" s="7151"/>
      <c r="AU280" s="7152"/>
      <c r="AV280" s="7153"/>
      <c r="AW280" s="7154"/>
      <c r="AX280" s="7155"/>
      <c r="AY280" s="7156"/>
      <c r="AZ280" s="7157"/>
      <c r="BA280" s="7158"/>
      <c r="BB280" s="7159"/>
      <c r="BC280" s="7160"/>
      <c r="BD280" s="7161"/>
      <c r="BE280" s="7162"/>
      <c r="BF280" s="7163"/>
      <c r="BG280" s="7164"/>
      <c r="BH280" s="7165"/>
      <c r="BI280" s="7166"/>
      <c r="BJ280" s="7167"/>
      <c r="BK280" s="7168"/>
      <c r="BL280" s="7169"/>
      <c r="BM280" s="7170"/>
      <c r="BN280" s="7171"/>
      <c r="BO280" s="7172"/>
      <c r="BP280" s="7173"/>
      <c r="BQ280" s="7174"/>
      <c r="BR280" s="7175"/>
      <c r="BS280" s="7176"/>
      <c r="BT280" s="7177"/>
      <c r="BU280" s="7178"/>
      <c r="BV280" s="7179"/>
      <c r="BW280" s="7180"/>
      <c r="BX280" s="7181"/>
      <c r="BY280" s="7182"/>
      <c r="BZ280" s="7183"/>
      <c r="CA280" s="7184"/>
      <c r="CB280" s="7185"/>
      <c r="CC280" s="7186"/>
      <c r="CD280" s="7187"/>
      <c r="CE280" s="7188"/>
      <c r="CF280" s="7189"/>
      <c r="CG280" s="7190"/>
      <c r="CH280" s="7191"/>
      <c r="CI280" s="7192"/>
      <c r="CJ280" s="7193"/>
      <c r="CK280" s="7194"/>
      <c r="CL280" s="7195"/>
      <c r="CM280" s="7196"/>
      <c r="CN280" s="7197"/>
      <c r="CO280" s="7198"/>
      <c r="CP280" s="7199"/>
      <c r="CQ280" s="7200"/>
      <c r="CR280" s="3581"/>
      <c r="CS280" s="3728"/>
      <c r="CT280" s="3728" t="str">
        <f>IF(T280="","",T280)</f>
        <v>Добавить группу потребителей</v>
      </c>
      <c r="CU280" s="3728"/>
      <c r="CV280" s="3728"/>
    </row>
    <row s="7201" customFormat="1" customHeight="1" ht="14.25">
      <c r="A281" s="3716"/>
      <c r="B281" s="3716"/>
      <c r="C281" s="3716"/>
      <c r="D281" s="3716"/>
      <c r="E281" s="3717"/>
      <c r="F281" s="3717"/>
      <c r="G281" s="3717"/>
      <c r="H281" s="3718">
        <v>1</v>
      </c>
      <c r="I281" s="3716"/>
      <c r="J281" s="3716"/>
      <c r="K281" s="3716"/>
      <c r="L281" s="3719"/>
      <c r="M281" s="3720"/>
      <c r="N281" s="3720"/>
      <c r="O281" s="3573"/>
      <c r="P281" s="3905"/>
      <c r="Q281" s="3906"/>
      <c r="R281" s="3907"/>
      <c r="S281" s="3908"/>
      <c r="T281" s="3909"/>
      <c r="U281" s="3569"/>
      <c r="V281" s="3569"/>
      <c r="W281" s="3569"/>
      <c r="X281" s="3569"/>
      <c r="Y281" s="3569"/>
      <c r="Z281" s="3569"/>
      <c r="AA281" s="3569"/>
      <c r="AB281" s="3569"/>
      <c r="AC281" s="3569"/>
      <c r="AD281" s="3569"/>
      <c r="AE281" s="3569"/>
      <c r="AF281" s="3569"/>
      <c r="AG281" s="3569"/>
      <c r="AH281" s="3569"/>
      <c r="AI281" s="3569"/>
      <c r="AJ281" s="3569"/>
      <c r="AK281" s="3569"/>
      <c r="AL281" s="3569"/>
      <c r="AM281" s="3569"/>
      <c r="AN281" s="3569"/>
      <c r="AO281" s="3569"/>
      <c r="AP281" s="3569"/>
      <c r="AQ281" s="3569"/>
      <c r="AR281" s="3569"/>
      <c r="AS281" s="3569"/>
      <c r="AT281" s="3569"/>
      <c r="AU281" s="3569"/>
      <c r="AV281" s="3569"/>
      <c r="AW281" s="3569"/>
      <c r="AX281" s="3569"/>
      <c r="AY281" s="3569"/>
      <c r="AZ281" s="3569"/>
      <c r="BA281" s="3569"/>
      <c r="BB281" s="3569"/>
      <c r="BC281" s="3569"/>
      <c r="BD281" s="3569"/>
      <c r="BE281" s="3569"/>
      <c r="BF281" s="3569"/>
      <c r="BG281" s="3569"/>
      <c r="BH281" s="3569"/>
      <c r="BI281" s="3569"/>
      <c r="BJ281" s="3569"/>
      <c r="BK281" s="3569"/>
      <c r="BL281" s="3569"/>
      <c r="BM281" s="3569"/>
      <c r="BN281" s="3569"/>
      <c r="BO281" s="3569"/>
      <c r="BP281" s="3569"/>
      <c r="BQ281" s="3569"/>
      <c r="BR281" s="3569"/>
      <c r="BS281" s="3569"/>
      <c r="BT281" s="3569"/>
      <c r="BU281" s="3569"/>
      <c r="BV281" s="3569"/>
      <c r="BW281" s="3569"/>
      <c r="BX281" s="3569"/>
      <c r="BY281" s="3569"/>
      <c r="BZ281" s="3569"/>
      <c r="CA281" s="3569"/>
      <c r="CB281" s="3569"/>
      <c r="CC281" s="3569"/>
      <c r="CD281" s="3569"/>
      <c r="CE281" s="3569"/>
      <c r="CF281" s="3569"/>
      <c r="CG281" s="3569"/>
      <c r="CH281" s="3569"/>
      <c r="CI281" s="3569"/>
      <c r="CJ281" s="3569"/>
      <c r="CK281" s="3569"/>
      <c r="CL281" s="3569"/>
      <c r="CM281" s="3569"/>
      <c r="CN281" s="3569"/>
      <c r="CO281" s="3569"/>
      <c r="CP281" s="3569"/>
      <c r="CQ281" s="3910"/>
      <c r="CR281" s="3581"/>
      <c r="CS281" s="3728"/>
      <c r="CT281" s="3728" t="str">
        <f>IF(T281="","",T281)</f>
        <v/>
      </c>
      <c r="CU281" s="3728"/>
      <c r="CV281" s="3728"/>
    </row>
    <row s="7202" customFormat="1" customHeight="1" ht="0.75">
      <c r="A282" s="4239"/>
      <c r="B282" s="4239"/>
      <c r="C282" s="4239"/>
      <c r="D282" s="4239"/>
      <c r="E282" s="3717"/>
      <c r="F282" s="3717" t="s">
        <v>159</v>
      </c>
      <c r="G282" s="3718"/>
      <c r="H282" s="4239"/>
      <c r="I282" s="4239"/>
      <c r="J282" s="4239"/>
      <c r="K282" s="4239"/>
      <c r="L282" s="4240"/>
      <c r="M282" s="4241"/>
      <c r="N282" s="4241"/>
      <c r="O282" s="3581"/>
      <c r="P282" s="4242"/>
      <c r="Q282" s="4243"/>
      <c r="R282" s="4242"/>
      <c r="S282" s="4244"/>
      <c r="T282" s="4245" t="s">
        <v>254</v>
      </c>
      <c r="U282" s="3571"/>
      <c r="V282" s="3571"/>
      <c r="W282" s="3571"/>
      <c r="X282" s="3571"/>
      <c r="Y282" s="3571"/>
      <c r="Z282" s="3571"/>
      <c r="AA282" s="3571"/>
      <c r="AB282" s="3571"/>
      <c r="AC282" s="3571"/>
      <c r="AD282" s="3571"/>
      <c r="AE282" s="3571"/>
      <c r="AF282" s="3571"/>
      <c r="AG282" s="3571"/>
      <c r="AH282" s="3571"/>
      <c r="AI282" s="3571"/>
      <c r="AJ282" s="3571"/>
      <c r="AK282" s="3571"/>
      <c r="AL282" s="3571"/>
      <c r="AM282" s="3571"/>
      <c r="AN282" s="3571"/>
      <c r="AO282" s="3571"/>
      <c r="AP282" s="3571"/>
      <c r="AQ282" s="3571"/>
      <c r="AR282" s="3571"/>
      <c r="AS282" s="3571"/>
      <c r="AT282" s="3571"/>
      <c r="AU282" s="3571"/>
      <c r="AV282" s="3571"/>
      <c r="AW282" s="3571"/>
      <c r="AX282" s="3571"/>
      <c r="AY282" s="3571"/>
      <c r="AZ282" s="3571"/>
      <c r="BA282" s="3571"/>
      <c r="BB282" s="3571"/>
      <c r="BC282" s="3571"/>
      <c r="BD282" s="3571"/>
      <c r="BE282" s="3571"/>
      <c r="BF282" s="3571"/>
      <c r="BG282" s="3571"/>
      <c r="BH282" s="3571"/>
      <c r="BI282" s="3571"/>
      <c r="BJ282" s="3571"/>
      <c r="BK282" s="3571"/>
      <c r="BL282" s="3571"/>
      <c r="BM282" s="3571"/>
      <c r="BN282" s="3571"/>
      <c r="BO282" s="3571"/>
      <c r="BP282" s="3571"/>
      <c r="BQ282" s="3571"/>
      <c r="BR282" s="3571"/>
      <c r="BS282" s="3571"/>
      <c r="BT282" s="3571"/>
      <c r="BU282" s="3571"/>
      <c r="BV282" s="3571"/>
      <c r="BW282" s="3571"/>
      <c r="BX282" s="3571"/>
      <c r="BY282" s="3571"/>
      <c r="BZ282" s="3571"/>
      <c r="CA282" s="3571"/>
      <c r="CB282" s="3571"/>
      <c r="CC282" s="3571"/>
      <c r="CD282" s="3571"/>
      <c r="CE282" s="3571"/>
      <c r="CF282" s="3571"/>
      <c r="CG282" s="3571"/>
      <c r="CH282" s="3571"/>
      <c r="CI282" s="3571"/>
      <c r="CJ282" s="3571"/>
      <c r="CK282" s="3571"/>
      <c r="CL282" s="3571"/>
      <c r="CM282" s="3571"/>
      <c r="CN282" s="3571"/>
      <c r="CO282" s="3571"/>
      <c r="CP282" s="3571"/>
      <c r="CQ282" s="3571"/>
      <c r="CR282" s="3581"/>
      <c r="CS282" s="3728"/>
      <c r="CT282" s="3728" t="str">
        <f>IF(T282="","",T282)</f>
        <v>Добавить источник для дифференциации</v>
      </c>
      <c r="CU282" s="3728"/>
      <c r="CV282" s="3728"/>
    </row>
    <row s="7203" customFormat="1" customHeight="1" ht="0.75">
      <c r="A283" s="4239"/>
      <c r="B283" s="4239"/>
      <c r="C283" s="4239"/>
      <c r="D283" s="4239"/>
      <c r="E283" s="3717"/>
      <c r="F283" s="3718" t="s">
        <v>159</v>
      </c>
      <c r="G283" s="4239"/>
      <c r="H283" s="4239"/>
      <c r="I283" s="4239"/>
      <c r="J283" s="4239"/>
      <c r="K283" s="4239"/>
      <c r="L283" s="4240"/>
      <c r="M283" s="4247"/>
      <c r="N283" s="4247"/>
      <c r="O283" s="3581"/>
      <c r="P283" s="4242"/>
      <c r="Q283" s="4243"/>
      <c r="R283" s="4242"/>
      <c r="S283" s="4248"/>
      <c r="T283" s="4249" t="s">
        <v>255</v>
      </c>
      <c r="U283" s="3572"/>
      <c r="V283" s="3572"/>
      <c r="W283" s="3572"/>
      <c r="X283" s="3572"/>
      <c r="Y283" s="3572"/>
      <c r="Z283" s="3572"/>
      <c r="AA283" s="3572"/>
      <c r="AB283" s="3572"/>
      <c r="AC283" s="3572"/>
      <c r="AD283" s="3572"/>
      <c r="AE283" s="3572"/>
      <c r="AF283" s="3572"/>
      <c r="AG283" s="3572"/>
      <c r="AH283" s="3572"/>
      <c r="AI283" s="3572"/>
      <c r="AJ283" s="3572"/>
      <c r="AK283" s="3572"/>
      <c r="AL283" s="3572"/>
      <c r="AM283" s="3572"/>
      <c r="AN283" s="3572"/>
      <c r="AO283" s="3572"/>
      <c r="AP283" s="3572"/>
      <c r="AQ283" s="3572"/>
      <c r="AR283" s="3572"/>
      <c r="AS283" s="3572"/>
      <c r="AT283" s="3572"/>
      <c r="AU283" s="3572"/>
      <c r="AV283" s="3572"/>
      <c r="AW283" s="3572"/>
      <c r="AX283" s="3572"/>
      <c r="AY283" s="3572"/>
      <c r="AZ283" s="3572"/>
      <c r="BA283" s="3572"/>
      <c r="BB283" s="3572"/>
      <c r="BC283" s="3572"/>
      <c r="BD283" s="3572"/>
      <c r="BE283" s="3572"/>
      <c r="BF283" s="3572"/>
      <c r="BG283" s="3572"/>
      <c r="BH283" s="3572"/>
      <c r="BI283" s="3572"/>
      <c r="BJ283" s="3572"/>
      <c r="BK283" s="3572"/>
      <c r="BL283" s="3572"/>
      <c r="BM283" s="3572"/>
      <c r="BN283" s="3572"/>
      <c r="BO283" s="3572"/>
      <c r="BP283" s="3572"/>
      <c r="BQ283" s="3572"/>
      <c r="BR283" s="3572"/>
      <c r="BS283" s="3572"/>
      <c r="BT283" s="3572"/>
      <c r="BU283" s="3572"/>
      <c r="BV283" s="3572"/>
      <c r="BW283" s="3572"/>
      <c r="BX283" s="3572"/>
      <c r="BY283" s="3572"/>
      <c r="BZ283" s="3572"/>
      <c r="CA283" s="3572"/>
      <c r="CB283" s="3572"/>
      <c r="CC283" s="3572"/>
      <c r="CD283" s="3572"/>
      <c r="CE283" s="3572"/>
      <c r="CF283" s="3572"/>
      <c r="CG283" s="3572"/>
      <c r="CH283" s="3572"/>
      <c r="CI283" s="3572"/>
      <c r="CJ283" s="3572"/>
      <c r="CK283" s="3572"/>
      <c r="CL283" s="3572"/>
      <c r="CM283" s="3572"/>
      <c r="CN283" s="3572"/>
      <c r="CO283" s="3572"/>
      <c r="CP283" s="3572"/>
      <c r="CQ283" s="3572"/>
      <c r="CR283" s="3581"/>
      <c r="CS283" s="3728"/>
      <c r="CT283" s="3728" t="str">
        <f>IF(T283="","",T283)</f>
        <v>Добавить централизованную систему для дифференциации</v>
      </c>
      <c r="CU283" s="3728"/>
      <c r="CV283" s="3728"/>
    </row>
    <row s="7204" customFormat="1" customHeight="1" ht="21">
      <c r="A284" s="3716"/>
      <c r="B284" s="3716" t="s">
        <v>316</v>
      </c>
      <c r="C284" s="3716"/>
      <c r="D284" s="3716"/>
      <c r="E284" s="3717"/>
      <c r="F284" s="3718" t="s">
        <v>170</v>
      </c>
      <c r="G284" s="3716"/>
      <c r="H284" s="3716"/>
      <c r="I284" s="3716"/>
      <c r="J284" s="3716"/>
      <c r="K284" s="3716"/>
      <c r="L284" s="3719"/>
      <c r="M284" s="3720"/>
      <c r="N284" s="3720"/>
      <c r="O284" s="3720"/>
      <c r="P284" s="4073"/>
      <c r="Q284" s="3722"/>
      <c r="R284" s="3723"/>
      <c r="S284" s="3724" t="str">
        <f>INDEX(PT_DIFFERENTIATION_NUM_TER,MATCH(B284,PT_DIFFERENTIATION_TER_ID,0))</f>
        <v>1.17</v>
      </c>
      <c r="T284" s="4074" t="s">
        <v>612</v>
      </c>
      <c r="U284" s="3726"/>
      <c r="V284" s="3432"/>
      <c r="W284" s="3433"/>
      <c r="X284" s="3433"/>
      <c r="Y284" s="3433"/>
      <c r="Z284" s="3433"/>
      <c r="AA284" s="3433"/>
      <c r="AB284" s="3433"/>
      <c r="AC284" s="3434"/>
      <c r="AD284" s="3432" t="str">
        <f>INDEX(PT_DIFFERENTIATION_TER,MATCH(B284,PT_DIFFERENTIATION_TER_ID,0))</f>
        <v>Территория 17</v>
      </c>
      <c r="AE284" s="3433"/>
      <c r="AF284" s="3433"/>
      <c r="AG284" s="3433"/>
      <c r="AH284" s="3433"/>
      <c r="AI284" s="3433"/>
      <c r="AJ284" s="3433"/>
      <c r="AK284" s="3433"/>
      <c r="AL284" s="3432"/>
      <c r="AM284" s="3433"/>
      <c r="AN284" s="3433"/>
      <c r="AO284" s="3433"/>
      <c r="AP284" s="3433"/>
      <c r="AQ284" s="3433"/>
      <c r="AR284" s="3433"/>
      <c r="AS284" s="3434"/>
      <c r="AT284" s="3432"/>
      <c r="AU284" s="3433"/>
      <c r="AV284" s="3433"/>
      <c r="AW284" s="3433"/>
      <c r="AX284" s="3433"/>
      <c r="AY284" s="3433"/>
      <c r="AZ284" s="3433"/>
      <c r="BA284" s="3434"/>
      <c r="BB284" s="3432"/>
      <c r="BC284" s="3433"/>
      <c r="BD284" s="3433"/>
      <c r="BE284" s="3433"/>
      <c r="BF284" s="3433"/>
      <c r="BG284" s="3433"/>
      <c r="BH284" s="3433"/>
      <c r="BI284" s="3434"/>
      <c r="BJ284" s="3432"/>
      <c r="BK284" s="3433"/>
      <c r="BL284" s="3433"/>
      <c r="BM284" s="3433"/>
      <c r="BN284" s="3433"/>
      <c r="BO284" s="3433"/>
      <c r="BP284" s="3433"/>
      <c r="BQ284" s="3434"/>
      <c r="BR284" s="3432"/>
      <c r="BS284" s="3433"/>
      <c r="BT284" s="3433"/>
      <c r="BU284" s="3433"/>
      <c r="BV284" s="3433"/>
      <c r="BW284" s="3433"/>
      <c r="BX284" s="3433"/>
      <c r="BY284" s="3434"/>
      <c r="BZ284" s="3432"/>
      <c r="CA284" s="3433"/>
      <c r="CB284" s="3433"/>
      <c r="CC284" s="3433"/>
      <c r="CD284" s="3433"/>
      <c r="CE284" s="3433"/>
      <c r="CF284" s="3433"/>
      <c r="CG284" s="3434"/>
      <c r="CH284" s="3432"/>
      <c r="CI284" s="3433"/>
      <c r="CJ284" s="3433"/>
      <c r="CK284" s="3433"/>
      <c r="CL284" s="3433"/>
      <c r="CM284" s="3433"/>
      <c r="CN284" s="3433"/>
      <c r="CO284" s="3434"/>
      <c r="CP284" s="3434"/>
      <c r="CQ284" s="3727" t="s">
        <v>613</v>
      </c>
      <c r="CR284" s="3581"/>
      <c r="CS284" s="3728"/>
      <c r="CT284" s="3728" t="str">
        <f>IF(T284="","",T284)</f>
        <v>Территория действия тарифа</v>
      </c>
      <c r="CU284" s="3728"/>
      <c r="CV284" s="3728"/>
    </row>
    <row s="7205" customFormat="1" customHeight="1" ht="23.25">
      <c r="A285" s="3716"/>
      <c r="B285" s="3716"/>
      <c r="C285" s="3716" t="s">
        <v>317</v>
      </c>
      <c r="D285" s="3716"/>
      <c r="E285" s="3717"/>
      <c r="F285" s="3717" t="s">
        <v>166</v>
      </c>
      <c r="G285" s="3718">
        <v>1</v>
      </c>
      <c r="H285" s="3716"/>
      <c r="I285" s="3716"/>
      <c r="J285" s="3716"/>
      <c r="K285" s="3716"/>
      <c r="L285" s="3719"/>
      <c r="M285" s="3720"/>
      <c r="N285" s="3720"/>
      <c r="O285" s="3720"/>
      <c r="P285" s="3721"/>
      <c r="Q285" s="3722"/>
      <c r="R285" s="3723"/>
      <c r="S285" s="3724" t="str">
        <f>INDEX(PT_DIFFERENTIATION_NUM_CS,MATCH(C285,PT_DIFFERENTIATION_CS_ID,0))</f>
        <v>1.17.1</v>
      </c>
      <c r="T285" s="4076" t="s">
        <v>614</v>
      </c>
      <c r="U285" s="3726"/>
      <c r="V285" s="3432"/>
      <c r="W285" s="3433"/>
      <c r="X285" s="3433"/>
      <c r="Y285" s="3433"/>
      <c r="Z285" s="3433"/>
      <c r="AA285" s="3433"/>
      <c r="AB285" s="3433"/>
      <c r="AC285" s="3434"/>
      <c r="AD285" s="3432" t="str">
        <f>INDEX(PT_DIFFERENTIATION_CS,MATCH(C285,PT_DIFFERENTIATION_CS_ID,0))</f>
        <v>без дифференциации</v>
      </c>
      <c r="AE285" s="3433"/>
      <c r="AF285" s="3433"/>
      <c r="AG285" s="3433"/>
      <c r="AH285" s="3433"/>
      <c r="AI285" s="3433"/>
      <c r="AJ285" s="3433"/>
      <c r="AK285" s="3433"/>
      <c r="AL285" s="3432"/>
      <c r="AM285" s="3433"/>
      <c r="AN285" s="3433"/>
      <c r="AO285" s="3433"/>
      <c r="AP285" s="3433"/>
      <c r="AQ285" s="3433"/>
      <c r="AR285" s="3433"/>
      <c r="AS285" s="3434"/>
      <c r="AT285" s="3432"/>
      <c r="AU285" s="3433"/>
      <c r="AV285" s="3433"/>
      <c r="AW285" s="3433"/>
      <c r="AX285" s="3433"/>
      <c r="AY285" s="3433"/>
      <c r="AZ285" s="3433"/>
      <c r="BA285" s="3434"/>
      <c r="BB285" s="3432"/>
      <c r="BC285" s="3433"/>
      <c r="BD285" s="3433"/>
      <c r="BE285" s="3433"/>
      <c r="BF285" s="3433"/>
      <c r="BG285" s="3433"/>
      <c r="BH285" s="3433"/>
      <c r="BI285" s="3434"/>
      <c r="BJ285" s="3432"/>
      <c r="BK285" s="3433"/>
      <c r="BL285" s="3433"/>
      <c r="BM285" s="3433"/>
      <c r="BN285" s="3433"/>
      <c r="BO285" s="3433"/>
      <c r="BP285" s="3433"/>
      <c r="BQ285" s="3434"/>
      <c r="BR285" s="3432"/>
      <c r="BS285" s="3433"/>
      <c r="BT285" s="3433"/>
      <c r="BU285" s="3433"/>
      <c r="BV285" s="3433"/>
      <c r="BW285" s="3433"/>
      <c r="BX285" s="3433"/>
      <c r="BY285" s="3434"/>
      <c r="BZ285" s="3432"/>
      <c r="CA285" s="3433"/>
      <c r="CB285" s="3433"/>
      <c r="CC285" s="3433"/>
      <c r="CD285" s="3433"/>
      <c r="CE285" s="3433"/>
      <c r="CF285" s="3433"/>
      <c r="CG285" s="3434"/>
      <c r="CH285" s="3432"/>
      <c r="CI285" s="3433"/>
      <c r="CJ285" s="3433"/>
      <c r="CK285" s="3433"/>
      <c r="CL285" s="3433"/>
      <c r="CM285" s="3433"/>
      <c r="CN285" s="3433"/>
      <c r="CO285" s="3434"/>
      <c r="CP285" s="3434"/>
      <c r="CQ285" s="3727" t="s">
        <v>615</v>
      </c>
      <c r="CR285" s="3581"/>
      <c r="CS285" s="3728"/>
      <c r="CT285" s="3728" t="str">
        <f>IF(T285="","",T285)</f>
        <v>Наименование системы теплоснабжения </v>
      </c>
      <c r="CU285" s="3728"/>
      <c r="CV285" s="3728"/>
    </row>
    <row s="7206" customFormat="1" customHeight="1" ht="21">
      <c r="A286" s="3716"/>
      <c r="B286" s="3716"/>
      <c r="C286" s="3716"/>
      <c r="D286" s="3716" t="s">
        <v>318</v>
      </c>
      <c r="E286" s="3717"/>
      <c r="F286" s="3717" t="s">
        <v>166</v>
      </c>
      <c r="G286" s="3717"/>
      <c r="H286" s="3718">
        <v>1</v>
      </c>
      <c r="I286" s="3716"/>
      <c r="J286" s="3716"/>
      <c r="K286" s="3716"/>
      <c r="L286" s="3719"/>
      <c r="M286" s="3720"/>
      <c r="N286" s="3720"/>
      <c r="O286" s="3720"/>
      <c r="P286" s="3721"/>
      <c r="Q286" s="3722"/>
      <c r="R286" s="3723"/>
      <c r="S286" s="3724" t="str">
        <f>INDEX(PT_DIFFERENTIATION_NUM_IST_TE,MATCH(D286,PT_DIFFERENTIATION_IST_TE_ID,0))</f>
        <v>1.17.1.1</v>
      </c>
      <c r="T286" s="3725" t="s">
        <v>616</v>
      </c>
      <c r="U286" s="3726"/>
      <c r="V286" s="3432"/>
      <c r="W286" s="3433"/>
      <c r="X286" s="3433"/>
      <c r="Y286" s="3433"/>
      <c r="Z286" s="3433"/>
      <c r="AA286" s="3433"/>
      <c r="AB286" s="3433"/>
      <c r="AC286" s="3434"/>
      <c r="AD286" s="3432" t="str">
        <f>INDEX(PT_DIFFERENTIATION_IST_TE,MATCH(D286,PT_DIFFERENTIATION_IST_TE_ID,0))</f>
        <v>без дифференциации</v>
      </c>
      <c r="AE286" s="3433"/>
      <c r="AF286" s="3433"/>
      <c r="AG286" s="3433"/>
      <c r="AH286" s="3433"/>
      <c r="AI286" s="3433"/>
      <c r="AJ286" s="3433"/>
      <c r="AK286" s="3433"/>
      <c r="AL286" s="3432"/>
      <c r="AM286" s="3433"/>
      <c r="AN286" s="3433"/>
      <c r="AO286" s="3433"/>
      <c r="AP286" s="3433"/>
      <c r="AQ286" s="3433"/>
      <c r="AR286" s="3433"/>
      <c r="AS286" s="3434"/>
      <c r="AT286" s="3432"/>
      <c r="AU286" s="3433"/>
      <c r="AV286" s="3433"/>
      <c r="AW286" s="3433"/>
      <c r="AX286" s="3433"/>
      <c r="AY286" s="3433"/>
      <c r="AZ286" s="3433"/>
      <c r="BA286" s="3434"/>
      <c r="BB286" s="3432"/>
      <c r="BC286" s="3433"/>
      <c r="BD286" s="3433"/>
      <c r="BE286" s="3433"/>
      <c r="BF286" s="3433"/>
      <c r="BG286" s="3433"/>
      <c r="BH286" s="3433"/>
      <c r="BI286" s="3434"/>
      <c r="BJ286" s="3432"/>
      <c r="BK286" s="3433"/>
      <c r="BL286" s="3433"/>
      <c r="BM286" s="3433"/>
      <c r="BN286" s="3433"/>
      <c r="BO286" s="3433"/>
      <c r="BP286" s="3433"/>
      <c r="BQ286" s="3434"/>
      <c r="BR286" s="3432"/>
      <c r="BS286" s="3433"/>
      <c r="BT286" s="3433"/>
      <c r="BU286" s="3433"/>
      <c r="BV286" s="3433"/>
      <c r="BW286" s="3433"/>
      <c r="BX286" s="3433"/>
      <c r="BY286" s="3434"/>
      <c r="BZ286" s="3432"/>
      <c r="CA286" s="3433"/>
      <c r="CB286" s="3433"/>
      <c r="CC286" s="3433"/>
      <c r="CD286" s="3433"/>
      <c r="CE286" s="3433"/>
      <c r="CF286" s="3433"/>
      <c r="CG286" s="3434"/>
      <c r="CH286" s="3432"/>
      <c r="CI286" s="3433"/>
      <c r="CJ286" s="3433"/>
      <c r="CK286" s="3433"/>
      <c r="CL286" s="3433"/>
      <c r="CM286" s="3433"/>
      <c r="CN286" s="3433"/>
      <c r="CO286" s="3434"/>
      <c r="CP286" s="3434"/>
      <c r="CQ286" s="3727" t="s">
        <v>617</v>
      </c>
      <c r="CR286" s="3581"/>
      <c r="CS286" s="3728"/>
      <c r="CT286" s="3728" t="str">
        <f>IF(T286="","",T286)</f>
        <v>Источник тепловой энергии  </v>
      </c>
      <c r="CU286" s="3728"/>
      <c r="CV286" s="3728"/>
    </row>
    <row s="7207" customFormat="1" customHeight="1" ht="14.25">
      <c r="A287" s="3716"/>
      <c r="B287" s="3716"/>
      <c r="C287" s="3716"/>
      <c r="D287" s="3716"/>
      <c r="E287" s="3717"/>
      <c r="F287" s="3717" t="s">
        <v>166</v>
      </c>
      <c r="G287" s="3717"/>
      <c r="H287" s="3717"/>
      <c r="I287" s="3730" t="str">
        <f>S286&amp;".1"</f>
        <v>1.17.1.1.1</v>
      </c>
      <c r="J287" s="3716"/>
      <c r="K287" s="3716"/>
      <c r="L287" s="3719" t="s">
        <v>618</v>
      </c>
      <c r="M287" s="3573"/>
      <c r="N287" s="3731"/>
      <c r="O287" s="3731"/>
      <c r="P287" s="3732">
        <v>1</v>
      </c>
      <c r="Q287" s="3732"/>
      <c r="R287" s="3733"/>
      <c r="S287" s="3734"/>
      <c r="T287" s="3735"/>
      <c r="U287" s="3736"/>
      <c r="V287" s="3441"/>
      <c r="W287" s="3442"/>
      <c r="X287" s="3442"/>
      <c r="Y287" s="3442"/>
      <c r="Z287" s="3442"/>
      <c r="AA287" s="3442"/>
      <c r="AB287" s="3442"/>
      <c r="AC287" s="3443"/>
      <c r="AD287" s="3441"/>
      <c r="AE287" s="3442"/>
      <c r="AF287" s="3442"/>
      <c r="AG287" s="3442"/>
      <c r="AH287" s="3442"/>
      <c r="AI287" s="3442"/>
      <c r="AJ287" s="3442"/>
      <c r="AK287" s="3442"/>
      <c r="AL287" s="3441"/>
      <c r="AM287" s="3442"/>
      <c r="AN287" s="3442"/>
      <c r="AO287" s="3442"/>
      <c r="AP287" s="3442"/>
      <c r="AQ287" s="3442"/>
      <c r="AR287" s="3442"/>
      <c r="AS287" s="3443"/>
      <c r="AT287" s="3441"/>
      <c r="AU287" s="3442"/>
      <c r="AV287" s="3442"/>
      <c r="AW287" s="3442"/>
      <c r="AX287" s="3442"/>
      <c r="AY287" s="3442"/>
      <c r="AZ287" s="3442"/>
      <c r="BA287" s="3443"/>
      <c r="BB287" s="3441"/>
      <c r="BC287" s="3442"/>
      <c r="BD287" s="3442"/>
      <c r="BE287" s="3442"/>
      <c r="BF287" s="3442"/>
      <c r="BG287" s="3442"/>
      <c r="BH287" s="3442"/>
      <c r="BI287" s="3443"/>
      <c r="BJ287" s="3441"/>
      <c r="BK287" s="3442"/>
      <c r="BL287" s="3442"/>
      <c r="BM287" s="3442"/>
      <c r="BN287" s="3442"/>
      <c r="BO287" s="3442"/>
      <c r="BP287" s="3442"/>
      <c r="BQ287" s="3443"/>
      <c r="BR287" s="3441"/>
      <c r="BS287" s="3442"/>
      <c r="BT287" s="3442"/>
      <c r="BU287" s="3442"/>
      <c r="BV287" s="3442"/>
      <c r="BW287" s="3442"/>
      <c r="BX287" s="3442"/>
      <c r="BY287" s="3443"/>
      <c r="BZ287" s="3441"/>
      <c r="CA287" s="3442"/>
      <c r="CB287" s="3442"/>
      <c r="CC287" s="3442"/>
      <c r="CD287" s="3442"/>
      <c r="CE287" s="3442"/>
      <c r="CF287" s="3442"/>
      <c r="CG287" s="3443"/>
      <c r="CH287" s="3441"/>
      <c r="CI287" s="3442"/>
      <c r="CJ287" s="3442"/>
      <c r="CK287" s="3442"/>
      <c r="CL287" s="3442"/>
      <c r="CM287" s="3442"/>
      <c r="CN287" s="3442"/>
      <c r="CO287" s="3443"/>
      <c r="CP287" s="3443"/>
      <c r="CQ287" s="3737"/>
      <c r="CR287" s="3581"/>
      <c r="CS287" s="3728"/>
      <c r="CT287" s="3728" t="str">
        <f>IF(T287="","",T287)</f>
        <v/>
      </c>
      <c r="CU287" s="3728"/>
      <c r="CV287" s="3728"/>
    </row>
    <row s="7208" customFormat="1" customHeight="1" ht="21">
      <c r="A288" s="3716"/>
      <c r="B288" s="3716"/>
      <c r="C288" s="3716"/>
      <c r="D288" s="3716"/>
      <c r="E288" s="3717"/>
      <c r="F288" s="3717" t="s">
        <v>166</v>
      </c>
      <c r="G288" s="3717"/>
      <c r="H288" s="3717"/>
      <c r="I288" s="3739"/>
      <c r="J288" s="3730" t="str">
        <f>I287&amp;".1"</f>
        <v>1.17.1.1.1.1</v>
      </c>
      <c r="K288" s="3716"/>
      <c r="L288" s="3719" t="s">
        <v>621</v>
      </c>
      <c r="M288" s="3573"/>
      <c r="N288" s="3573"/>
      <c r="O288" s="3731"/>
      <c r="P288" s="3732"/>
      <c r="Q288" s="3732">
        <v>1</v>
      </c>
      <c r="R288" s="3740"/>
      <c r="S288" s="3724" t="str">
        <f>$J288</f>
        <v>1.17.1.1.1.1</v>
      </c>
      <c r="T288" s="3741" t="s">
        <v>622</v>
      </c>
      <c r="U288" s="3726"/>
      <c r="V288" s="3445"/>
      <c r="W288" s="3446"/>
      <c r="X288" s="3446"/>
      <c r="Y288" s="3446"/>
      <c r="Z288" s="3446"/>
      <c r="AA288" s="3446"/>
      <c r="AB288" s="3446"/>
      <c r="AC288" s="3447"/>
      <c r="AD288" s="3445" t="s">
        <v>662</v>
      </c>
      <c r="AE288" s="3446"/>
      <c r="AF288" s="3446"/>
      <c r="AG288" s="3446"/>
      <c r="AH288" s="3446"/>
      <c r="AI288" s="3446"/>
      <c r="AJ288" s="3446"/>
      <c r="AK288" s="3446"/>
      <c r="AL288" s="3445"/>
      <c r="AM288" s="3446"/>
      <c r="AN288" s="3446"/>
      <c r="AO288" s="3446"/>
      <c r="AP288" s="3446"/>
      <c r="AQ288" s="3446"/>
      <c r="AR288" s="3446"/>
      <c r="AS288" s="3447"/>
      <c r="AT288" s="3445"/>
      <c r="AU288" s="3446"/>
      <c r="AV288" s="3446"/>
      <c r="AW288" s="3446"/>
      <c r="AX288" s="3446"/>
      <c r="AY288" s="3446"/>
      <c r="AZ288" s="3446"/>
      <c r="BA288" s="3447"/>
      <c r="BB288" s="3445"/>
      <c r="BC288" s="3446"/>
      <c r="BD288" s="3446"/>
      <c r="BE288" s="3446"/>
      <c r="BF288" s="3446"/>
      <c r="BG288" s="3446"/>
      <c r="BH288" s="3446"/>
      <c r="BI288" s="3447"/>
      <c r="BJ288" s="3445"/>
      <c r="BK288" s="3446"/>
      <c r="BL288" s="3446"/>
      <c r="BM288" s="3446"/>
      <c r="BN288" s="3446"/>
      <c r="BO288" s="3446"/>
      <c r="BP288" s="3446"/>
      <c r="BQ288" s="3447"/>
      <c r="BR288" s="3445"/>
      <c r="BS288" s="3446"/>
      <c r="BT288" s="3446"/>
      <c r="BU288" s="3446"/>
      <c r="BV288" s="3446"/>
      <c r="BW288" s="3446"/>
      <c r="BX288" s="3446"/>
      <c r="BY288" s="3447"/>
      <c r="BZ288" s="3445"/>
      <c r="CA288" s="3446"/>
      <c r="CB288" s="3446"/>
      <c r="CC288" s="3446"/>
      <c r="CD288" s="3446"/>
      <c r="CE288" s="3446"/>
      <c r="CF288" s="3446"/>
      <c r="CG288" s="3447"/>
      <c r="CH288" s="3445"/>
      <c r="CI288" s="3446"/>
      <c r="CJ288" s="3446"/>
      <c r="CK288" s="3446"/>
      <c r="CL288" s="3446"/>
      <c r="CM288" s="3446"/>
      <c r="CN288" s="3446"/>
      <c r="CO288" s="3447"/>
      <c r="CP288" s="3447"/>
      <c r="CQ288" s="3727" t="s">
        <v>623</v>
      </c>
      <c r="CR288" s="3581"/>
      <c r="CS288" s="3728"/>
      <c r="CT288" s="3728" t="str">
        <f>IF(T288="","",T288)</f>
        <v>Группа потребителей</v>
      </c>
      <c r="CU288" s="3728"/>
      <c r="CV288" s="3728"/>
    </row>
    <row s="7209" customFormat="1" customHeight="1" ht="21">
      <c r="A289" s="3716"/>
      <c r="B289" s="3716"/>
      <c r="C289" s="3716"/>
      <c r="D289" s="3716"/>
      <c r="E289" s="3717"/>
      <c r="F289" s="3717" t="s">
        <v>166</v>
      </c>
      <c r="G289" s="3717"/>
      <c r="H289" s="3717"/>
      <c r="I289" s="3739"/>
      <c r="J289" s="3739"/>
      <c r="K289" s="3730" t="str">
        <f>J288&amp;".1"</f>
        <v>1.17.1.1.1.1.1</v>
      </c>
      <c r="L289" s="3719" t="s">
        <v>624</v>
      </c>
      <c r="M289" s="3573"/>
      <c r="N289" s="3573"/>
      <c r="O289" s="3573"/>
      <c r="P289" s="3732"/>
      <c r="Q289" s="3732"/>
      <c r="R289" s="3740">
        <v>1</v>
      </c>
      <c r="S289" s="3724" t="str">
        <f>$K289</f>
        <v>1.17.1.1.1.1.1</v>
      </c>
      <c r="T289" s="3743" t="s">
        <v>663</v>
      </c>
      <c r="U289" s="3726"/>
      <c r="V289" s="3448"/>
      <c r="W289" s="3449"/>
      <c r="X289" s="3448"/>
      <c r="Y289" s="3450"/>
      <c r="Z289" s="3451"/>
      <c r="AA289" s="2872" t="s">
        <v>63</v>
      </c>
      <c r="AB289" s="3451"/>
      <c r="AC289" s="2872" t="s">
        <v>63</v>
      </c>
      <c r="AD289" s="3448">
        <v>91.36</v>
      </c>
      <c r="AE289" s="3449"/>
      <c r="AF289" s="3448"/>
      <c r="AG289" s="3450"/>
      <c r="AH289" s="3451">
        <v>44197</v>
      </c>
      <c r="AI289" s="2872" t="s">
        <v>63</v>
      </c>
      <c r="AJ289" s="3451">
        <v>44377</v>
      </c>
      <c r="AK289" s="2872" t="s">
        <v>63</v>
      </c>
      <c r="AL289" s="3448">
        <v>121.05</v>
      </c>
      <c r="AM289" s="3449"/>
      <c r="AN289" s="3448"/>
      <c r="AO289" s="3450"/>
      <c r="AP289" s="3451">
        <v>44378</v>
      </c>
      <c r="AQ289" s="2872" t="s">
        <v>63</v>
      </c>
      <c r="AR289" s="3451">
        <v>44561</v>
      </c>
      <c r="AS289" s="2872" t="s">
        <v>63</v>
      </c>
      <c r="AT289" s="3448">
        <v>121.05</v>
      </c>
      <c r="AU289" s="3449"/>
      <c r="AV289" s="3448"/>
      <c r="AW289" s="3450"/>
      <c r="AX289" s="3451">
        <v>44562</v>
      </c>
      <c r="AY289" s="2872" t="s">
        <v>63</v>
      </c>
      <c r="AZ289" s="3451">
        <v>44601</v>
      </c>
      <c r="BA289" s="2872" t="s">
        <v>63</v>
      </c>
      <c r="BB289" s="3448">
        <v>121.05</v>
      </c>
      <c r="BC289" s="3449"/>
      <c r="BD289" s="3448"/>
      <c r="BE289" s="3450"/>
      <c r="BF289" s="3451">
        <v>44602</v>
      </c>
      <c r="BG289" s="2872" t="s">
        <v>63</v>
      </c>
      <c r="BH289" s="3451">
        <v>44742</v>
      </c>
      <c r="BI289" s="2872" t="s">
        <v>63</v>
      </c>
      <c r="BJ289" s="3448">
        <v>160.02</v>
      </c>
      <c r="BK289" s="3449"/>
      <c r="BL289" s="3448"/>
      <c r="BM289" s="3450"/>
      <c r="BN289" s="3451">
        <v>44743</v>
      </c>
      <c r="BO289" s="2872" t="s">
        <v>63</v>
      </c>
      <c r="BP289" s="3451">
        <v>44804</v>
      </c>
      <c r="BQ289" s="2872" t="s">
        <v>63</v>
      </c>
      <c r="BR289" s="3448">
        <v>160.02</v>
      </c>
      <c r="BS289" s="3449"/>
      <c r="BT289" s="3448"/>
      <c r="BU289" s="3450"/>
      <c r="BV289" s="3451">
        <v>44805</v>
      </c>
      <c r="BW289" s="2872" t="s">
        <v>63</v>
      </c>
      <c r="BX289" s="3451">
        <v>44895</v>
      </c>
      <c r="BY289" s="2872" t="s">
        <v>63</v>
      </c>
      <c r="BZ289" s="3448">
        <v>155.94</v>
      </c>
      <c r="CA289" s="3449"/>
      <c r="CB289" s="3448"/>
      <c r="CC289" s="3450"/>
      <c r="CD289" s="3451">
        <v>44896</v>
      </c>
      <c r="CE289" s="2872" t="s">
        <v>63</v>
      </c>
      <c r="CF289" s="3451">
        <v>45174</v>
      </c>
      <c r="CG289" s="2872" t="s">
        <v>63</v>
      </c>
      <c r="CH289" s="3448">
        <v>155.94</v>
      </c>
      <c r="CI289" s="3449"/>
      <c r="CJ289" s="3448"/>
      <c r="CK289" s="3450"/>
      <c r="CL289" s="3451">
        <v>45175</v>
      </c>
      <c r="CM289" s="2872" t="s">
        <v>63</v>
      </c>
      <c r="CN289" s="3451">
        <v>45291</v>
      </c>
      <c r="CO289" s="2872" t="s">
        <v>63</v>
      </c>
      <c r="CP289" s="3449"/>
      <c r="CQ289" s="3744" t="s">
        <v>625</v>
      </c>
      <c r="CR289" s="3581">
        <f>STRCHECKDATE(V290:CP290)</f>
      </c>
      <c r="CS289" s="3728"/>
      <c r="CT289" s="3728" t="str">
        <f>IF(T289="","",T289)</f>
        <v>вода</v>
      </c>
      <c r="CU289" s="3728"/>
      <c r="CV289" s="3728"/>
    </row>
    <row s="7210" customFormat="1" customHeight="1" ht="0.75">
      <c r="A290" s="3716"/>
      <c r="B290" s="3716"/>
      <c r="C290" s="3716"/>
      <c r="D290" s="3716"/>
      <c r="E290" s="3717"/>
      <c r="F290" s="3717" t="s">
        <v>166</v>
      </c>
      <c r="G290" s="3717"/>
      <c r="H290" s="3717"/>
      <c r="I290" s="3739"/>
      <c r="J290" s="3739"/>
      <c r="K290" s="3730"/>
      <c r="L290" s="3719"/>
      <c r="M290" s="3573"/>
      <c r="N290" s="3573"/>
      <c r="O290" s="3573"/>
      <c r="P290" s="3732"/>
      <c r="Q290" s="3732"/>
      <c r="R290" s="3740"/>
      <c r="S290" s="3746"/>
      <c r="T290" s="3726"/>
      <c r="U290" s="3726"/>
      <c r="V290" s="3449"/>
      <c r="W290" s="3449"/>
      <c r="X290" s="3449"/>
      <c r="Y290" s="3452" t="str">
        <f>Z289&amp;"-"&amp;AB289</f>
        <v>-</v>
      </c>
      <c r="Z290" s="3453"/>
      <c r="AA290" s="2872"/>
      <c r="AB290" s="3453"/>
      <c r="AC290" s="2872"/>
      <c r="AD290" s="3449"/>
      <c r="AE290" s="3449"/>
      <c r="AF290" s="3449"/>
      <c r="AG290" s="3452" t="str">
        <f>AH289&amp;"-"&amp;AJ289</f>
        <v>44197-44377</v>
      </c>
      <c r="AH290" s="3453"/>
      <c r="AI290" s="2872"/>
      <c r="AJ290" s="3453"/>
      <c r="AK290" s="2872"/>
      <c r="AL290" s="3449"/>
      <c r="AM290" s="3449"/>
      <c r="AN290" s="3449"/>
      <c r="AO290" s="3452" t="str">
        <f>AP289&amp;"-"&amp;AR289</f>
        <v>44378-44561</v>
      </c>
      <c r="AP290" s="3453"/>
      <c r="AQ290" s="2872"/>
      <c r="AR290" s="3453"/>
      <c r="AS290" s="2872"/>
      <c r="AT290" s="3449"/>
      <c r="AU290" s="3449"/>
      <c r="AV290" s="3449"/>
      <c r="AW290" s="3452" t="str">
        <f>AX289&amp;"-"&amp;AZ289</f>
        <v>44562-44601</v>
      </c>
      <c r="AX290" s="3453"/>
      <c r="AY290" s="2872"/>
      <c r="AZ290" s="3453"/>
      <c r="BA290" s="2872"/>
      <c r="BB290" s="3449"/>
      <c r="BC290" s="3449"/>
      <c r="BD290" s="3449"/>
      <c r="BE290" s="3452" t="str">
        <f>BF289&amp;"-"&amp;BH289</f>
        <v>44602-44742</v>
      </c>
      <c r="BF290" s="3453"/>
      <c r="BG290" s="2872"/>
      <c r="BH290" s="3453"/>
      <c r="BI290" s="2872"/>
      <c r="BJ290" s="3449"/>
      <c r="BK290" s="3449"/>
      <c r="BL290" s="3449"/>
      <c r="BM290" s="3452" t="str">
        <f>BN289&amp;"-"&amp;BP289</f>
        <v>44743-44804</v>
      </c>
      <c r="BN290" s="3453"/>
      <c r="BO290" s="2872"/>
      <c r="BP290" s="3453"/>
      <c r="BQ290" s="2872"/>
      <c r="BR290" s="3449"/>
      <c r="BS290" s="3449"/>
      <c r="BT290" s="3449"/>
      <c r="BU290" s="3452" t="str">
        <f>BV289&amp;"-"&amp;BX289</f>
        <v>44805-44895</v>
      </c>
      <c r="BV290" s="3453"/>
      <c r="BW290" s="2872"/>
      <c r="BX290" s="3453"/>
      <c r="BY290" s="2872"/>
      <c r="BZ290" s="3449"/>
      <c r="CA290" s="3449"/>
      <c r="CB290" s="3449"/>
      <c r="CC290" s="3452" t="str">
        <f>CD289&amp;"-"&amp;CF289</f>
        <v>44896-45174</v>
      </c>
      <c r="CD290" s="3453"/>
      <c r="CE290" s="2872"/>
      <c r="CF290" s="3453"/>
      <c r="CG290" s="2872"/>
      <c r="CH290" s="3449"/>
      <c r="CI290" s="3449"/>
      <c r="CJ290" s="3449"/>
      <c r="CK290" s="3452" t="str">
        <f>CL289&amp;"-"&amp;CN289</f>
        <v>45175-45291</v>
      </c>
      <c r="CL290" s="3453"/>
      <c r="CM290" s="2872"/>
      <c r="CN290" s="3453"/>
      <c r="CO290" s="2872"/>
      <c r="CP290" s="3449"/>
      <c r="CQ290" s="3747"/>
      <c r="CR290" s="3581"/>
      <c r="CS290" s="3728"/>
      <c r="CT290" s="3728" t="str">
        <f>IF(T290="","",T290)</f>
        <v/>
      </c>
      <c r="CU290" s="3728"/>
      <c r="CV290" s="3728"/>
    </row>
    <row s="7211" customFormat="1" customHeight="1" ht="15">
      <c r="A291" s="3716"/>
      <c r="B291" s="3716"/>
      <c r="C291" s="3716"/>
      <c r="D291" s="3716"/>
      <c r="E291" s="3717"/>
      <c r="F291" s="3717" t="s">
        <v>166</v>
      </c>
      <c r="G291" s="3717"/>
      <c r="H291" s="3717"/>
      <c r="I291" s="3739"/>
      <c r="J291" s="3730"/>
      <c r="K291" s="3716"/>
      <c r="L291" s="3719"/>
      <c r="M291" s="3573"/>
      <c r="N291" s="3573"/>
      <c r="O291" s="3731"/>
      <c r="P291" s="3732"/>
      <c r="Q291" s="3732"/>
      <c r="R291" s="3733"/>
      <c r="S291" s="7212"/>
      <c r="T291" s="7213" t="s">
        <v>626</v>
      </c>
      <c r="U291" s="7214"/>
      <c r="V291" s="7215"/>
      <c r="W291" s="7216"/>
      <c r="X291" s="7217"/>
      <c r="Y291" s="7218"/>
      <c r="Z291" s="7219"/>
      <c r="AA291" s="7220"/>
      <c r="AB291" s="7221"/>
      <c r="AC291" s="7222"/>
      <c r="AD291" s="7223"/>
      <c r="AE291" s="7224"/>
      <c r="AF291" s="7225"/>
      <c r="AG291" s="7226"/>
      <c r="AH291" s="7227"/>
      <c r="AI291" s="7228"/>
      <c r="AJ291" s="7229"/>
      <c r="AK291" s="7230"/>
      <c r="AL291" s="7231"/>
      <c r="AM291" s="7232"/>
      <c r="AN291" s="7233"/>
      <c r="AO291" s="7234"/>
      <c r="AP291" s="7235"/>
      <c r="AQ291" s="7236"/>
      <c r="AR291" s="7237"/>
      <c r="AS291" s="7238"/>
      <c r="AT291" s="7239"/>
      <c r="AU291" s="7240"/>
      <c r="AV291" s="7241"/>
      <c r="AW291" s="7242"/>
      <c r="AX291" s="7243"/>
      <c r="AY291" s="7244"/>
      <c r="AZ291" s="7245"/>
      <c r="BA291" s="7246"/>
      <c r="BB291" s="7247"/>
      <c r="BC291" s="7248"/>
      <c r="BD291" s="7249"/>
      <c r="BE291" s="7250"/>
      <c r="BF291" s="7251"/>
      <c r="BG291" s="7252"/>
      <c r="BH291" s="7253"/>
      <c r="BI291" s="7254"/>
      <c r="BJ291" s="7255"/>
      <c r="BK291" s="7256"/>
      <c r="BL291" s="7257"/>
      <c r="BM291" s="7258"/>
      <c r="BN291" s="7259"/>
      <c r="BO291" s="7260"/>
      <c r="BP291" s="7261"/>
      <c r="BQ291" s="7262"/>
      <c r="BR291" s="7263"/>
      <c r="BS291" s="7264"/>
      <c r="BT291" s="7265"/>
      <c r="BU291" s="7266"/>
      <c r="BV291" s="7267"/>
      <c r="BW291" s="7268"/>
      <c r="BX291" s="7269"/>
      <c r="BY291" s="7270"/>
      <c r="BZ291" s="7271"/>
      <c r="CA291" s="7272"/>
      <c r="CB291" s="7273"/>
      <c r="CC291" s="7274"/>
      <c r="CD291" s="7275"/>
      <c r="CE291" s="7276"/>
      <c r="CF291" s="7277"/>
      <c r="CG291" s="7278"/>
      <c r="CH291" s="7279"/>
      <c r="CI291" s="7280"/>
      <c r="CJ291" s="7281"/>
      <c r="CK291" s="7282"/>
      <c r="CL291" s="7283"/>
      <c r="CM291" s="7284"/>
      <c r="CN291" s="7285"/>
      <c r="CO291" s="7286"/>
      <c r="CP291" s="7287"/>
      <c r="CQ291" s="3825"/>
      <c r="CR291" s="3581"/>
      <c r="CS291" s="3728"/>
      <c r="CT291" s="3728" t="str">
        <f>IF(T291="","",T291)</f>
        <v>Добавить вид теплоносителя (параметры теплоносителя)</v>
      </c>
      <c r="CU291" s="3728"/>
      <c r="CV291" s="3728"/>
    </row>
    <row s="7288" customFormat="1" customHeight="1" ht="15">
      <c r="A292" s="3716"/>
      <c r="B292" s="3716"/>
      <c r="C292" s="3716"/>
      <c r="D292" s="3716"/>
      <c r="E292" s="3717"/>
      <c r="F292" s="3717" t="s">
        <v>166</v>
      </c>
      <c r="G292" s="3717"/>
      <c r="H292" s="3717"/>
      <c r="I292" s="3730"/>
      <c r="J292" s="3716"/>
      <c r="K292" s="3716"/>
      <c r="L292" s="3719"/>
      <c r="M292" s="3573"/>
      <c r="N292" s="3731"/>
      <c r="O292" s="3731"/>
      <c r="P292" s="3732"/>
      <c r="Q292" s="3732"/>
      <c r="R292" s="3733"/>
      <c r="S292" s="7289"/>
      <c r="T292" s="7290" t="s">
        <v>627</v>
      </c>
      <c r="U292" s="7291"/>
      <c r="V292" s="7292"/>
      <c r="W292" s="7293"/>
      <c r="X292" s="7294"/>
      <c r="Y292" s="7295"/>
      <c r="Z292" s="7296"/>
      <c r="AA292" s="7297"/>
      <c r="AB292" s="7298"/>
      <c r="AC292" s="7299"/>
      <c r="AD292" s="7300"/>
      <c r="AE292" s="7301"/>
      <c r="AF292" s="7302"/>
      <c r="AG292" s="7303"/>
      <c r="AH292" s="7304"/>
      <c r="AI292" s="7305"/>
      <c r="AJ292" s="7306"/>
      <c r="AK292" s="7307"/>
      <c r="AL292" s="7308"/>
      <c r="AM292" s="7309"/>
      <c r="AN292" s="7310"/>
      <c r="AO292" s="7311"/>
      <c r="AP292" s="7312"/>
      <c r="AQ292" s="7313"/>
      <c r="AR292" s="7314"/>
      <c r="AS292" s="7315"/>
      <c r="AT292" s="7316"/>
      <c r="AU292" s="7317"/>
      <c r="AV292" s="7318"/>
      <c r="AW292" s="7319"/>
      <c r="AX292" s="7320"/>
      <c r="AY292" s="7321"/>
      <c r="AZ292" s="7322"/>
      <c r="BA292" s="7323"/>
      <c r="BB292" s="7324"/>
      <c r="BC292" s="7325"/>
      <c r="BD292" s="7326"/>
      <c r="BE292" s="7327"/>
      <c r="BF292" s="7328"/>
      <c r="BG292" s="7329"/>
      <c r="BH292" s="7330"/>
      <c r="BI292" s="7331"/>
      <c r="BJ292" s="7332"/>
      <c r="BK292" s="7333"/>
      <c r="BL292" s="7334"/>
      <c r="BM292" s="7335"/>
      <c r="BN292" s="7336"/>
      <c r="BO292" s="7337"/>
      <c r="BP292" s="7338"/>
      <c r="BQ292" s="7339"/>
      <c r="BR292" s="7340"/>
      <c r="BS292" s="7341"/>
      <c r="BT292" s="7342"/>
      <c r="BU292" s="7343"/>
      <c r="BV292" s="7344"/>
      <c r="BW292" s="7345"/>
      <c r="BX292" s="7346"/>
      <c r="BY292" s="7347"/>
      <c r="BZ292" s="7348"/>
      <c r="CA292" s="7349"/>
      <c r="CB292" s="7350"/>
      <c r="CC292" s="7351"/>
      <c r="CD292" s="7352"/>
      <c r="CE292" s="7353"/>
      <c r="CF292" s="7354"/>
      <c r="CG292" s="7355"/>
      <c r="CH292" s="7356"/>
      <c r="CI292" s="7357"/>
      <c r="CJ292" s="7358"/>
      <c r="CK292" s="7359"/>
      <c r="CL292" s="7360"/>
      <c r="CM292" s="7361"/>
      <c r="CN292" s="7362"/>
      <c r="CO292" s="7363"/>
      <c r="CP292" s="7364"/>
      <c r="CQ292" s="7365"/>
      <c r="CR292" s="3581"/>
      <c r="CS292" s="3728"/>
      <c r="CT292" s="3728" t="str">
        <f>IF(T292="","",T292)</f>
        <v>Добавить группу потребителей</v>
      </c>
      <c r="CU292" s="3728"/>
      <c r="CV292" s="3728"/>
    </row>
    <row s="7366" customFormat="1" customHeight="1" ht="14.25">
      <c r="A293" s="3716"/>
      <c r="B293" s="3716"/>
      <c r="C293" s="3716"/>
      <c r="D293" s="3716"/>
      <c r="E293" s="3717"/>
      <c r="F293" s="3717" t="s">
        <v>166</v>
      </c>
      <c r="G293" s="3717"/>
      <c r="H293" s="3718"/>
      <c r="I293" s="3716"/>
      <c r="J293" s="3716"/>
      <c r="K293" s="3716"/>
      <c r="L293" s="3719"/>
      <c r="M293" s="3720"/>
      <c r="N293" s="3720"/>
      <c r="O293" s="3573"/>
      <c r="P293" s="3905"/>
      <c r="Q293" s="3906"/>
      <c r="R293" s="3907"/>
      <c r="S293" s="3908"/>
      <c r="T293" s="3909"/>
      <c r="U293" s="3569"/>
      <c r="V293" s="3569"/>
      <c r="W293" s="3569"/>
      <c r="X293" s="3569"/>
      <c r="Y293" s="3569"/>
      <c r="Z293" s="3569"/>
      <c r="AA293" s="3569"/>
      <c r="AB293" s="3569"/>
      <c r="AC293" s="3569"/>
      <c r="AD293" s="3569"/>
      <c r="AE293" s="3569"/>
      <c r="AF293" s="3569"/>
      <c r="AG293" s="3569"/>
      <c r="AH293" s="3569"/>
      <c r="AI293" s="3569"/>
      <c r="AJ293" s="3569"/>
      <c r="AK293" s="3569"/>
      <c r="AL293" s="3569"/>
      <c r="AM293" s="3569"/>
      <c r="AN293" s="3569"/>
      <c r="AO293" s="3569"/>
      <c r="AP293" s="3569"/>
      <c r="AQ293" s="3569"/>
      <c r="AR293" s="3569"/>
      <c r="AS293" s="3569"/>
      <c r="AT293" s="3569"/>
      <c r="AU293" s="3569"/>
      <c r="AV293" s="3569"/>
      <c r="AW293" s="3569"/>
      <c r="AX293" s="3569"/>
      <c r="AY293" s="3569"/>
      <c r="AZ293" s="3569"/>
      <c r="BA293" s="3569"/>
      <c r="BB293" s="3569"/>
      <c r="BC293" s="3569"/>
      <c r="BD293" s="3569"/>
      <c r="BE293" s="3569"/>
      <c r="BF293" s="3569"/>
      <c r="BG293" s="3569"/>
      <c r="BH293" s="3569"/>
      <c r="BI293" s="3569"/>
      <c r="BJ293" s="3569"/>
      <c r="BK293" s="3569"/>
      <c r="BL293" s="3569"/>
      <c r="BM293" s="3569"/>
      <c r="BN293" s="3569"/>
      <c r="BO293" s="3569"/>
      <c r="BP293" s="3569"/>
      <c r="BQ293" s="3569"/>
      <c r="BR293" s="3569"/>
      <c r="BS293" s="3569"/>
      <c r="BT293" s="3569"/>
      <c r="BU293" s="3569"/>
      <c r="BV293" s="3569"/>
      <c r="BW293" s="3569"/>
      <c r="BX293" s="3569"/>
      <c r="BY293" s="3569"/>
      <c r="BZ293" s="3569"/>
      <c r="CA293" s="3569"/>
      <c r="CB293" s="3569"/>
      <c r="CC293" s="3569"/>
      <c r="CD293" s="3569"/>
      <c r="CE293" s="3569"/>
      <c r="CF293" s="3569"/>
      <c r="CG293" s="3569"/>
      <c r="CH293" s="3569"/>
      <c r="CI293" s="3569"/>
      <c r="CJ293" s="3569"/>
      <c r="CK293" s="3569"/>
      <c r="CL293" s="3569"/>
      <c r="CM293" s="3569"/>
      <c r="CN293" s="3569"/>
      <c r="CO293" s="3569"/>
      <c r="CP293" s="3569"/>
      <c r="CQ293" s="3910"/>
      <c r="CR293" s="3581"/>
      <c r="CS293" s="3728"/>
      <c r="CT293" s="3728" t="str">
        <f>IF(T293="","",T293)</f>
        <v/>
      </c>
      <c r="CU293" s="3728"/>
      <c r="CV293" s="3728"/>
    </row>
    <row s="7367" customFormat="1" customHeight="1" ht="0.75">
      <c r="A294" s="4239"/>
      <c r="B294" s="4239"/>
      <c r="C294" s="4239"/>
      <c r="D294" s="4239"/>
      <c r="E294" s="3717"/>
      <c r="F294" s="3717" t="s">
        <v>166</v>
      </c>
      <c r="G294" s="3718"/>
      <c r="H294" s="4239"/>
      <c r="I294" s="4239"/>
      <c r="J294" s="4239"/>
      <c r="K294" s="4239"/>
      <c r="L294" s="4240"/>
      <c r="M294" s="4241"/>
      <c r="N294" s="4241"/>
      <c r="O294" s="3581"/>
      <c r="P294" s="4242"/>
      <c r="Q294" s="4243"/>
      <c r="R294" s="4242"/>
      <c r="S294" s="4244"/>
      <c r="T294" s="4245" t="s">
        <v>254</v>
      </c>
      <c r="U294" s="3571"/>
      <c r="V294" s="3571"/>
      <c r="W294" s="3571"/>
      <c r="X294" s="3571"/>
      <c r="Y294" s="3571"/>
      <c r="Z294" s="3571"/>
      <c r="AA294" s="3571"/>
      <c r="AB294" s="3571"/>
      <c r="AC294" s="3571"/>
      <c r="AD294" s="3571"/>
      <c r="AE294" s="3571"/>
      <c r="AF294" s="3571"/>
      <c r="AG294" s="3571"/>
      <c r="AH294" s="3571"/>
      <c r="AI294" s="3571"/>
      <c r="AJ294" s="3571"/>
      <c r="AK294" s="3571"/>
      <c r="AL294" s="3571"/>
      <c r="AM294" s="3571"/>
      <c r="AN294" s="3571"/>
      <c r="AO294" s="3571"/>
      <c r="AP294" s="3571"/>
      <c r="AQ294" s="3571"/>
      <c r="AR294" s="3571"/>
      <c r="AS294" s="3571"/>
      <c r="AT294" s="3571"/>
      <c r="AU294" s="3571"/>
      <c r="AV294" s="3571"/>
      <c r="AW294" s="3571"/>
      <c r="AX294" s="3571"/>
      <c r="AY294" s="3571"/>
      <c r="AZ294" s="3571"/>
      <c r="BA294" s="3571"/>
      <c r="BB294" s="3571"/>
      <c r="BC294" s="3571"/>
      <c r="BD294" s="3571"/>
      <c r="BE294" s="3571"/>
      <c r="BF294" s="3571"/>
      <c r="BG294" s="3571"/>
      <c r="BH294" s="3571"/>
      <c r="BI294" s="3571"/>
      <c r="BJ294" s="3571"/>
      <c r="BK294" s="3571"/>
      <c r="BL294" s="3571"/>
      <c r="BM294" s="3571"/>
      <c r="BN294" s="3571"/>
      <c r="BO294" s="3571"/>
      <c r="BP294" s="3571"/>
      <c r="BQ294" s="3571"/>
      <c r="BR294" s="3571"/>
      <c r="BS294" s="3571"/>
      <c r="BT294" s="3571"/>
      <c r="BU294" s="3571"/>
      <c r="BV294" s="3571"/>
      <c r="BW294" s="3571"/>
      <c r="BX294" s="3571"/>
      <c r="BY294" s="3571"/>
      <c r="BZ294" s="3571"/>
      <c r="CA294" s="3571"/>
      <c r="CB294" s="3571"/>
      <c r="CC294" s="3571"/>
      <c r="CD294" s="3571"/>
      <c r="CE294" s="3571"/>
      <c r="CF294" s="3571"/>
      <c r="CG294" s="3571"/>
      <c r="CH294" s="3571"/>
      <c r="CI294" s="3571"/>
      <c r="CJ294" s="3571"/>
      <c r="CK294" s="3571"/>
      <c r="CL294" s="3571"/>
      <c r="CM294" s="3571"/>
      <c r="CN294" s="3571"/>
      <c r="CO294" s="3571"/>
      <c r="CP294" s="3571"/>
      <c r="CQ294" s="3571"/>
      <c r="CR294" s="3581"/>
      <c r="CS294" s="3728"/>
      <c r="CT294" s="3728" t="str">
        <f>IF(T294="","",T294)</f>
        <v>Добавить источник для дифференциации</v>
      </c>
      <c r="CU294" s="3728"/>
      <c r="CV294" s="3728"/>
    </row>
    <row s="7368" customFormat="1" customHeight="1" ht="0.75">
      <c r="A295" s="4239"/>
      <c r="B295" s="4239"/>
      <c r="C295" s="4239"/>
      <c r="D295" s="4239"/>
      <c r="E295" s="3717"/>
      <c r="F295" s="3718" t="s">
        <v>166</v>
      </c>
      <c r="G295" s="4239"/>
      <c r="H295" s="4239"/>
      <c r="I295" s="4239"/>
      <c r="J295" s="4239"/>
      <c r="K295" s="4239"/>
      <c r="L295" s="4240"/>
      <c r="M295" s="4247"/>
      <c r="N295" s="4247"/>
      <c r="O295" s="3581"/>
      <c r="P295" s="4242"/>
      <c r="Q295" s="4243"/>
      <c r="R295" s="4242"/>
      <c r="S295" s="4248"/>
      <c r="T295" s="4249" t="s">
        <v>255</v>
      </c>
      <c r="U295" s="3572"/>
      <c r="V295" s="3572"/>
      <c r="W295" s="3572"/>
      <c r="X295" s="3572"/>
      <c r="Y295" s="3572"/>
      <c r="Z295" s="3572"/>
      <c r="AA295" s="3572"/>
      <c r="AB295" s="3572"/>
      <c r="AC295" s="3572"/>
      <c r="AD295" s="3572"/>
      <c r="AE295" s="3572"/>
      <c r="AF295" s="3572"/>
      <c r="AG295" s="3572"/>
      <c r="AH295" s="3572"/>
      <c r="AI295" s="3572"/>
      <c r="AJ295" s="3572"/>
      <c r="AK295" s="3572"/>
      <c r="AL295" s="3572"/>
      <c r="AM295" s="3572"/>
      <c r="AN295" s="3572"/>
      <c r="AO295" s="3572"/>
      <c r="AP295" s="3572"/>
      <c r="AQ295" s="3572"/>
      <c r="AR295" s="3572"/>
      <c r="AS295" s="3572"/>
      <c r="AT295" s="3572"/>
      <c r="AU295" s="3572"/>
      <c r="AV295" s="3572"/>
      <c r="AW295" s="3572"/>
      <c r="AX295" s="3572"/>
      <c r="AY295" s="3572"/>
      <c r="AZ295" s="3572"/>
      <c r="BA295" s="3572"/>
      <c r="BB295" s="3572"/>
      <c r="BC295" s="3572"/>
      <c r="BD295" s="3572"/>
      <c r="BE295" s="3572"/>
      <c r="BF295" s="3572"/>
      <c r="BG295" s="3572"/>
      <c r="BH295" s="3572"/>
      <c r="BI295" s="3572"/>
      <c r="BJ295" s="3572"/>
      <c r="BK295" s="3572"/>
      <c r="BL295" s="3572"/>
      <c r="BM295" s="3572"/>
      <c r="BN295" s="3572"/>
      <c r="BO295" s="3572"/>
      <c r="BP295" s="3572"/>
      <c r="BQ295" s="3572"/>
      <c r="BR295" s="3572"/>
      <c r="BS295" s="3572"/>
      <c r="BT295" s="3572"/>
      <c r="BU295" s="3572"/>
      <c r="BV295" s="3572"/>
      <c r="BW295" s="3572"/>
      <c r="BX295" s="3572"/>
      <c r="BY295" s="3572"/>
      <c r="BZ295" s="3572"/>
      <c r="CA295" s="3572"/>
      <c r="CB295" s="3572"/>
      <c r="CC295" s="3572"/>
      <c r="CD295" s="3572"/>
      <c r="CE295" s="3572"/>
      <c r="CF295" s="3572"/>
      <c r="CG295" s="3572"/>
      <c r="CH295" s="3572"/>
      <c r="CI295" s="3572"/>
      <c r="CJ295" s="3572"/>
      <c r="CK295" s="3572"/>
      <c r="CL295" s="3572"/>
      <c r="CM295" s="3572"/>
      <c r="CN295" s="3572"/>
      <c r="CO295" s="3572"/>
      <c r="CP295" s="3572"/>
      <c r="CQ295" s="3572"/>
      <c r="CR295" s="3581"/>
      <c r="CS295" s="3728"/>
      <c r="CT295" s="3728" t="str">
        <f>IF(T295="","",T295)</f>
        <v>Добавить централизованную систему для дифференциации</v>
      </c>
      <c r="CU295" s="3728"/>
      <c r="CV295" s="3728"/>
    </row>
    <row s="7369" customFormat="1" customHeight="1" ht="21">
      <c r="A296" s="3716"/>
      <c r="B296" s="3716" t="s">
        <v>320</v>
      </c>
      <c r="C296" s="3716"/>
      <c r="D296" s="3716"/>
      <c r="E296" s="3717"/>
      <c r="F296" s="3718" t="s">
        <v>175</v>
      </c>
      <c r="G296" s="3716"/>
      <c r="H296" s="3716"/>
      <c r="I296" s="3716"/>
      <c r="J296" s="3716"/>
      <c r="K296" s="3716"/>
      <c r="L296" s="3719"/>
      <c r="M296" s="3720"/>
      <c r="N296" s="3720"/>
      <c r="O296" s="3720"/>
      <c r="P296" s="4073"/>
      <c r="Q296" s="3722"/>
      <c r="R296" s="3723"/>
      <c r="S296" s="3724" t="str">
        <f>INDEX(PT_DIFFERENTIATION_NUM_TER,MATCH(B296,PT_DIFFERENTIATION_TER_ID,0))</f>
        <v>1.18</v>
      </c>
      <c r="T296" s="4074" t="s">
        <v>612</v>
      </c>
      <c r="U296" s="3726"/>
      <c r="V296" s="3432"/>
      <c r="W296" s="3433"/>
      <c r="X296" s="3433"/>
      <c r="Y296" s="3433"/>
      <c r="Z296" s="3433"/>
      <c r="AA296" s="3433"/>
      <c r="AB296" s="3433"/>
      <c r="AC296" s="3434"/>
      <c r="AD296" s="3432" t="str">
        <f>INDEX(PT_DIFFERENTIATION_TER,MATCH(B296,PT_DIFFERENTIATION_TER_ID,0))</f>
        <v>Территория 18</v>
      </c>
      <c r="AE296" s="3433"/>
      <c r="AF296" s="3433"/>
      <c r="AG296" s="3433"/>
      <c r="AH296" s="3433"/>
      <c r="AI296" s="3433"/>
      <c r="AJ296" s="3433"/>
      <c r="AK296" s="3433"/>
      <c r="AL296" s="3432"/>
      <c r="AM296" s="3433"/>
      <c r="AN296" s="3433"/>
      <c r="AO296" s="3433"/>
      <c r="AP296" s="3433"/>
      <c r="AQ296" s="3433"/>
      <c r="AR296" s="3433"/>
      <c r="AS296" s="3434"/>
      <c r="AT296" s="3432"/>
      <c r="AU296" s="3433"/>
      <c r="AV296" s="3433"/>
      <c r="AW296" s="3433"/>
      <c r="AX296" s="3433"/>
      <c r="AY296" s="3433"/>
      <c r="AZ296" s="3433"/>
      <c r="BA296" s="3434"/>
      <c r="BB296" s="3432"/>
      <c r="BC296" s="3433"/>
      <c r="BD296" s="3433"/>
      <c r="BE296" s="3433"/>
      <c r="BF296" s="3433"/>
      <c r="BG296" s="3433"/>
      <c r="BH296" s="3433"/>
      <c r="BI296" s="3434"/>
      <c r="BJ296" s="3432"/>
      <c r="BK296" s="3433"/>
      <c r="BL296" s="3433"/>
      <c r="BM296" s="3433"/>
      <c r="BN296" s="3433"/>
      <c r="BO296" s="3433"/>
      <c r="BP296" s="3433"/>
      <c r="BQ296" s="3434"/>
      <c r="BR296" s="3432"/>
      <c r="BS296" s="3433"/>
      <c r="BT296" s="3433"/>
      <c r="BU296" s="3433"/>
      <c r="BV296" s="3433"/>
      <c r="BW296" s="3433"/>
      <c r="BX296" s="3433"/>
      <c r="BY296" s="3434"/>
      <c r="BZ296" s="3432"/>
      <c r="CA296" s="3433"/>
      <c r="CB296" s="3433"/>
      <c r="CC296" s="3433"/>
      <c r="CD296" s="3433"/>
      <c r="CE296" s="3433"/>
      <c r="CF296" s="3433"/>
      <c r="CG296" s="3434"/>
      <c r="CH296" s="3432"/>
      <c r="CI296" s="3433"/>
      <c r="CJ296" s="3433"/>
      <c r="CK296" s="3433"/>
      <c r="CL296" s="3433"/>
      <c r="CM296" s="3433"/>
      <c r="CN296" s="3433"/>
      <c r="CO296" s="3434"/>
      <c r="CP296" s="3434"/>
      <c r="CQ296" s="3727" t="s">
        <v>613</v>
      </c>
      <c r="CR296" s="3581"/>
      <c r="CS296" s="3728"/>
      <c r="CT296" s="3728" t="str">
        <f>IF(T296="","",T296)</f>
        <v>Территория действия тарифа</v>
      </c>
      <c r="CU296" s="3728"/>
      <c r="CV296" s="3728"/>
    </row>
    <row s="7370" customFormat="1" customHeight="1" ht="23.25">
      <c r="A297" s="3716"/>
      <c r="B297" s="3716"/>
      <c r="C297" s="3716" t="s">
        <v>321</v>
      </c>
      <c r="D297" s="3716"/>
      <c r="E297" s="3717"/>
      <c r="F297" s="3717" t="s">
        <v>170</v>
      </c>
      <c r="G297" s="3718">
        <v>1</v>
      </c>
      <c r="H297" s="3716"/>
      <c r="I297" s="3716"/>
      <c r="J297" s="3716"/>
      <c r="K297" s="3716"/>
      <c r="L297" s="3719"/>
      <c r="M297" s="3720"/>
      <c r="N297" s="3720"/>
      <c r="O297" s="3720"/>
      <c r="P297" s="3721"/>
      <c r="Q297" s="3722"/>
      <c r="R297" s="3723"/>
      <c r="S297" s="3724" t="str">
        <f>INDEX(PT_DIFFERENTIATION_NUM_CS,MATCH(C297,PT_DIFFERENTIATION_CS_ID,0))</f>
        <v>1.18.1</v>
      </c>
      <c r="T297" s="4076" t="s">
        <v>614</v>
      </c>
      <c r="U297" s="3726"/>
      <c r="V297" s="3432"/>
      <c r="W297" s="3433"/>
      <c r="X297" s="3433"/>
      <c r="Y297" s="3433"/>
      <c r="Z297" s="3433"/>
      <c r="AA297" s="3433"/>
      <c r="AB297" s="3433"/>
      <c r="AC297" s="3434"/>
      <c r="AD297" s="3432" t="str">
        <f>INDEX(PT_DIFFERENTIATION_CS,MATCH(C297,PT_DIFFERENTIATION_CS_ID,0))</f>
        <v>без дифференциации</v>
      </c>
      <c r="AE297" s="3433"/>
      <c r="AF297" s="3433"/>
      <c r="AG297" s="3433"/>
      <c r="AH297" s="3433"/>
      <c r="AI297" s="3433"/>
      <c r="AJ297" s="3433"/>
      <c r="AK297" s="3433"/>
      <c r="AL297" s="3432"/>
      <c r="AM297" s="3433"/>
      <c r="AN297" s="3433"/>
      <c r="AO297" s="3433"/>
      <c r="AP297" s="3433"/>
      <c r="AQ297" s="3433"/>
      <c r="AR297" s="3433"/>
      <c r="AS297" s="3434"/>
      <c r="AT297" s="3432"/>
      <c r="AU297" s="3433"/>
      <c r="AV297" s="3433"/>
      <c r="AW297" s="3433"/>
      <c r="AX297" s="3433"/>
      <c r="AY297" s="3433"/>
      <c r="AZ297" s="3433"/>
      <c r="BA297" s="3434"/>
      <c r="BB297" s="3432"/>
      <c r="BC297" s="3433"/>
      <c r="BD297" s="3433"/>
      <c r="BE297" s="3433"/>
      <c r="BF297" s="3433"/>
      <c r="BG297" s="3433"/>
      <c r="BH297" s="3433"/>
      <c r="BI297" s="3434"/>
      <c r="BJ297" s="3432"/>
      <c r="BK297" s="3433"/>
      <c r="BL297" s="3433"/>
      <c r="BM297" s="3433"/>
      <c r="BN297" s="3433"/>
      <c r="BO297" s="3433"/>
      <c r="BP297" s="3433"/>
      <c r="BQ297" s="3434"/>
      <c r="BR297" s="3432"/>
      <c r="BS297" s="3433"/>
      <c r="BT297" s="3433"/>
      <c r="BU297" s="3433"/>
      <c r="BV297" s="3433"/>
      <c r="BW297" s="3433"/>
      <c r="BX297" s="3433"/>
      <c r="BY297" s="3434"/>
      <c r="BZ297" s="3432"/>
      <c r="CA297" s="3433"/>
      <c r="CB297" s="3433"/>
      <c r="CC297" s="3433"/>
      <c r="CD297" s="3433"/>
      <c r="CE297" s="3433"/>
      <c r="CF297" s="3433"/>
      <c r="CG297" s="3434"/>
      <c r="CH297" s="3432"/>
      <c r="CI297" s="3433"/>
      <c r="CJ297" s="3433"/>
      <c r="CK297" s="3433"/>
      <c r="CL297" s="3433"/>
      <c r="CM297" s="3433"/>
      <c r="CN297" s="3433"/>
      <c r="CO297" s="3434"/>
      <c r="CP297" s="3434"/>
      <c r="CQ297" s="3727" t="s">
        <v>615</v>
      </c>
      <c r="CR297" s="3581"/>
      <c r="CS297" s="3728"/>
      <c r="CT297" s="3728" t="str">
        <f>IF(T297="","",T297)</f>
        <v>Наименование системы теплоснабжения </v>
      </c>
      <c r="CU297" s="3728"/>
      <c r="CV297" s="3728"/>
    </row>
    <row s="7371" customFormat="1" customHeight="1" ht="21">
      <c r="A298" s="3716"/>
      <c r="B298" s="3716"/>
      <c r="C298" s="3716"/>
      <c r="D298" s="3716" t="s">
        <v>322</v>
      </c>
      <c r="E298" s="3717"/>
      <c r="F298" s="3717" t="s">
        <v>170</v>
      </c>
      <c r="G298" s="3717"/>
      <c r="H298" s="3718">
        <v>1</v>
      </c>
      <c r="I298" s="3716"/>
      <c r="J298" s="3716"/>
      <c r="K298" s="3716"/>
      <c r="L298" s="3719"/>
      <c r="M298" s="3720"/>
      <c r="N298" s="3720"/>
      <c r="O298" s="3720"/>
      <c r="P298" s="3721"/>
      <c r="Q298" s="3722"/>
      <c r="R298" s="3723"/>
      <c r="S298" s="3724" t="str">
        <f>INDEX(PT_DIFFERENTIATION_NUM_IST_TE,MATCH(D298,PT_DIFFERENTIATION_IST_TE_ID,0))</f>
        <v>1.18.1.1</v>
      </c>
      <c r="T298" s="3725" t="s">
        <v>616</v>
      </c>
      <c r="U298" s="3726"/>
      <c r="V298" s="3432"/>
      <c r="W298" s="3433"/>
      <c r="X298" s="3433"/>
      <c r="Y298" s="3433"/>
      <c r="Z298" s="3433"/>
      <c r="AA298" s="3433"/>
      <c r="AB298" s="3433"/>
      <c r="AC298" s="3434"/>
      <c r="AD298" s="3432" t="str">
        <f>INDEX(PT_DIFFERENTIATION_IST_TE,MATCH(D298,PT_DIFFERENTIATION_IST_TE_ID,0))</f>
        <v>ж.д.ст. Лопарская</v>
      </c>
      <c r="AE298" s="3433"/>
      <c r="AF298" s="3433"/>
      <c r="AG298" s="3433"/>
      <c r="AH298" s="3433"/>
      <c r="AI298" s="3433"/>
      <c r="AJ298" s="3433"/>
      <c r="AK298" s="3433"/>
      <c r="AL298" s="3432"/>
      <c r="AM298" s="3433"/>
      <c r="AN298" s="3433"/>
      <c r="AO298" s="3433"/>
      <c r="AP298" s="3433"/>
      <c r="AQ298" s="3433"/>
      <c r="AR298" s="3433"/>
      <c r="AS298" s="3434"/>
      <c r="AT298" s="3432"/>
      <c r="AU298" s="3433"/>
      <c r="AV298" s="3433"/>
      <c r="AW298" s="3433"/>
      <c r="AX298" s="3433"/>
      <c r="AY298" s="3433"/>
      <c r="AZ298" s="3433"/>
      <c r="BA298" s="3434"/>
      <c r="BB298" s="3432"/>
      <c r="BC298" s="3433"/>
      <c r="BD298" s="3433"/>
      <c r="BE298" s="3433"/>
      <c r="BF298" s="3433"/>
      <c r="BG298" s="3433"/>
      <c r="BH298" s="3433"/>
      <c r="BI298" s="3434"/>
      <c r="BJ298" s="3432"/>
      <c r="BK298" s="3433"/>
      <c r="BL298" s="3433"/>
      <c r="BM298" s="3433"/>
      <c r="BN298" s="3433"/>
      <c r="BO298" s="3433"/>
      <c r="BP298" s="3433"/>
      <c r="BQ298" s="3434"/>
      <c r="BR298" s="3432"/>
      <c r="BS298" s="3433"/>
      <c r="BT298" s="3433"/>
      <c r="BU298" s="3433"/>
      <c r="BV298" s="3433"/>
      <c r="BW298" s="3433"/>
      <c r="BX298" s="3433"/>
      <c r="BY298" s="3434"/>
      <c r="BZ298" s="3432"/>
      <c r="CA298" s="3433"/>
      <c r="CB298" s="3433"/>
      <c r="CC298" s="3433"/>
      <c r="CD298" s="3433"/>
      <c r="CE298" s="3433"/>
      <c r="CF298" s="3433"/>
      <c r="CG298" s="3434"/>
      <c r="CH298" s="3432"/>
      <c r="CI298" s="3433"/>
      <c r="CJ298" s="3433"/>
      <c r="CK298" s="3433"/>
      <c r="CL298" s="3433"/>
      <c r="CM298" s="3433"/>
      <c r="CN298" s="3433"/>
      <c r="CO298" s="3434"/>
      <c r="CP298" s="3434"/>
      <c r="CQ298" s="3727" t="s">
        <v>617</v>
      </c>
      <c r="CR298" s="3581"/>
      <c r="CS298" s="3728"/>
      <c r="CT298" s="3728" t="str">
        <f>IF(T298="","",T298)</f>
        <v>Источник тепловой энергии  </v>
      </c>
      <c r="CU298" s="3728"/>
      <c r="CV298" s="3728"/>
    </row>
    <row s="7372" customFormat="1" customHeight="1" ht="14.25">
      <c r="A299" s="3716"/>
      <c r="B299" s="3716"/>
      <c r="C299" s="3716"/>
      <c r="D299" s="3716"/>
      <c r="E299" s="3717"/>
      <c r="F299" s="3717" t="s">
        <v>170</v>
      </c>
      <c r="G299" s="3717"/>
      <c r="H299" s="3717"/>
      <c r="I299" s="3730" t="str">
        <f>S298&amp;".1"</f>
        <v>1.18.1.1.1</v>
      </c>
      <c r="J299" s="3716"/>
      <c r="K299" s="3716"/>
      <c r="L299" s="3719" t="s">
        <v>618</v>
      </c>
      <c r="M299" s="3573"/>
      <c r="N299" s="3731"/>
      <c r="O299" s="3731"/>
      <c r="P299" s="3732">
        <v>1</v>
      </c>
      <c r="Q299" s="3732"/>
      <c r="R299" s="3733"/>
      <c r="S299" s="3734"/>
      <c r="T299" s="3735"/>
      <c r="U299" s="3736"/>
      <c r="V299" s="3441"/>
      <c r="W299" s="3442"/>
      <c r="X299" s="3442"/>
      <c r="Y299" s="3442"/>
      <c r="Z299" s="3442"/>
      <c r="AA299" s="3442"/>
      <c r="AB299" s="3442"/>
      <c r="AC299" s="3443"/>
      <c r="AD299" s="3441"/>
      <c r="AE299" s="3442"/>
      <c r="AF299" s="3442"/>
      <c r="AG299" s="3442"/>
      <c r="AH299" s="3442"/>
      <c r="AI299" s="3442"/>
      <c r="AJ299" s="3442"/>
      <c r="AK299" s="3442"/>
      <c r="AL299" s="3441"/>
      <c r="AM299" s="3442"/>
      <c r="AN299" s="3442"/>
      <c r="AO299" s="3442"/>
      <c r="AP299" s="3442"/>
      <c r="AQ299" s="3442"/>
      <c r="AR299" s="3442"/>
      <c r="AS299" s="3443"/>
      <c r="AT299" s="3441"/>
      <c r="AU299" s="3442"/>
      <c r="AV299" s="3442"/>
      <c r="AW299" s="3442"/>
      <c r="AX299" s="3442"/>
      <c r="AY299" s="3442"/>
      <c r="AZ299" s="3442"/>
      <c r="BA299" s="3443"/>
      <c r="BB299" s="3441"/>
      <c r="BC299" s="3442"/>
      <c r="BD299" s="3442"/>
      <c r="BE299" s="3442"/>
      <c r="BF299" s="3442"/>
      <c r="BG299" s="3442"/>
      <c r="BH299" s="3442"/>
      <c r="BI299" s="3443"/>
      <c r="BJ299" s="3441"/>
      <c r="BK299" s="3442"/>
      <c r="BL299" s="3442"/>
      <c r="BM299" s="3442"/>
      <c r="BN299" s="3442"/>
      <c r="BO299" s="3442"/>
      <c r="BP299" s="3442"/>
      <c r="BQ299" s="3443"/>
      <c r="BR299" s="3441"/>
      <c r="BS299" s="3442"/>
      <c r="BT299" s="3442"/>
      <c r="BU299" s="3442"/>
      <c r="BV299" s="3442"/>
      <c r="BW299" s="3442"/>
      <c r="BX299" s="3442"/>
      <c r="BY299" s="3443"/>
      <c r="BZ299" s="3441"/>
      <c r="CA299" s="3442"/>
      <c r="CB299" s="3442"/>
      <c r="CC299" s="3442"/>
      <c r="CD299" s="3442"/>
      <c r="CE299" s="3442"/>
      <c r="CF299" s="3442"/>
      <c r="CG299" s="3443"/>
      <c r="CH299" s="3441"/>
      <c r="CI299" s="3442"/>
      <c r="CJ299" s="3442"/>
      <c r="CK299" s="3442"/>
      <c r="CL299" s="3442"/>
      <c r="CM299" s="3442"/>
      <c r="CN299" s="3442"/>
      <c r="CO299" s="3443"/>
      <c r="CP299" s="3443"/>
      <c r="CQ299" s="3737"/>
      <c r="CR299" s="3581"/>
      <c r="CS299" s="3728"/>
      <c r="CT299" s="3728" t="str">
        <f>IF(T299="","",T299)</f>
        <v/>
      </c>
      <c r="CU299" s="3728"/>
      <c r="CV299" s="3728"/>
    </row>
    <row s="7373" customFormat="1" customHeight="1" ht="21">
      <c r="A300" s="3716"/>
      <c r="B300" s="3716"/>
      <c r="C300" s="3716"/>
      <c r="D300" s="3716"/>
      <c r="E300" s="3717"/>
      <c r="F300" s="3717" t="s">
        <v>170</v>
      </c>
      <c r="G300" s="3717"/>
      <c r="H300" s="3717"/>
      <c r="I300" s="3739"/>
      <c r="J300" s="3730" t="str">
        <f>I299&amp;".1"</f>
        <v>1.18.1.1.1.1</v>
      </c>
      <c r="K300" s="3716"/>
      <c r="L300" s="3719" t="s">
        <v>621</v>
      </c>
      <c r="M300" s="3573"/>
      <c r="N300" s="3573"/>
      <c r="O300" s="3731"/>
      <c r="P300" s="3732"/>
      <c r="Q300" s="3732">
        <v>1</v>
      </c>
      <c r="R300" s="3740"/>
      <c r="S300" s="3724" t="str">
        <f>$J300</f>
        <v>1.18.1.1.1.1</v>
      </c>
      <c r="T300" s="3741" t="s">
        <v>622</v>
      </c>
      <c r="U300" s="3726"/>
      <c r="V300" s="3445"/>
      <c r="W300" s="3446"/>
      <c r="X300" s="3446"/>
      <c r="Y300" s="3446"/>
      <c r="Z300" s="3446"/>
      <c r="AA300" s="3446"/>
      <c r="AB300" s="3446"/>
      <c r="AC300" s="3447"/>
      <c r="AD300" s="3445" t="s">
        <v>662</v>
      </c>
      <c r="AE300" s="3446"/>
      <c r="AF300" s="3446"/>
      <c r="AG300" s="3446"/>
      <c r="AH300" s="3446"/>
      <c r="AI300" s="3446"/>
      <c r="AJ300" s="3446"/>
      <c r="AK300" s="3446"/>
      <c r="AL300" s="3445"/>
      <c r="AM300" s="3446"/>
      <c r="AN300" s="3446"/>
      <c r="AO300" s="3446"/>
      <c r="AP300" s="3446"/>
      <c r="AQ300" s="3446"/>
      <c r="AR300" s="3446"/>
      <c r="AS300" s="3447"/>
      <c r="AT300" s="3445"/>
      <c r="AU300" s="3446"/>
      <c r="AV300" s="3446"/>
      <c r="AW300" s="3446"/>
      <c r="AX300" s="3446"/>
      <c r="AY300" s="3446"/>
      <c r="AZ300" s="3446"/>
      <c r="BA300" s="3447"/>
      <c r="BB300" s="3445"/>
      <c r="BC300" s="3446"/>
      <c r="BD300" s="3446"/>
      <c r="BE300" s="3446"/>
      <c r="BF300" s="3446"/>
      <c r="BG300" s="3446"/>
      <c r="BH300" s="3446"/>
      <c r="BI300" s="3447"/>
      <c r="BJ300" s="3445"/>
      <c r="BK300" s="3446"/>
      <c r="BL300" s="3446"/>
      <c r="BM300" s="3446"/>
      <c r="BN300" s="3446"/>
      <c r="BO300" s="3446"/>
      <c r="BP300" s="3446"/>
      <c r="BQ300" s="3447"/>
      <c r="BR300" s="3445"/>
      <c r="BS300" s="3446"/>
      <c r="BT300" s="3446"/>
      <c r="BU300" s="3446"/>
      <c r="BV300" s="3446"/>
      <c r="BW300" s="3446"/>
      <c r="BX300" s="3446"/>
      <c r="BY300" s="3447"/>
      <c r="BZ300" s="3445"/>
      <c r="CA300" s="3446"/>
      <c r="CB300" s="3446"/>
      <c r="CC300" s="3446"/>
      <c r="CD300" s="3446"/>
      <c r="CE300" s="3446"/>
      <c r="CF300" s="3446"/>
      <c r="CG300" s="3447"/>
      <c r="CH300" s="3445"/>
      <c r="CI300" s="3446"/>
      <c r="CJ300" s="3446"/>
      <c r="CK300" s="3446"/>
      <c r="CL300" s="3446"/>
      <c r="CM300" s="3446"/>
      <c r="CN300" s="3446"/>
      <c r="CO300" s="3447"/>
      <c r="CP300" s="3447"/>
      <c r="CQ300" s="3727" t="s">
        <v>623</v>
      </c>
      <c r="CR300" s="3581"/>
      <c r="CS300" s="3728"/>
      <c r="CT300" s="3728" t="str">
        <f>IF(T300="","",T300)</f>
        <v>Группа потребителей</v>
      </c>
      <c r="CU300" s="3728"/>
      <c r="CV300" s="3728"/>
    </row>
    <row s="7374" customFormat="1" customHeight="1" ht="21">
      <c r="A301" s="3716"/>
      <c r="B301" s="3716"/>
      <c r="C301" s="3716"/>
      <c r="D301" s="3716"/>
      <c r="E301" s="3717"/>
      <c r="F301" s="3717" t="s">
        <v>170</v>
      </c>
      <c r="G301" s="3717"/>
      <c r="H301" s="3717"/>
      <c r="I301" s="3739"/>
      <c r="J301" s="3739"/>
      <c r="K301" s="3730" t="str">
        <f>J300&amp;".1"</f>
        <v>1.18.1.1.1.1.1</v>
      </c>
      <c r="L301" s="3719" t="s">
        <v>624</v>
      </c>
      <c r="M301" s="3573"/>
      <c r="N301" s="3573"/>
      <c r="O301" s="3573"/>
      <c r="P301" s="3732"/>
      <c r="Q301" s="3732"/>
      <c r="R301" s="3740">
        <v>1</v>
      </c>
      <c r="S301" s="3724" t="str">
        <f>$K301</f>
        <v>1.18.1.1.1.1.1</v>
      </c>
      <c r="T301" s="3743" t="s">
        <v>663</v>
      </c>
      <c r="U301" s="3726"/>
      <c r="V301" s="3448"/>
      <c r="W301" s="3449"/>
      <c r="X301" s="3448"/>
      <c r="Y301" s="3450"/>
      <c r="Z301" s="3451"/>
      <c r="AA301" s="2872" t="s">
        <v>63</v>
      </c>
      <c r="AB301" s="3451"/>
      <c r="AC301" s="2872" t="s">
        <v>63</v>
      </c>
      <c r="AD301" s="3448">
        <v>60</v>
      </c>
      <c r="AE301" s="3449"/>
      <c r="AF301" s="3448"/>
      <c r="AG301" s="3450"/>
      <c r="AH301" s="3451">
        <v>44197</v>
      </c>
      <c r="AI301" s="2872" t="s">
        <v>63</v>
      </c>
      <c r="AJ301" s="3451">
        <v>44377</v>
      </c>
      <c r="AK301" s="2872" t="s">
        <v>63</v>
      </c>
      <c r="AL301" s="3448">
        <v>79.5</v>
      </c>
      <c r="AM301" s="3449"/>
      <c r="AN301" s="3448"/>
      <c r="AO301" s="3450"/>
      <c r="AP301" s="3451">
        <v>44378</v>
      </c>
      <c r="AQ301" s="2872" t="s">
        <v>63</v>
      </c>
      <c r="AR301" s="3451">
        <v>44561</v>
      </c>
      <c r="AS301" s="2872" t="s">
        <v>63</v>
      </c>
      <c r="AT301" s="3448">
        <v>79.5</v>
      </c>
      <c r="AU301" s="3449"/>
      <c r="AV301" s="3448"/>
      <c r="AW301" s="3450"/>
      <c r="AX301" s="3451">
        <v>44562</v>
      </c>
      <c r="AY301" s="2872" t="s">
        <v>63</v>
      </c>
      <c r="AZ301" s="3451">
        <v>44601</v>
      </c>
      <c r="BA301" s="2872" t="s">
        <v>63</v>
      </c>
      <c r="BB301" s="3448">
        <v>79.5</v>
      </c>
      <c r="BC301" s="3449"/>
      <c r="BD301" s="3448"/>
      <c r="BE301" s="3450"/>
      <c r="BF301" s="3451">
        <v>44602</v>
      </c>
      <c r="BG301" s="2872" t="s">
        <v>63</v>
      </c>
      <c r="BH301" s="3451">
        <v>44742</v>
      </c>
      <c r="BI301" s="2872" t="s">
        <v>63</v>
      </c>
      <c r="BJ301" s="3448">
        <v>95.4</v>
      </c>
      <c r="BK301" s="3449"/>
      <c r="BL301" s="3448"/>
      <c r="BM301" s="3450"/>
      <c r="BN301" s="3451">
        <v>44743</v>
      </c>
      <c r="BO301" s="2872" t="s">
        <v>63</v>
      </c>
      <c r="BP301" s="3451">
        <v>44804</v>
      </c>
      <c r="BQ301" s="2872" t="s">
        <v>63</v>
      </c>
      <c r="BR301" s="3448">
        <v>95.4</v>
      </c>
      <c r="BS301" s="3449"/>
      <c r="BT301" s="3448"/>
      <c r="BU301" s="3450"/>
      <c r="BV301" s="3451">
        <v>44805</v>
      </c>
      <c r="BW301" s="2872" t="s">
        <v>63</v>
      </c>
      <c r="BX301" s="3451">
        <v>44895</v>
      </c>
      <c r="BY301" s="2872" t="s">
        <v>63</v>
      </c>
      <c r="BZ301" s="3448">
        <v>105.89</v>
      </c>
      <c r="CA301" s="3449"/>
      <c r="CB301" s="3448"/>
      <c r="CC301" s="3450"/>
      <c r="CD301" s="3451">
        <v>44896</v>
      </c>
      <c r="CE301" s="2872" t="s">
        <v>63</v>
      </c>
      <c r="CF301" s="3451">
        <v>45174</v>
      </c>
      <c r="CG301" s="2872" t="s">
        <v>63</v>
      </c>
      <c r="CH301" s="3448">
        <v>105.89</v>
      </c>
      <c r="CI301" s="3449"/>
      <c r="CJ301" s="3448"/>
      <c r="CK301" s="3450"/>
      <c r="CL301" s="3451">
        <v>45175</v>
      </c>
      <c r="CM301" s="2872" t="s">
        <v>63</v>
      </c>
      <c r="CN301" s="3451">
        <v>45291</v>
      </c>
      <c r="CO301" s="2872" t="s">
        <v>63</v>
      </c>
      <c r="CP301" s="3449"/>
      <c r="CQ301" s="3744" t="s">
        <v>625</v>
      </c>
      <c r="CR301" s="3581">
        <f>STRCHECKDATE(V302:CP302)</f>
      </c>
      <c r="CS301" s="3728"/>
      <c r="CT301" s="3728" t="str">
        <f>IF(T301="","",T301)</f>
        <v>вода</v>
      </c>
      <c r="CU301" s="3728"/>
      <c r="CV301" s="3728"/>
    </row>
    <row s="7375" customFormat="1" customHeight="1" ht="0.75">
      <c r="A302" s="3716"/>
      <c r="B302" s="3716"/>
      <c r="C302" s="3716"/>
      <c r="D302" s="3716"/>
      <c r="E302" s="3717"/>
      <c r="F302" s="3717" t="s">
        <v>170</v>
      </c>
      <c r="G302" s="3717"/>
      <c r="H302" s="3717"/>
      <c r="I302" s="3739"/>
      <c r="J302" s="3739"/>
      <c r="K302" s="3730"/>
      <c r="L302" s="3719"/>
      <c r="M302" s="3573"/>
      <c r="N302" s="3573"/>
      <c r="O302" s="3573"/>
      <c r="P302" s="3732"/>
      <c r="Q302" s="3732"/>
      <c r="R302" s="3740"/>
      <c r="S302" s="3746"/>
      <c r="T302" s="3726"/>
      <c r="U302" s="3726"/>
      <c r="V302" s="3449"/>
      <c r="W302" s="3449"/>
      <c r="X302" s="3449"/>
      <c r="Y302" s="3452" t="str">
        <f>Z301&amp;"-"&amp;AB301</f>
        <v>-</v>
      </c>
      <c r="Z302" s="3453"/>
      <c r="AA302" s="2872"/>
      <c r="AB302" s="3453"/>
      <c r="AC302" s="2872"/>
      <c r="AD302" s="3449"/>
      <c r="AE302" s="3449"/>
      <c r="AF302" s="3449"/>
      <c r="AG302" s="3452" t="str">
        <f>AH301&amp;"-"&amp;AJ301</f>
        <v>44197-44377</v>
      </c>
      <c r="AH302" s="3453"/>
      <c r="AI302" s="2872"/>
      <c r="AJ302" s="3453"/>
      <c r="AK302" s="2872"/>
      <c r="AL302" s="3449"/>
      <c r="AM302" s="3449"/>
      <c r="AN302" s="3449"/>
      <c r="AO302" s="3452" t="str">
        <f>AP301&amp;"-"&amp;AR301</f>
        <v>44378-44561</v>
      </c>
      <c r="AP302" s="3453"/>
      <c r="AQ302" s="2872"/>
      <c r="AR302" s="3453"/>
      <c r="AS302" s="2872"/>
      <c r="AT302" s="3449"/>
      <c r="AU302" s="3449"/>
      <c r="AV302" s="3449"/>
      <c r="AW302" s="3452" t="str">
        <f>AX301&amp;"-"&amp;AZ301</f>
        <v>44562-44601</v>
      </c>
      <c r="AX302" s="3453"/>
      <c r="AY302" s="2872"/>
      <c r="AZ302" s="3453"/>
      <c r="BA302" s="2872"/>
      <c r="BB302" s="3449"/>
      <c r="BC302" s="3449"/>
      <c r="BD302" s="3449"/>
      <c r="BE302" s="3452" t="str">
        <f>BF301&amp;"-"&amp;BH301</f>
        <v>44602-44742</v>
      </c>
      <c r="BF302" s="3453"/>
      <c r="BG302" s="2872"/>
      <c r="BH302" s="3453"/>
      <c r="BI302" s="2872"/>
      <c r="BJ302" s="3449"/>
      <c r="BK302" s="3449"/>
      <c r="BL302" s="3449"/>
      <c r="BM302" s="3452" t="str">
        <f>BN301&amp;"-"&amp;BP301</f>
        <v>44743-44804</v>
      </c>
      <c r="BN302" s="3453"/>
      <c r="BO302" s="2872"/>
      <c r="BP302" s="3453"/>
      <c r="BQ302" s="2872"/>
      <c r="BR302" s="3449"/>
      <c r="BS302" s="3449"/>
      <c r="BT302" s="3449"/>
      <c r="BU302" s="3452" t="str">
        <f>BV301&amp;"-"&amp;BX301</f>
        <v>44805-44895</v>
      </c>
      <c r="BV302" s="3453"/>
      <c r="BW302" s="2872"/>
      <c r="BX302" s="3453"/>
      <c r="BY302" s="2872"/>
      <c r="BZ302" s="3449"/>
      <c r="CA302" s="3449"/>
      <c r="CB302" s="3449"/>
      <c r="CC302" s="3452" t="str">
        <f>CD301&amp;"-"&amp;CF301</f>
        <v>44896-45174</v>
      </c>
      <c r="CD302" s="3453"/>
      <c r="CE302" s="2872"/>
      <c r="CF302" s="3453"/>
      <c r="CG302" s="2872"/>
      <c r="CH302" s="3449"/>
      <c r="CI302" s="3449"/>
      <c r="CJ302" s="3449"/>
      <c r="CK302" s="3452" t="str">
        <f>CL301&amp;"-"&amp;CN301</f>
        <v>45175-45291</v>
      </c>
      <c r="CL302" s="3453"/>
      <c r="CM302" s="2872"/>
      <c r="CN302" s="3453"/>
      <c r="CO302" s="2872"/>
      <c r="CP302" s="3449"/>
      <c r="CQ302" s="3747"/>
      <c r="CR302" s="3581"/>
      <c r="CS302" s="3728"/>
      <c r="CT302" s="3728" t="str">
        <f>IF(T302="","",T302)</f>
        <v/>
      </c>
      <c r="CU302" s="3728"/>
      <c r="CV302" s="3728"/>
    </row>
    <row s="7376" customFormat="1" customHeight="1" ht="15">
      <c r="A303" s="3716"/>
      <c r="B303" s="3716"/>
      <c r="C303" s="3716"/>
      <c r="D303" s="3716"/>
      <c r="E303" s="3717"/>
      <c r="F303" s="3717" t="s">
        <v>170</v>
      </c>
      <c r="G303" s="3717"/>
      <c r="H303" s="3717"/>
      <c r="I303" s="3739"/>
      <c r="J303" s="3730"/>
      <c r="K303" s="3716"/>
      <c r="L303" s="3719"/>
      <c r="M303" s="3573"/>
      <c r="N303" s="3573"/>
      <c r="O303" s="3731"/>
      <c r="P303" s="3732"/>
      <c r="Q303" s="3732"/>
      <c r="R303" s="3733"/>
      <c r="S303" s="7377"/>
      <c r="T303" s="7378" t="s">
        <v>626</v>
      </c>
      <c r="U303" s="7379"/>
      <c r="V303" s="7380"/>
      <c r="W303" s="7381"/>
      <c r="X303" s="7382"/>
      <c r="Y303" s="7383"/>
      <c r="Z303" s="7384"/>
      <c r="AA303" s="7385"/>
      <c r="AB303" s="7386"/>
      <c r="AC303" s="7387"/>
      <c r="AD303" s="7388"/>
      <c r="AE303" s="7389"/>
      <c r="AF303" s="7390"/>
      <c r="AG303" s="7391"/>
      <c r="AH303" s="7392"/>
      <c r="AI303" s="7393"/>
      <c r="AJ303" s="7394"/>
      <c r="AK303" s="7395"/>
      <c r="AL303" s="7396"/>
      <c r="AM303" s="7397"/>
      <c r="AN303" s="7398"/>
      <c r="AO303" s="7399"/>
      <c r="AP303" s="7400"/>
      <c r="AQ303" s="7401"/>
      <c r="AR303" s="7402"/>
      <c r="AS303" s="7403"/>
      <c r="AT303" s="7404"/>
      <c r="AU303" s="7405"/>
      <c r="AV303" s="7406"/>
      <c r="AW303" s="7407"/>
      <c r="AX303" s="7408"/>
      <c r="AY303" s="7409"/>
      <c r="AZ303" s="7410"/>
      <c r="BA303" s="7411"/>
      <c r="BB303" s="7412"/>
      <c r="BC303" s="7413"/>
      <c r="BD303" s="7414"/>
      <c r="BE303" s="7415"/>
      <c r="BF303" s="7416"/>
      <c r="BG303" s="7417"/>
      <c r="BH303" s="7418"/>
      <c r="BI303" s="7419"/>
      <c r="BJ303" s="7420"/>
      <c r="BK303" s="7421"/>
      <c r="BL303" s="7422"/>
      <c r="BM303" s="7423"/>
      <c r="BN303" s="7424"/>
      <c r="BO303" s="7425"/>
      <c r="BP303" s="7426"/>
      <c r="BQ303" s="7427"/>
      <c r="BR303" s="7428"/>
      <c r="BS303" s="7429"/>
      <c r="BT303" s="7430"/>
      <c r="BU303" s="7431"/>
      <c r="BV303" s="7432"/>
      <c r="BW303" s="7433"/>
      <c r="BX303" s="7434"/>
      <c r="BY303" s="7435"/>
      <c r="BZ303" s="7436"/>
      <c r="CA303" s="7437"/>
      <c r="CB303" s="7438"/>
      <c r="CC303" s="7439"/>
      <c r="CD303" s="7440"/>
      <c r="CE303" s="7441"/>
      <c r="CF303" s="7442"/>
      <c r="CG303" s="7443"/>
      <c r="CH303" s="7444"/>
      <c r="CI303" s="7445"/>
      <c r="CJ303" s="7446"/>
      <c r="CK303" s="7447"/>
      <c r="CL303" s="7448"/>
      <c r="CM303" s="7449"/>
      <c r="CN303" s="7450"/>
      <c r="CO303" s="7451"/>
      <c r="CP303" s="7452"/>
      <c r="CQ303" s="3825"/>
      <c r="CR303" s="3581"/>
      <c r="CS303" s="3728"/>
      <c r="CT303" s="3728" t="str">
        <f>IF(T303="","",T303)</f>
        <v>Добавить вид теплоносителя (параметры теплоносителя)</v>
      </c>
      <c r="CU303" s="3728"/>
      <c r="CV303" s="3728"/>
    </row>
    <row s="7453" customFormat="1" customHeight="1" ht="15">
      <c r="A304" s="3716"/>
      <c r="B304" s="3716"/>
      <c r="C304" s="3716"/>
      <c r="D304" s="3716"/>
      <c r="E304" s="3717"/>
      <c r="F304" s="3717" t="s">
        <v>170</v>
      </c>
      <c r="G304" s="3717"/>
      <c r="H304" s="3717"/>
      <c r="I304" s="3730"/>
      <c r="J304" s="3716"/>
      <c r="K304" s="3716"/>
      <c r="L304" s="3719"/>
      <c r="M304" s="3573"/>
      <c r="N304" s="3731"/>
      <c r="O304" s="3731"/>
      <c r="P304" s="3732"/>
      <c r="Q304" s="3732"/>
      <c r="R304" s="3733"/>
      <c r="S304" s="7454"/>
      <c r="T304" s="7455" t="s">
        <v>627</v>
      </c>
      <c r="U304" s="7456"/>
      <c r="V304" s="7457"/>
      <c r="W304" s="7458"/>
      <c r="X304" s="7459"/>
      <c r="Y304" s="7460"/>
      <c r="Z304" s="7461"/>
      <c r="AA304" s="7462"/>
      <c r="AB304" s="7463"/>
      <c r="AC304" s="7464"/>
      <c r="AD304" s="7465"/>
      <c r="AE304" s="7466"/>
      <c r="AF304" s="7467"/>
      <c r="AG304" s="7468"/>
      <c r="AH304" s="7469"/>
      <c r="AI304" s="7470"/>
      <c r="AJ304" s="7471"/>
      <c r="AK304" s="7472"/>
      <c r="AL304" s="7473"/>
      <c r="AM304" s="7474"/>
      <c r="AN304" s="7475"/>
      <c r="AO304" s="7476"/>
      <c r="AP304" s="7477"/>
      <c r="AQ304" s="7478"/>
      <c r="AR304" s="7479"/>
      <c r="AS304" s="7480"/>
      <c r="AT304" s="7481"/>
      <c r="AU304" s="7482"/>
      <c r="AV304" s="7483"/>
      <c r="AW304" s="7484"/>
      <c r="AX304" s="7485"/>
      <c r="AY304" s="7486"/>
      <c r="AZ304" s="7487"/>
      <c r="BA304" s="7488"/>
      <c r="BB304" s="7489"/>
      <c r="BC304" s="7490"/>
      <c r="BD304" s="7491"/>
      <c r="BE304" s="7492"/>
      <c r="BF304" s="7493"/>
      <c r="BG304" s="7494"/>
      <c r="BH304" s="7495"/>
      <c r="BI304" s="7496"/>
      <c r="BJ304" s="7497"/>
      <c r="BK304" s="7498"/>
      <c r="BL304" s="7499"/>
      <c r="BM304" s="7500"/>
      <c r="BN304" s="7501"/>
      <c r="BO304" s="7502"/>
      <c r="BP304" s="7503"/>
      <c r="BQ304" s="7504"/>
      <c r="BR304" s="7505"/>
      <c r="BS304" s="7506"/>
      <c r="BT304" s="7507"/>
      <c r="BU304" s="7508"/>
      <c r="BV304" s="7509"/>
      <c r="BW304" s="7510"/>
      <c r="BX304" s="7511"/>
      <c r="BY304" s="7512"/>
      <c r="BZ304" s="7513"/>
      <c r="CA304" s="7514"/>
      <c r="CB304" s="7515"/>
      <c r="CC304" s="7516"/>
      <c r="CD304" s="7517"/>
      <c r="CE304" s="7518"/>
      <c r="CF304" s="7519"/>
      <c r="CG304" s="7520"/>
      <c r="CH304" s="7521"/>
      <c r="CI304" s="7522"/>
      <c r="CJ304" s="7523"/>
      <c r="CK304" s="7524"/>
      <c r="CL304" s="7525"/>
      <c r="CM304" s="7526"/>
      <c r="CN304" s="7527"/>
      <c r="CO304" s="7528"/>
      <c r="CP304" s="7529"/>
      <c r="CQ304" s="7530"/>
      <c r="CR304" s="3581"/>
      <c r="CS304" s="3728"/>
      <c r="CT304" s="3728" t="str">
        <f>IF(T304="","",T304)</f>
        <v>Добавить группу потребителей</v>
      </c>
      <c r="CU304" s="3728"/>
      <c r="CV304" s="3728"/>
    </row>
    <row s="7531" customFormat="1" customHeight="1" ht="14.25">
      <c r="A305" s="3716"/>
      <c r="B305" s="3716"/>
      <c r="C305" s="3716"/>
      <c r="D305" s="3716"/>
      <c r="E305" s="3717"/>
      <c r="F305" s="3717" t="s">
        <v>170</v>
      </c>
      <c r="G305" s="3717"/>
      <c r="H305" s="3718"/>
      <c r="I305" s="3716"/>
      <c r="J305" s="3716"/>
      <c r="K305" s="3716"/>
      <c r="L305" s="3719"/>
      <c r="M305" s="3720"/>
      <c r="N305" s="3720"/>
      <c r="O305" s="3573"/>
      <c r="P305" s="3905"/>
      <c r="Q305" s="3906"/>
      <c r="R305" s="3907"/>
      <c r="S305" s="3908"/>
      <c r="T305" s="3909"/>
      <c r="U305" s="3569"/>
      <c r="V305" s="3569"/>
      <c r="W305" s="3569"/>
      <c r="X305" s="3569"/>
      <c r="Y305" s="3569"/>
      <c r="Z305" s="3569"/>
      <c r="AA305" s="3569"/>
      <c r="AB305" s="3569"/>
      <c r="AC305" s="3569"/>
      <c r="AD305" s="3569"/>
      <c r="AE305" s="3569"/>
      <c r="AF305" s="3569"/>
      <c r="AG305" s="3569"/>
      <c r="AH305" s="3569"/>
      <c r="AI305" s="3569"/>
      <c r="AJ305" s="3569"/>
      <c r="AK305" s="3569"/>
      <c r="AL305" s="3569"/>
      <c r="AM305" s="3569"/>
      <c r="AN305" s="3569"/>
      <c r="AO305" s="3569"/>
      <c r="AP305" s="3569"/>
      <c r="AQ305" s="3569"/>
      <c r="AR305" s="3569"/>
      <c r="AS305" s="3569"/>
      <c r="AT305" s="3569"/>
      <c r="AU305" s="3569"/>
      <c r="AV305" s="3569"/>
      <c r="AW305" s="3569"/>
      <c r="AX305" s="3569"/>
      <c r="AY305" s="3569"/>
      <c r="AZ305" s="3569"/>
      <c r="BA305" s="3569"/>
      <c r="BB305" s="3569"/>
      <c r="BC305" s="3569"/>
      <c r="BD305" s="3569"/>
      <c r="BE305" s="3569"/>
      <c r="BF305" s="3569"/>
      <c r="BG305" s="3569"/>
      <c r="BH305" s="3569"/>
      <c r="BI305" s="3569"/>
      <c r="BJ305" s="3569"/>
      <c r="BK305" s="3569"/>
      <c r="BL305" s="3569"/>
      <c r="BM305" s="3569"/>
      <c r="BN305" s="3569"/>
      <c r="BO305" s="3569"/>
      <c r="BP305" s="3569"/>
      <c r="BQ305" s="3569"/>
      <c r="BR305" s="3569"/>
      <c r="BS305" s="3569"/>
      <c r="BT305" s="3569"/>
      <c r="BU305" s="3569"/>
      <c r="BV305" s="3569"/>
      <c r="BW305" s="3569"/>
      <c r="BX305" s="3569"/>
      <c r="BY305" s="3569"/>
      <c r="BZ305" s="3569"/>
      <c r="CA305" s="3569"/>
      <c r="CB305" s="3569"/>
      <c r="CC305" s="3569"/>
      <c r="CD305" s="3569"/>
      <c r="CE305" s="3569"/>
      <c r="CF305" s="3569"/>
      <c r="CG305" s="3569"/>
      <c r="CH305" s="3569"/>
      <c r="CI305" s="3569"/>
      <c r="CJ305" s="3569"/>
      <c r="CK305" s="3569"/>
      <c r="CL305" s="3569"/>
      <c r="CM305" s="3569"/>
      <c r="CN305" s="3569"/>
      <c r="CO305" s="3569"/>
      <c r="CP305" s="3569"/>
      <c r="CQ305" s="3910"/>
      <c r="CR305" s="3581"/>
      <c r="CS305" s="3728"/>
      <c r="CT305" s="3728" t="str">
        <f>IF(T305="","",T305)</f>
        <v/>
      </c>
      <c r="CU305" s="3728"/>
      <c r="CV305" s="3728"/>
    </row>
    <row s="7532" customFormat="1" customHeight="1" ht="0.75">
      <c r="A306" s="4239"/>
      <c r="B306" s="4239"/>
      <c r="C306" s="4239"/>
      <c r="D306" s="4239"/>
      <c r="E306" s="3717"/>
      <c r="F306" s="3717" t="s">
        <v>170</v>
      </c>
      <c r="G306" s="3718"/>
      <c r="H306" s="4239"/>
      <c r="I306" s="4239"/>
      <c r="J306" s="4239"/>
      <c r="K306" s="4239"/>
      <c r="L306" s="4240"/>
      <c r="M306" s="4241"/>
      <c r="N306" s="4241"/>
      <c r="O306" s="3581"/>
      <c r="P306" s="4242"/>
      <c r="Q306" s="4243"/>
      <c r="R306" s="4242"/>
      <c r="S306" s="4244"/>
      <c r="T306" s="4245" t="s">
        <v>254</v>
      </c>
      <c r="U306" s="3571"/>
      <c r="V306" s="3571"/>
      <c r="W306" s="3571"/>
      <c r="X306" s="3571"/>
      <c r="Y306" s="3571"/>
      <c r="Z306" s="3571"/>
      <c r="AA306" s="3571"/>
      <c r="AB306" s="3571"/>
      <c r="AC306" s="3571"/>
      <c r="AD306" s="3571"/>
      <c r="AE306" s="3571"/>
      <c r="AF306" s="3571"/>
      <c r="AG306" s="3571"/>
      <c r="AH306" s="3571"/>
      <c r="AI306" s="3571"/>
      <c r="AJ306" s="3571"/>
      <c r="AK306" s="3571"/>
      <c r="AL306" s="3571"/>
      <c r="AM306" s="3571"/>
      <c r="AN306" s="3571"/>
      <c r="AO306" s="3571"/>
      <c r="AP306" s="3571"/>
      <c r="AQ306" s="3571"/>
      <c r="AR306" s="3571"/>
      <c r="AS306" s="3571"/>
      <c r="AT306" s="3571"/>
      <c r="AU306" s="3571"/>
      <c r="AV306" s="3571"/>
      <c r="AW306" s="3571"/>
      <c r="AX306" s="3571"/>
      <c r="AY306" s="3571"/>
      <c r="AZ306" s="3571"/>
      <c r="BA306" s="3571"/>
      <c r="BB306" s="3571"/>
      <c r="BC306" s="3571"/>
      <c r="BD306" s="3571"/>
      <c r="BE306" s="3571"/>
      <c r="BF306" s="3571"/>
      <c r="BG306" s="3571"/>
      <c r="BH306" s="3571"/>
      <c r="BI306" s="3571"/>
      <c r="BJ306" s="3571"/>
      <c r="BK306" s="3571"/>
      <c r="BL306" s="3571"/>
      <c r="BM306" s="3571"/>
      <c r="BN306" s="3571"/>
      <c r="BO306" s="3571"/>
      <c r="BP306" s="3571"/>
      <c r="BQ306" s="3571"/>
      <c r="BR306" s="3571"/>
      <c r="BS306" s="3571"/>
      <c r="BT306" s="3571"/>
      <c r="BU306" s="3571"/>
      <c r="BV306" s="3571"/>
      <c r="BW306" s="3571"/>
      <c r="BX306" s="3571"/>
      <c r="BY306" s="3571"/>
      <c r="BZ306" s="3571"/>
      <c r="CA306" s="3571"/>
      <c r="CB306" s="3571"/>
      <c r="CC306" s="3571"/>
      <c r="CD306" s="3571"/>
      <c r="CE306" s="3571"/>
      <c r="CF306" s="3571"/>
      <c r="CG306" s="3571"/>
      <c r="CH306" s="3571"/>
      <c r="CI306" s="3571"/>
      <c r="CJ306" s="3571"/>
      <c r="CK306" s="3571"/>
      <c r="CL306" s="3571"/>
      <c r="CM306" s="3571"/>
      <c r="CN306" s="3571"/>
      <c r="CO306" s="3571"/>
      <c r="CP306" s="3571"/>
      <c r="CQ306" s="3571"/>
      <c r="CR306" s="3581"/>
      <c r="CS306" s="3728"/>
      <c r="CT306" s="3728" t="str">
        <f>IF(T306="","",T306)</f>
        <v>Добавить источник для дифференциации</v>
      </c>
      <c r="CU306" s="3728"/>
      <c r="CV306" s="3728"/>
    </row>
    <row s="7533" customFormat="1" customHeight="1" ht="0.75">
      <c r="A307" s="4239"/>
      <c r="B307" s="4239"/>
      <c r="C307" s="4239"/>
      <c r="D307" s="4239"/>
      <c r="E307" s="3717"/>
      <c r="F307" s="3718" t="s">
        <v>170</v>
      </c>
      <c r="G307" s="4239"/>
      <c r="H307" s="4239"/>
      <c r="I307" s="4239"/>
      <c r="J307" s="4239"/>
      <c r="K307" s="4239"/>
      <c r="L307" s="4240"/>
      <c r="M307" s="4247"/>
      <c r="N307" s="4247"/>
      <c r="O307" s="3581"/>
      <c r="P307" s="4242"/>
      <c r="Q307" s="4243"/>
      <c r="R307" s="4242"/>
      <c r="S307" s="4248"/>
      <c r="T307" s="4249" t="s">
        <v>255</v>
      </c>
      <c r="U307" s="3572"/>
      <c r="V307" s="3572"/>
      <c r="W307" s="3572"/>
      <c r="X307" s="3572"/>
      <c r="Y307" s="3572"/>
      <c r="Z307" s="3572"/>
      <c r="AA307" s="3572"/>
      <c r="AB307" s="3572"/>
      <c r="AC307" s="3572"/>
      <c r="AD307" s="3572"/>
      <c r="AE307" s="3572"/>
      <c r="AF307" s="3572"/>
      <c r="AG307" s="3572"/>
      <c r="AH307" s="3572"/>
      <c r="AI307" s="3572"/>
      <c r="AJ307" s="3572"/>
      <c r="AK307" s="3572"/>
      <c r="AL307" s="3572"/>
      <c r="AM307" s="3572"/>
      <c r="AN307" s="3572"/>
      <c r="AO307" s="3572"/>
      <c r="AP307" s="3572"/>
      <c r="AQ307" s="3572"/>
      <c r="AR307" s="3572"/>
      <c r="AS307" s="3572"/>
      <c r="AT307" s="3572"/>
      <c r="AU307" s="3572"/>
      <c r="AV307" s="3572"/>
      <c r="AW307" s="3572"/>
      <c r="AX307" s="3572"/>
      <c r="AY307" s="3572"/>
      <c r="AZ307" s="3572"/>
      <c r="BA307" s="3572"/>
      <c r="BB307" s="3572"/>
      <c r="BC307" s="3572"/>
      <c r="BD307" s="3572"/>
      <c r="BE307" s="3572"/>
      <c r="BF307" s="3572"/>
      <c r="BG307" s="3572"/>
      <c r="BH307" s="3572"/>
      <c r="BI307" s="3572"/>
      <c r="BJ307" s="3572"/>
      <c r="BK307" s="3572"/>
      <c r="BL307" s="3572"/>
      <c r="BM307" s="3572"/>
      <c r="BN307" s="3572"/>
      <c r="BO307" s="3572"/>
      <c r="BP307" s="3572"/>
      <c r="BQ307" s="3572"/>
      <c r="BR307" s="3572"/>
      <c r="BS307" s="3572"/>
      <c r="BT307" s="3572"/>
      <c r="BU307" s="3572"/>
      <c r="BV307" s="3572"/>
      <c r="BW307" s="3572"/>
      <c r="BX307" s="3572"/>
      <c r="BY307" s="3572"/>
      <c r="BZ307" s="3572"/>
      <c r="CA307" s="3572"/>
      <c r="CB307" s="3572"/>
      <c r="CC307" s="3572"/>
      <c r="CD307" s="3572"/>
      <c r="CE307" s="3572"/>
      <c r="CF307" s="3572"/>
      <c r="CG307" s="3572"/>
      <c r="CH307" s="3572"/>
      <c r="CI307" s="3572"/>
      <c r="CJ307" s="3572"/>
      <c r="CK307" s="3572"/>
      <c r="CL307" s="3572"/>
      <c r="CM307" s="3572"/>
      <c r="CN307" s="3572"/>
      <c r="CO307" s="3572"/>
      <c r="CP307" s="3572"/>
      <c r="CQ307" s="3572"/>
      <c r="CR307" s="3581"/>
      <c r="CS307" s="3728"/>
      <c r="CT307" s="3728" t="str">
        <f>IF(T307="","",T307)</f>
        <v>Добавить централизованную систему для дифференциации</v>
      </c>
      <c r="CU307" s="3728"/>
      <c r="CV307" s="3728"/>
    </row>
    <row s="7534" customFormat="1" customHeight="1" ht="21">
      <c r="A308" s="3716"/>
      <c r="B308" s="3716" t="s">
        <v>323</v>
      </c>
      <c r="C308" s="3716"/>
      <c r="D308" s="3716"/>
      <c r="E308" s="3717"/>
      <c r="F308" s="3718" t="s">
        <v>180</v>
      </c>
      <c r="G308" s="3716"/>
      <c r="H308" s="3716"/>
      <c r="I308" s="3716"/>
      <c r="J308" s="3716"/>
      <c r="K308" s="3716"/>
      <c r="L308" s="3719"/>
      <c r="M308" s="3720"/>
      <c r="N308" s="3720"/>
      <c r="O308" s="3720"/>
      <c r="P308" s="4073"/>
      <c r="Q308" s="3722"/>
      <c r="R308" s="3723"/>
      <c r="S308" s="3724" t="str">
        <f>INDEX(PT_DIFFERENTIATION_NUM_TER,MATCH(B308,PT_DIFFERENTIATION_TER_ID,0))</f>
        <v>1.19</v>
      </c>
      <c r="T308" s="4074" t="s">
        <v>612</v>
      </c>
      <c r="U308" s="3726"/>
      <c r="V308" s="3432"/>
      <c r="W308" s="3433"/>
      <c r="X308" s="3433"/>
      <c r="Y308" s="3433"/>
      <c r="Z308" s="3433"/>
      <c r="AA308" s="3433"/>
      <c r="AB308" s="3433"/>
      <c r="AC308" s="3434"/>
      <c r="AD308" s="3432" t="str">
        <f>INDEX(PT_DIFFERENTIATION_TER,MATCH(B308,PT_DIFFERENTIATION_TER_ID,0))</f>
        <v>Территория 19</v>
      </c>
      <c r="AE308" s="3433"/>
      <c r="AF308" s="3433"/>
      <c r="AG308" s="3433"/>
      <c r="AH308" s="3433"/>
      <c r="AI308" s="3433"/>
      <c r="AJ308" s="3433"/>
      <c r="AK308" s="3433"/>
      <c r="AL308" s="3432"/>
      <c r="AM308" s="3433"/>
      <c r="AN308" s="3433"/>
      <c r="AO308" s="3433"/>
      <c r="AP308" s="3433"/>
      <c r="AQ308" s="3433"/>
      <c r="AR308" s="3433"/>
      <c r="AS308" s="3434"/>
      <c r="AT308" s="3432"/>
      <c r="AU308" s="3433"/>
      <c r="AV308" s="3433"/>
      <c r="AW308" s="3433"/>
      <c r="AX308" s="3433"/>
      <c r="AY308" s="3433"/>
      <c r="AZ308" s="3433"/>
      <c r="BA308" s="3434"/>
      <c r="BB308" s="3432"/>
      <c r="BC308" s="3433"/>
      <c r="BD308" s="3433"/>
      <c r="BE308" s="3433"/>
      <c r="BF308" s="3433"/>
      <c r="BG308" s="3433"/>
      <c r="BH308" s="3433"/>
      <c r="BI308" s="3434"/>
      <c r="BJ308" s="3432"/>
      <c r="BK308" s="3433"/>
      <c r="BL308" s="3433"/>
      <c r="BM308" s="3433"/>
      <c r="BN308" s="3433"/>
      <c r="BO308" s="3433"/>
      <c r="BP308" s="3433"/>
      <c r="BQ308" s="3434"/>
      <c r="BR308" s="3432"/>
      <c r="BS308" s="3433"/>
      <c r="BT308" s="3433"/>
      <c r="BU308" s="3433"/>
      <c r="BV308" s="3433"/>
      <c r="BW308" s="3433"/>
      <c r="BX308" s="3433"/>
      <c r="BY308" s="3434"/>
      <c r="BZ308" s="3432"/>
      <c r="CA308" s="3433"/>
      <c r="CB308" s="3433"/>
      <c r="CC308" s="3433"/>
      <c r="CD308" s="3433"/>
      <c r="CE308" s="3433"/>
      <c r="CF308" s="3433"/>
      <c r="CG308" s="3434"/>
      <c r="CH308" s="3432"/>
      <c r="CI308" s="3433"/>
      <c r="CJ308" s="3433"/>
      <c r="CK308" s="3433"/>
      <c r="CL308" s="3433"/>
      <c r="CM308" s="3433"/>
      <c r="CN308" s="3433"/>
      <c r="CO308" s="3434"/>
      <c r="CP308" s="3434"/>
      <c r="CQ308" s="3727" t="s">
        <v>613</v>
      </c>
      <c r="CR308" s="3581"/>
      <c r="CS308" s="3728"/>
      <c r="CT308" s="3728" t="str">
        <f>IF(T308="","",T308)</f>
        <v>Территория действия тарифа</v>
      </c>
      <c r="CU308" s="3728"/>
      <c r="CV308" s="3728"/>
    </row>
    <row s="7535" customFormat="1" customHeight="1" ht="23.25">
      <c r="A309" s="3716"/>
      <c r="B309" s="3716"/>
      <c r="C309" s="3716" t="s">
        <v>324</v>
      </c>
      <c r="D309" s="3716"/>
      <c r="E309" s="3717"/>
      <c r="F309" s="3717" t="s">
        <v>175</v>
      </c>
      <c r="G309" s="3718">
        <v>1</v>
      </c>
      <c r="H309" s="3716"/>
      <c r="I309" s="3716"/>
      <c r="J309" s="3716"/>
      <c r="K309" s="3716"/>
      <c r="L309" s="3719"/>
      <c r="M309" s="3720"/>
      <c r="N309" s="3720"/>
      <c r="O309" s="3720"/>
      <c r="P309" s="3721"/>
      <c r="Q309" s="3722"/>
      <c r="R309" s="3723"/>
      <c r="S309" s="3724" t="str">
        <f>INDEX(PT_DIFFERENTIATION_NUM_CS,MATCH(C309,PT_DIFFERENTIATION_CS_ID,0))</f>
        <v>1.19.1</v>
      </c>
      <c r="T309" s="4076" t="s">
        <v>614</v>
      </c>
      <c r="U309" s="3726"/>
      <c r="V309" s="3432"/>
      <c r="W309" s="3433"/>
      <c r="X309" s="3433"/>
      <c r="Y309" s="3433"/>
      <c r="Z309" s="3433"/>
      <c r="AA309" s="3433"/>
      <c r="AB309" s="3433"/>
      <c r="AC309" s="3434"/>
      <c r="AD309" s="3432" t="str">
        <f>INDEX(PT_DIFFERENTIATION_CS,MATCH(C309,PT_DIFFERENTIATION_CS_ID,0))</f>
        <v>без дифференциации</v>
      </c>
      <c r="AE309" s="3433"/>
      <c r="AF309" s="3433"/>
      <c r="AG309" s="3433"/>
      <c r="AH309" s="3433"/>
      <c r="AI309" s="3433"/>
      <c r="AJ309" s="3433"/>
      <c r="AK309" s="3433"/>
      <c r="AL309" s="3432"/>
      <c r="AM309" s="3433"/>
      <c r="AN309" s="3433"/>
      <c r="AO309" s="3433"/>
      <c r="AP309" s="3433"/>
      <c r="AQ309" s="3433"/>
      <c r="AR309" s="3433"/>
      <c r="AS309" s="3434"/>
      <c r="AT309" s="3432"/>
      <c r="AU309" s="3433"/>
      <c r="AV309" s="3433"/>
      <c r="AW309" s="3433"/>
      <c r="AX309" s="3433"/>
      <c r="AY309" s="3433"/>
      <c r="AZ309" s="3433"/>
      <c r="BA309" s="3434"/>
      <c r="BB309" s="3432"/>
      <c r="BC309" s="3433"/>
      <c r="BD309" s="3433"/>
      <c r="BE309" s="3433"/>
      <c r="BF309" s="3433"/>
      <c r="BG309" s="3433"/>
      <c r="BH309" s="3433"/>
      <c r="BI309" s="3434"/>
      <c r="BJ309" s="3432"/>
      <c r="BK309" s="3433"/>
      <c r="BL309" s="3433"/>
      <c r="BM309" s="3433"/>
      <c r="BN309" s="3433"/>
      <c r="BO309" s="3433"/>
      <c r="BP309" s="3433"/>
      <c r="BQ309" s="3434"/>
      <c r="BR309" s="3432"/>
      <c r="BS309" s="3433"/>
      <c r="BT309" s="3433"/>
      <c r="BU309" s="3433"/>
      <c r="BV309" s="3433"/>
      <c r="BW309" s="3433"/>
      <c r="BX309" s="3433"/>
      <c r="BY309" s="3434"/>
      <c r="BZ309" s="3432"/>
      <c r="CA309" s="3433"/>
      <c r="CB309" s="3433"/>
      <c r="CC309" s="3433"/>
      <c r="CD309" s="3433"/>
      <c r="CE309" s="3433"/>
      <c r="CF309" s="3433"/>
      <c r="CG309" s="3434"/>
      <c r="CH309" s="3432"/>
      <c r="CI309" s="3433"/>
      <c r="CJ309" s="3433"/>
      <c r="CK309" s="3433"/>
      <c r="CL309" s="3433"/>
      <c r="CM309" s="3433"/>
      <c r="CN309" s="3433"/>
      <c r="CO309" s="3434"/>
      <c r="CP309" s="3434"/>
      <c r="CQ309" s="3727" t="s">
        <v>615</v>
      </c>
      <c r="CR309" s="3581"/>
      <c r="CS309" s="3728"/>
      <c r="CT309" s="3728" t="str">
        <f>IF(T309="","",T309)</f>
        <v>Наименование системы теплоснабжения </v>
      </c>
      <c r="CU309" s="3728"/>
      <c r="CV309" s="3728"/>
    </row>
    <row s="7536" customFormat="1" customHeight="1" ht="21">
      <c r="A310" s="3716"/>
      <c r="B310" s="3716"/>
      <c r="C310" s="3716"/>
      <c r="D310" s="3716" t="s">
        <v>325</v>
      </c>
      <c r="E310" s="3717"/>
      <c r="F310" s="3717" t="s">
        <v>175</v>
      </c>
      <c r="G310" s="3717"/>
      <c r="H310" s="3718">
        <v>1</v>
      </c>
      <c r="I310" s="3716"/>
      <c r="J310" s="3716"/>
      <c r="K310" s="3716"/>
      <c r="L310" s="3719"/>
      <c r="M310" s="3720"/>
      <c r="N310" s="3720"/>
      <c r="O310" s="3720"/>
      <c r="P310" s="3721"/>
      <c r="Q310" s="3722"/>
      <c r="R310" s="3723"/>
      <c r="S310" s="3724" t="str">
        <f>INDEX(PT_DIFFERENTIATION_NUM_IST_TE,MATCH(D310,PT_DIFFERENTIATION_IST_TE_ID,0))</f>
        <v>1.19.1.1</v>
      </c>
      <c r="T310" s="3725" t="s">
        <v>616</v>
      </c>
      <c r="U310" s="3726"/>
      <c r="V310" s="3432"/>
      <c r="W310" s="3433"/>
      <c r="X310" s="3433"/>
      <c r="Y310" s="3433"/>
      <c r="Z310" s="3433"/>
      <c r="AA310" s="3433"/>
      <c r="AB310" s="3433"/>
      <c r="AC310" s="3434"/>
      <c r="AD310" s="3432" t="str">
        <f>INDEX(PT_DIFFERENTIATION_IST_TE,MATCH(D310,PT_DIFFERENTIATION_IST_TE_ID,0))</f>
        <v>без дифференциации</v>
      </c>
      <c r="AE310" s="3433"/>
      <c r="AF310" s="3433"/>
      <c r="AG310" s="3433"/>
      <c r="AH310" s="3433"/>
      <c r="AI310" s="3433"/>
      <c r="AJ310" s="3433"/>
      <c r="AK310" s="3433"/>
      <c r="AL310" s="3432"/>
      <c r="AM310" s="3433"/>
      <c r="AN310" s="3433"/>
      <c r="AO310" s="3433"/>
      <c r="AP310" s="3433"/>
      <c r="AQ310" s="3433"/>
      <c r="AR310" s="3433"/>
      <c r="AS310" s="3434"/>
      <c r="AT310" s="3432"/>
      <c r="AU310" s="3433"/>
      <c r="AV310" s="3433"/>
      <c r="AW310" s="3433"/>
      <c r="AX310" s="3433"/>
      <c r="AY310" s="3433"/>
      <c r="AZ310" s="3433"/>
      <c r="BA310" s="3434"/>
      <c r="BB310" s="3432"/>
      <c r="BC310" s="3433"/>
      <c r="BD310" s="3433"/>
      <c r="BE310" s="3433"/>
      <c r="BF310" s="3433"/>
      <c r="BG310" s="3433"/>
      <c r="BH310" s="3433"/>
      <c r="BI310" s="3434"/>
      <c r="BJ310" s="3432"/>
      <c r="BK310" s="3433"/>
      <c r="BL310" s="3433"/>
      <c r="BM310" s="3433"/>
      <c r="BN310" s="3433"/>
      <c r="BO310" s="3433"/>
      <c r="BP310" s="3433"/>
      <c r="BQ310" s="3434"/>
      <c r="BR310" s="3432"/>
      <c r="BS310" s="3433"/>
      <c r="BT310" s="3433"/>
      <c r="BU310" s="3433"/>
      <c r="BV310" s="3433"/>
      <c r="BW310" s="3433"/>
      <c r="BX310" s="3433"/>
      <c r="BY310" s="3434"/>
      <c r="BZ310" s="3432"/>
      <c r="CA310" s="3433"/>
      <c r="CB310" s="3433"/>
      <c r="CC310" s="3433"/>
      <c r="CD310" s="3433"/>
      <c r="CE310" s="3433"/>
      <c r="CF310" s="3433"/>
      <c r="CG310" s="3434"/>
      <c r="CH310" s="3432"/>
      <c r="CI310" s="3433"/>
      <c r="CJ310" s="3433"/>
      <c r="CK310" s="3433"/>
      <c r="CL310" s="3433"/>
      <c r="CM310" s="3433"/>
      <c r="CN310" s="3433"/>
      <c r="CO310" s="3434"/>
      <c r="CP310" s="3434"/>
      <c r="CQ310" s="3727" t="s">
        <v>617</v>
      </c>
      <c r="CR310" s="3581"/>
      <c r="CS310" s="3728"/>
      <c r="CT310" s="3728" t="str">
        <f>IF(T310="","",T310)</f>
        <v>Источник тепловой энергии  </v>
      </c>
      <c r="CU310" s="3728"/>
      <c r="CV310" s="3728"/>
    </row>
    <row s="7537" customFormat="1" customHeight="1" ht="14.25">
      <c r="A311" s="3716"/>
      <c r="B311" s="3716"/>
      <c r="C311" s="3716"/>
      <c r="D311" s="3716"/>
      <c r="E311" s="3717"/>
      <c r="F311" s="3717" t="s">
        <v>175</v>
      </c>
      <c r="G311" s="3717"/>
      <c r="H311" s="3717"/>
      <c r="I311" s="3730" t="str">
        <f>S310&amp;".1"</f>
        <v>1.19.1.1.1</v>
      </c>
      <c r="J311" s="3716"/>
      <c r="K311" s="3716"/>
      <c r="L311" s="3719" t="s">
        <v>618</v>
      </c>
      <c r="M311" s="3573"/>
      <c r="N311" s="3731"/>
      <c r="O311" s="3731"/>
      <c r="P311" s="3732">
        <v>1</v>
      </c>
      <c r="Q311" s="3732"/>
      <c r="R311" s="3733"/>
      <c r="S311" s="3734"/>
      <c r="T311" s="3735"/>
      <c r="U311" s="3736"/>
      <c r="V311" s="3441"/>
      <c r="W311" s="3442"/>
      <c r="X311" s="3442"/>
      <c r="Y311" s="3442"/>
      <c r="Z311" s="3442"/>
      <c r="AA311" s="3442"/>
      <c r="AB311" s="3442"/>
      <c r="AC311" s="3443"/>
      <c r="AD311" s="3441"/>
      <c r="AE311" s="3442"/>
      <c r="AF311" s="3442"/>
      <c r="AG311" s="3442"/>
      <c r="AH311" s="3442"/>
      <c r="AI311" s="3442"/>
      <c r="AJ311" s="3442"/>
      <c r="AK311" s="3442"/>
      <c r="AL311" s="3441"/>
      <c r="AM311" s="3442"/>
      <c r="AN311" s="3442"/>
      <c r="AO311" s="3442"/>
      <c r="AP311" s="3442"/>
      <c r="AQ311" s="3442"/>
      <c r="AR311" s="3442"/>
      <c r="AS311" s="3443"/>
      <c r="AT311" s="3441"/>
      <c r="AU311" s="3442"/>
      <c r="AV311" s="3442"/>
      <c r="AW311" s="3442"/>
      <c r="AX311" s="3442"/>
      <c r="AY311" s="3442"/>
      <c r="AZ311" s="3442"/>
      <c r="BA311" s="3443"/>
      <c r="BB311" s="3441"/>
      <c r="BC311" s="3442"/>
      <c r="BD311" s="3442"/>
      <c r="BE311" s="3442"/>
      <c r="BF311" s="3442"/>
      <c r="BG311" s="3442"/>
      <c r="BH311" s="3442"/>
      <c r="BI311" s="3443"/>
      <c r="BJ311" s="3441"/>
      <c r="BK311" s="3442"/>
      <c r="BL311" s="3442"/>
      <c r="BM311" s="3442"/>
      <c r="BN311" s="3442"/>
      <c r="BO311" s="3442"/>
      <c r="BP311" s="3442"/>
      <c r="BQ311" s="3443"/>
      <c r="BR311" s="3441"/>
      <c r="BS311" s="3442"/>
      <c r="BT311" s="3442"/>
      <c r="BU311" s="3442"/>
      <c r="BV311" s="3442"/>
      <c r="BW311" s="3442"/>
      <c r="BX311" s="3442"/>
      <c r="BY311" s="3443"/>
      <c r="BZ311" s="3441"/>
      <c r="CA311" s="3442"/>
      <c r="CB311" s="3442"/>
      <c r="CC311" s="3442"/>
      <c r="CD311" s="3442"/>
      <c r="CE311" s="3442"/>
      <c r="CF311" s="3442"/>
      <c r="CG311" s="3443"/>
      <c r="CH311" s="3441"/>
      <c r="CI311" s="3442"/>
      <c r="CJ311" s="3442"/>
      <c r="CK311" s="3442"/>
      <c r="CL311" s="3442"/>
      <c r="CM311" s="3442"/>
      <c r="CN311" s="3442"/>
      <c r="CO311" s="3443"/>
      <c r="CP311" s="3443"/>
      <c r="CQ311" s="3737"/>
      <c r="CR311" s="3581"/>
      <c r="CS311" s="3728"/>
      <c r="CT311" s="3728" t="str">
        <f>IF(T311="","",T311)</f>
        <v/>
      </c>
      <c r="CU311" s="3728"/>
      <c r="CV311" s="3728"/>
    </row>
    <row s="7538" customFormat="1" customHeight="1" ht="21">
      <c r="A312" s="3716"/>
      <c r="B312" s="3716"/>
      <c r="C312" s="3716"/>
      <c r="D312" s="3716"/>
      <c r="E312" s="3717"/>
      <c r="F312" s="3717" t="s">
        <v>175</v>
      </c>
      <c r="G312" s="3717"/>
      <c r="H312" s="3717"/>
      <c r="I312" s="3739"/>
      <c r="J312" s="3730" t="str">
        <f>I311&amp;".1"</f>
        <v>1.19.1.1.1.1</v>
      </c>
      <c r="K312" s="3716"/>
      <c r="L312" s="3719" t="s">
        <v>621</v>
      </c>
      <c r="M312" s="3573"/>
      <c r="N312" s="3573"/>
      <c r="O312" s="3731"/>
      <c r="P312" s="3732"/>
      <c r="Q312" s="3732">
        <v>1</v>
      </c>
      <c r="R312" s="3740"/>
      <c r="S312" s="3724" t="str">
        <f>$J312</f>
        <v>1.19.1.1.1.1</v>
      </c>
      <c r="T312" s="3741" t="s">
        <v>622</v>
      </c>
      <c r="U312" s="3726"/>
      <c r="V312" s="3445"/>
      <c r="W312" s="3446"/>
      <c r="X312" s="3446"/>
      <c r="Y312" s="3446"/>
      <c r="Z312" s="3446"/>
      <c r="AA312" s="3446"/>
      <c r="AB312" s="3446"/>
      <c r="AC312" s="3447"/>
      <c r="AD312" s="3445" t="s">
        <v>662</v>
      </c>
      <c r="AE312" s="3446"/>
      <c r="AF312" s="3446"/>
      <c r="AG312" s="3446"/>
      <c r="AH312" s="3446"/>
      <c r="AI312" s="3446"/>
      <c r="AJ312" s="3446"/>
      <c r="AK312" s="3446"/>
      <c r="AL312" s="3445"/>
      <c r="AM312" s="3446"/>
      <c r="AN312" s="3446"/>
      <c r="AO312" s="3446"/>
      <c r="AP312" s="3446"/>
      <c r="AQ312" s="3446"/>
      <c r="AR312" s="3446"/>
      <c r="AS312" s="3447"/>
      <c r="AT312" s="3445"/>
      <c r="AU312" s="3446"/>
      <c r="AV312" s="3446"/>
      <c r="AW312" s="3446"/>
      <c r="AX312" s="3446"/>
      <c r="AY312" s="3446"/>
      <c r="AZ312" s="3446"/>
      <c r="BA312" s="3447"/>
      <c r="BB312" s="3445"/>
      <c r="BC312" s="3446"/>
      <c r="BD312" s="3446"/>
      <c r="BE312" s="3446"/>
      <c r="BF312" s="3446"/>
      <c r="BG312" s="3446"/>
      <c r="BH312" s="3446"/>
      <c r="BI312" s="3447"/>
      <c r="BJ312" s="3445"/>
      <c r="BK312" s="3446"/>
      <c r="BL312" s="3446"/>
      <c r="BM312" s="3446"/>
      <c r="BN312" s="3446"/>
      <c r="BO312" s="3446"/>
      <c r="BP312" s="3446"/>
      <c r="BQ312" s="3447"/>
      <c r="BR312" s="3445"/>
      <c r="BS312" s="3446"/>
      <c r="BT312" s="3446"/>
      <c r="BU312" s="3446"/>
      <c r="BV312" s="3446"/>
      <c r="BW312" s="3446"/>
      <c r="BX312" s="3446"/>
      <c r="BY312" s="3447"/>
      <c r="BZ312" s="3445"/>
      <c r="CA312" s="3446"/>
      <c r="CB312" s="3446"/>
      <c r="CC312" s="3446"/>
      <c r="CD312" s="3446"/>
      <c r="CE312" s="3446"/>
      <c r="CF312" s="3446"/>
      <c r="CG312" s="3447"/>
      <c r="CH312" s="3445"/>
      <c r="CI312" s="3446"/>
      <c r="CJ312" s="3446"/>
      <c r="CK312" s="3446"/>
      <c r="CL312" s="3446"/>
      <c r="CM312" s="3446"/>
      <c r="CN312" s="3446"/>
      <c r="CO312" s="3447"/>
      <c r="CP312" s="3447"/>
      <c r="CQ312" s="3727" t="s">
        <v>623</v>
      </c>
      <c r="CR312" s="3581"/>
      <c r="CS312" s="3728"/>
      <c r="CT312" s="3728" t="str">
        <f>IF(T312="","",T312)</f>
        <v>Группа потребителей</v>
      </c>
      <c r="CU312" s="3728"/>
      <c r="CV312" s="3728"/>
    </row>
    <row s="7539" customFormat="1" customHeight="1" ht="21">
      <c r="A313" s="3716"/>
      <c r="B313" s="3716"/>
      <c r="C313" s="3716"/>
      <c r="D313" s="3716"/>
      <c r="E313" s="3717"/>
      <c r="F313" s="3717" t="s">
        <v>175</v>
      </c>
      <c r="G313" s="3717"/>
      <c r="H313" s="3717"/>
      <c r="I313" s="3739"/>
      <c r="J313" s="3739"/>
      <c r="K313" s="3730" t="str">
        <f>J312&amp;".1"</f>
        <v>1.19.1.1.1.1.1</v>
      </c>
      <c r="L313" s="3719" t="s">
        <v>624</v>
      </c>
      <c r="M313" s="3573"/>
      <c r="N313" s="3573"/>
      <c r="O313" s="3573"/>
      <c r="P313" s="3732"/>
      <c r="Q313" s="3732"/>
      <c r="R313" s="3740">
        <v>1</v>
      </c>
      <c r="S313" s="3724" t="str">
        <f>$K313</f>
        <v>1.19.1.1.1.1.1</v>
      </c>
      <c r="T313" s="3743" t="s">
        <v>663</v>
      </c>
      <c r="U313" s="3726"/>
      <c r="V313" s="3448"/>
      <c r="W313" s="3449"/>
      <c r="X313" s="3448"/>
      <c r="Y313" s="3450"/>
      <c r="Z313" s="3451"/>
      <c r="AA313" s="2872" t="s">
        <v>63</v>
      </c>
      <c r="AB313" s="3451"/>
      <c r="AC313" s="2872" t="s">
        <v>63</v>
      </c>
      <c r="AD313" s="3448">
        <v>35.06</v>
      </c>
      <c r="AE313" s="3449"/>
      <c r="AF313" s="3448"/>
      <c r="AG313" s="3450"/>
      <c r="AH313" s="3451">
        <v>44197</v>
      </c>
      <c r="AI313" s="2872" t="s">
        <v>63</v>
      </c>
      <c r="AJ313" s="3451">
        <v>44377</v>
      </c>
      <c r="AK313" s="2872" t="s">
        <v>63</v>
      </c>
      <c r="AL313" s="3448">
        <v>36.17</v>
      </c>
      <c r="AM313" s="3449"/>
      <c r="AN313" s="3448"/>
      <c r="AO313" s="3450"/>
      <c r="AP313" s="3451">
        <v>44378</v>
      </c>
      <c r="AQ313" s="2872" t="s">
        <v>63</v>
      </c>
      <c r="AR313" s="3451">
        <v>44561</v>
      </c>
      <c r="AS313" s="2872" t="s">
        <v>63</v>
      </c>
      <c r="AT313" s="3448">
        <v>36.17</v>
      </c>
      <c r="AU313" s="3449"/>
      <c r="AV313" s="3448"/>
      <c r="AW313" s="3450"/>
      <c r="AX313" s="3451">
        <v>44562</v>
      </c>
      <c r="AY313" s="2872" t="s">
        <v>63</v>
      </c>
      <c r="AZ313" s="3451">
        <v>44601</v>
      </c>
      <c r="BA313" s="2872" t="s">
        <v>63</v>
      </c>
      <c r="BB313" s="3448">
        <v>39.38</v>
      </c>
      <c r="BC313" s="3449"/>
      <c r="BD313" s="3448"/>
      <c r="BE313" s="3450"/>
      <c r="BF313" s="3451">
        <v>44602</v>
      </c>
      <c r="BG313" s="2872" t="s">
        <v>63</v>
      </c>
      <c r="BH313" s="3451">
        <v>44742</v>
      </c>
      <c r="BI313" s="2872" t="s">
        <v>63</v>
      </c>
      <c r="BJ313" s="3448">
        <v>39.38</v>
      </c>
      <c r="BK313" s="3449"/>
      <c r="BL313" s="3448"/>
      <c r="BM313" s="3450"/>
      <c r="BN313" s="3451">
        <v>44743</v>
      </c>
      <c r="BO313" s="2872" t="s">
        <v>63</v>
      </c>
      <c r="BP313" s="3451">
        <v>44804</v>
      </c>
      <c r="BQ313" s="2872" t="s">
        <v>63</v>
      </c>
      <c r="BR313" s="3448">
        <v>39.38</v>
      </c>
      <c r="BS313" s="3449"/>
      <c r="BT313" s="3448"/>
      <c r="BU313" s="3450"/>
      <c r="BV313" s="3451">
        <v>44805</v>
      </c>
      <c r="BW313" s="2872" t="s">
        <v>63</v>
      </c>
      <c r="BX313" s="3451">
        <v>44895</v>
      </c>
      <c r="BY313" s="2872" t="s">
        <v>63</v>
      </c>
      <c r="BZ313" s="3448">
        <v>47.62</v>
      </c>
      <c r="CA313" s="3449"/>
      <c r="CB313" s="3448"/>
      <c r="CC313" s="3450"/>
      <c r="CD313" s="3451">
        <v>44896</v>
      </c>
      <c r="CE313" s="2872" t="s">
        <v>63</v>
      </c>
      <c r="CF313" s="3451">
        <v>45174</v>
      </c>
      <c r="CG313" s="2872" t="s">
        <v>63</v>
      </c>
      <c r="CH313" s="3448">
        <v>47.62</v>
      </c>
      <c r="CI313" s="3449"/>
      <c r="CJ313" s="3448"/>
      <c r="CK313" s="3450"/>
      <c r="CL313" s="3451">
        <v>45175</v>
      </c>
      <c r="CM313" s="2872" t="s">
        <v>63</v>
      </c>
      <c r="CN313" s="3451">
        <v>45291</v>
      </c>
      <c r="CO313" s="2872" t="s">
        <v>63</v>
      </c>
      <c r="CP313" s="3449"/>
      <c r="CQ313" s="3744" t="s">
        <v>625</v>
      </c>
      <c r="CR313" s="3581">
        <f>STRCHECKDATE(V314:CP314)</f>
      </c>
      <c r="CS313" s="3728"/>
      <c r="CT313" s="3728" t="str">
        <f>IF(T313="","",T313)</f>
        <v>вода</v>
      </c>
      <c r="CU313" s="3728"/>
      <c r="CV313" s="3728"/>
    </row>
    <row s="7540" customFormat="1" customHeight="1" ht="0.75">
      <c r="A314" s="3716"/>
      <c r="B314" s="3716"/>
      <c r="C314" s="3716"/>
      <c r="D314" s="3716"/>
      <c r="E314" s="3717"/>
      <c r="F314" s="3717" t="s">
        <v>175</v>
      </c>
      <c r="G314" s="3717"/>
      <c r="H314" s="3717"/>
      <c r="I314" s="3739"/>
      <c r="J314" s="3739"/>
      <c r="K314" s="3730"/>
      <c r="L314" s="3719"/>
      <c r="M314" s="3573"/>
      <c r="N314" s="3573"/>
      <c r="O314" s="3573"/>
      <c r="P314" s="3732"/>
      <c r="Q314" s="3732"/>
      <c r="R314" s="3740"/>
      <c r="S314" s="3746"/>
      <c r="T314" s="3726"/>
      <c r="U314" s="3726"/>
      <c r="V314" s="3449"/>
      <c r="W314" s="3449"/>
      <c r="X314" s="3449"/>
      <c r="Y314" s="3452" t="str">
        <f>Z313&amp;"-"&amp;AB313</f>
        <v>-</v>
      </c>
      <c r="Z314" s="3453"/>
      <c r="AA314" s="2872"/>
      <c r="AB314" s="3453"/>
      <c r="AC314" s="2872"/>
      <c r="AD314" s="3449"/>
      <c r="AE314" s="3449"/>
      <c r="AF314" s="3449"/>
      <c r="AG314" s="3452" t="str">
        <f>AH313&amp;"-"&amp;AJ313</f>
        <v>44197-44377</v>
      </c>
      <c r="AH314" s="3453"/>
      <c r="AI314" s="2872"/>
      <c r="AJ314" s="3453"/>
      <c r="AK314" s="2872"/>
      <c r="AL314" s="3449"/>
      <c r="AM314" s="3449"/>
      <c r="AN314" s="3449"/>
      <c r="AO314" s="3452" t="str">
        <f>AP313&amp;"-"&amp;AR313</f>
        <v>44378-44561</v>
      </c>
      <c r="AP314" s="3453"/>
      <c r="AQ314" s="2872"/>
      <c r="AR314" s="3453"/>
      <c r="AS314" s="2872"/>
      <c r="AT314" s="3449"/>
      <c r="AU314" s="3449"/>
      <c r="AV314" s="3449"/>
      <c r="AW314" s="3452" t="str">
        <f>AX313&amp;"-"&amp;AZ313</f>
        <v>44562-44601</v>
      </c>
      <c r="AX314" s="3453"/>
      <c r="AY314" s="2872"/>
      <c r="AZ314" s="3453"/>
      <c r="BA314" s="2872"/>
      <c r="BB314" s="3449"/>
      <c r="BC314" s="3449"/>
      <c r="BD314" s="3449"/>
      <c r="BE314" s="3452" t="str">
        <f>BF313&amp;"-"&amp;BH313</f>
        <v>44602-44742</v>
      </c>
      <c r="BF314" s="3453"/>
      <c r="BG314" s="2872"/>
      <c r="BH314" s="3453"/>
      <c r="BI314" s="2872"/>
      <c r="BJ314" s="3449"/>
      <c r="BK314" s="3449"/>
      <c r="BL314" s="3449"/>
      <c r="BM314" s="3452" t="str">
        <f>BN313&amp;"-"&amp;BP313</f>
        <v>44743-44804</v>
      </c>
      <c r="BN314" s="3453"/>
      <c r="BO314" s="2872"/>
      <c r="BP314" s="3453"/>
      <c r="BQ314" s="2872"/>
      <c r="BR314" s="3449"/>
      <c r="BS314" s="3449"/>
      <c r="BT314" s="3449"/>
      <c r="BU314" s="3452" t="str">
        <f>BV313&amp;"-"&amp;BX313</f>
        <v>44805-44895</v>
      </c>
      <c r="BV314" s="3453"/>
      <c r="BW314" s="2872"/>
      <c r="BX314" s="3453"/>
      <c r="BY314" s="2872"/>
      <c r="BZ314" s="3449"/>
      <c r="CA314" s="3449"/>
      <c r="CB314" s="3449"/>
      <c r="CC314" s="3452" t="str">
        <f>CD313&amp;"-"&amp;CF313</f>
        <v>44896-45174</v>
      </c>
      <c r="CD314" s="3453"/>
      <c r="CE314" s="2872"/>
      <c r="CF314" s="3453"/>
      <c r="CG314" s="2872"/>
      <c r="CH314" s="3449"/>
      <c r="CI314" s="3449"/>
      <c r="CJ314" s="3449"/>
      <c r="CK314" s="3452" t="str">
        <f>CL313&amp;"-"&amp;CN313</f>
        <v>45175-45291</v>
      </c>
      <c r="CL314" s="3453"/>
      <c r="CM314" s="2872"/>
      <c r="CN314" s="3453"/>
      <c r="CO314" s="2872"/>
      <c r="CP314" s="3449"/>
      <c r="CQ314" s="3747"/>
      <c r="CR314" s="3581"/>
      <c r="CS314" s="3728"/>
      <c r="CT314" s="3728" t="str">
        <f>IF(T314="","",T314)</f>
        <v/>
      </c>
      <c r="CU314" s="3728"/>
      <c r="CV314" s="3728"/>
    </row>
    <row s="7541" customFormat="1" customHeight="1" ht="15">
      <c r="A315" s="3716"/>
      <c r="B315" s="3716"/>
      <c r="C315" s="3716"/>
      <c r="D315" s="3716"/>
      <c r="E315" s="3717"/>
      <c r="F315" s="3717" t="s">
        <v>175</v>
      </c>
      <c r="G315" s="3717"/>
      <c r="H315" s="3717"/>
      <c r="I315" s="3739"/>
      <c r="J315" s="3730"/>
      <c r="K315" s="3716"/>
      <c r="L315" s="3719"/>
      <c r="M315" s="3573"/>
      <c r="N315" s="3573"/>
      <c r="O315" s="3731"/>
      <c r="P315" s="3732"/>
      <c r="Q315" s="3732"/>
      <c r="R315" s="3733"/>
      <c r="S315" s="7542"/>
      <c r="T315" s="7543" t="s">
        <v>626</v>
      </c>
      <c r="U315" s="7544"/>
      <c r="V315" s="7545"/>
      <c r="W315" s="7546"/>
      <c r="X315" s="7547"/>
      <c r="Y315" s="7548"/>
      <c r="Z315" s="7549"/>
      <c r="AA315" s="7550"/>
      <c r="AB315" s="7551"/>
      <c r="AC315" s="7552"/>
      <c r="AD315" s="7553"/>
      <c r="AE315" s="7554"/>
      <c r="AF315" s="7555"/>
      <c r="AG315" s="7556"/>
      <c r="AH315" s="7557"/>
      <c r="AI315" s="7558"/>
      <c r="AJ315" s="7559"/>
      <c r="AK315" s="7560"/>
      <c r="AL315" s="7561"/>
      <c r="AM315" s="7562"/>
      <c r="AN315" s="7563"/>
      <c r="AO315" s="7564"/>
      <c r="AP315" s="7565"/>
      <c r="AQ315" s="7566"/>
      <c r="AR315" s="7567"/>
      <c r="AS315" s="7568"/>
      <c r="AT315" s="7569"/>
      <c r="AU315" s="7570"/>
      <c r="AV315" s="7571"/>
      <c r="AW315" s="7572"/>
      <c r="AX315" s="7573"/>
      <c r="AY315" s="7574"/>
      <c r="AZ315" s="7575"/>
      <c r="BA315" s="7576"/>
      <c r="BB315" s="7577"/>
      <c r="BC315" s="7578"/>
      <c r="BD315" s="7579"/>
      <c r="BE315" s="7580"/>
      <c r="BF315" s="7581"/>
      <c r="BG315" s="7582"/>
      <c r="BH315" s="7583"/>
      <c r="BI315" s="7584"/>
      <c r="BJ315" s="7585"/>
      <c r="BK315" s="7586"/>
      <c r="BL315" s="7587"/>
      <c r="BM315" s="7588"/>
      <c r="BN315" s="7589"/>
      <c r="BO315" s="7590"/>
      <c r="BP315" s="7591"/>
      <c r="BQ315" s="7592"/>
      <c r="BR315" s="7593"/>
      <c r="BS315" s="7594"/>
      <c r="BT315" s="7595"/>
      <c r="BU315" s="7596"/>
      <c r="BV315" s="7597"/>
      <c r="BW315" s="7598"/>
      <c r="BX315" s="7599"/>
      <c r="BY315" s="7600"/>
      <c r="BZ315" s="7601"/>
      <c r="CA315" s="7602"/>
      <c r="CB315" s="7603"/>
      <c r="CC315" s="7604"/>
      <c r="CD315" s="7605"/>
      <c r="CE315" s="7606"/>
      <c r="CF315" s="7607"/>
      <c r="CG315" s="7608"/>
      <c r="CH315" s="7609"/>
      <c r="CI315" s="7610"/>
      <c r="CJ315" s="7611"/>
      <c r="CK315" s="7612"/>
      <c r="CL315" s="7613"/>
      <c r="CM315" s="7614"/>
      <c r="CN315" s="7615"/>
      <c r="CO315" s="7616"/>
      <c r="CP315" s="7617"/>
      <c r="CQ315" s="3825"/>
      <c r="CR315" s="3581"/>
      <c r="CS315" s="3728"/>
      <c r="CT315" s="3728" t="str">
        <f>IF(T315="","",T315)</f>
        <v>Добавить вид теплоносителя (параметры теплоносителя)</v>
      </c>
      <c r="CU315" s="3728"/>
      <c r="CV315" s="3728"/>
    </row>
    <row s="7618" customFormat="1" customHeight="1" ht="15">
      <c r="A316" s="3716"/>
      <c r="B316" s="3716"/>
      <c r="C316" s="3716"/>
      <c r="D316" s="3716"/>
      <c r="E316" s="3717"/>
      <c r="F316" s="3717" t="s">
        <v>175</v>
      </c>
      <c r="G316" s="3717"/>
      <c r="H316" s="3717"/>
      <c r="I316" s="3730"/>
      <c r="J316" s="3716"/>
      <c r="K316" s="3716"/>
      <c r="L316" s="3719"/>
      <c r="M316" s="3573"/>
      <c r="N316" s="3731"/>
      <c r="O316" s="3731"/>
      <c r="P316" s="3732"/>
      <c r="Q316" s="3732"/>
      <c r="R316" s="3733"/>
      <c r="S316" s="7619"/>
      <c r="T316" s="7620" t="s">
        <v>627</v>
      </c>
      <c r="U316" s="7621"/>
      <c r="V316" s="7622"/>
      <c r="W316" s="7623"/>
      <c r="X316" s="7624"/>
      <c r="Y316" s="7625"/>
      <c r="Z316" s="7626"/>
      <c r="AA316" s="7627"/>
      <c r="AB316" s="7628"/>
      <c r="AC316" s="7629"/>
      <c r="AD316" s="7630"/>
      <c r="AE316" s="7631"/>
      <c r="AF316" s="7632"/>
      <c r="AG316" s="7633"/>
      <c r="AH316" s="7634"/>
      <c r="AI316" s="7635"/>
      <c r="AJ316" s="7636"/>
      <c r="AK316" s="7637"/>
      <c r="AL316" s="7638"/>
      <c r="AM316" s="7639"/>
      <c r="AN316" s="7640"/>
      <c r="AO316" s="7641"/>
      <c r="AP316" s="7642"/>
      <c r="AQ316" s="7643"/>
      <c r="AR316" s="7644"/>
      <c r="AS316" s="7645"/>
      <c r="AT316" s="7646"/>
      <c r="AU316" s="7647"/>
      <c r="AV316" s="7648"/>
      <c r="AW316" s="7649"/>
      <c r="AX316" s="7650"/>
      <c r="AY316" s="7651"/>
      <c r="AZ316" s="7652"/>
      <c r="BA316" s="7653"/>
      <c r="BB316" s="7654"/>
      <c r="BC316" s="7655"/>
      <c r="BD316" s="7656"/>
      <c r="BE316" s="7657"/>
      <c r="BF316" s="7658"/>
      <c r="BG316" s="7659"/>
      <c r="BH316" s="7660"/>
      <c r="BI316" s="7661"/>
      <c r="BJ316" s="7662"/>
      <c r="BK316" s="7663"/>
      <c r="BL316" s="7664"/>
      <c r="BM316" s="7665"/>
      <c r="BN316" s="7666"/>
      <c r="BO316" s="7667"/>
      <c r="BP316" s="7668"/>
      <c r="BQ316" s="7669"/>
      <c r="BR316" s="7670"/>
      <c r="BS316" s="7671"/>
      <c r="BT316" s="7672"/>
      <c r="BU316" s="7673"/>
      <c r="BV316" s="7674"/>
      <c r="BW316" s="7675"/>
      <c r="BX316" s="7676"/>
      <c r="BY316" s="7677"/>
      <c r="BZ316" s="7678"/>
      <c r="CA316" s="7679"/>
      <c r="CB316" s="7680"/>
      <c r="CC316" s="7681"/>
      <c r="CD316" s="7682"/>
      <c r="CE316" s="7683"/>
      <c r="CF316" s="7684"/>
      <c r="CG316" s="7685"/>
      <c r="CH316" s="7686"/>
      <c r="CI316" s="7687"/>
      <c r="CJ316" s="7688"/>
      <c r="CK316" s="7689"/>
      <c r="CL316" s="7690"/>
      <c r="CM316" s="7691"/>
      <c r="CN316" s="7692"/>
      <c r="CO316" s="7693"/>
      <c r="CP316" s="7694"/>
      <c r="CQ316" s="7695"/>
      <c r="CR316" s="3581"/>
      <c r="CS316" s="3728"/>
      <c r="CT316" s="3728" t="str">
        <f>IF(T316="","",T316)</f>
        <v>Добавить группу потребителей</v>
      </c>
      <c r="CU316" s="3728"/>
      <c r="CV316" s="3728"/>
    </row>
    <row s="7696" customFormat="1" customHeight="1" ht="14.25">
      <c r="A317" s="3716"/>
      <c r="B317" s="3716"/>
      <c r="C317" s="3716"/>
      <c r="D317" s="3716"/>
      <c r="E317" s="3717"/>
      <c r="F317" s="3717" t="s">
        <v>175</v>
      </c>
      <c r="G317" s="3717"/>
      <c r="H317" s="3718"/>
      <c r="I317" s="3716"/>
      <c r="J317" s="3716"/>
      <c r="K317" s="3716"/>
      <c r="L317" s="3719"/>
      <c r="M317" s="3720"/>
      <c r="N317" s="3720"/>
      <c r="O317" s="3573"/>
      <c r="P317" s="3905"/>
      <c r="Q317" s="3906"/>
      <c r="R317" s="3907"/>
      <c r="S317" s="3908"/>
      <c r="T317" s="3909"/>
      <c r="U317" s="3569"/>
      <c r="V317" s="3569"/>
      <c r="W317" s="3569"/>
      <c r="X317" s="3569"/>
      <c r="Y317" s="3569"/>
      <c r="Z317" s="3569"/>
      <c r="AA317" s="3569"/>
      <c r="AB317" s="3569"/>
      <c r="AC317" s="3569"/>
      <c r="AD317" s="3569"/>
      <c r="AE317" s="3569"/>
      <c r="AF317" s="3569"/>
      <c r="AG317" s="3569"/>
      <c r="AH317" s="3569"/>
      <c r="AI317" s="3569"/>
      <c r="AJ317" s="3569"/>
      <c r="AK317" s="3569"/>
      <c r="AL317" s="3569"/>
      <c r="AM317" s="3569"/>
      <c r="AN317" s="3569"/>
      <c r="AO317" s="3569"/>
      <c r="AP317" s="3569"/>
      <c r="AQ317" s="3569"/>
      <c r="AR317" s="3569"/>
      <c r="AS317" s="3569"/>
      <c r="AT317" s="3569"/>
      <c r="AU317" s="3569"/>
      <c r="AV317" s="3569"/>
      <c r="AW317" s="3569"/>
      <c r="AX317" s="3569"/>
      <c r="AY317" s="3569"/>
      <c r="AZ317" s="3569"/>
      <c r="BA317" s="3569"/>
      <c r="BB317" s="3569"/>
      <c r="BC317" s="3569"/>
      <c r="BD317" s="3569"/>
      <c r="BE317" s="3569"/>
      <c r="BF317" s="3569"/>
      <c r="BG317" s="3569"/>
      <c r="BH317" s="3569"/>
      <c r="BI317" s="3569"/>
      <c r="BJ317" s="3569"/>
      <c r="BK317" s="3569"/>
      <c r="BL317" s="3569"/>
      <c r="BM317" s="3569"/>
      <c r="BN317" s="3569"/>
      <c r="BO317" s="3569"/>
      <c r="BP317" s="3569"/>
      <c r="BQ317" s="3569"/>
      <c r="BR317" s="3569"/>
      <c r="BS317" s="3569"/>
      <c r="BT317" s="3569"/>
      <c r="BU317" s="3569"/>
      <c r="BV317" s="3569"/>
      <c r="BW317" s="3569"/>
      <c r="BX317" s="3569"/>
      <c r="BY317" s="3569"/>
      <c r="BZ317" s="3569"/>
      <c r="CA317" s="3569"/>
      <c r="CB317" s="3569"/>
      <c r="CC317" s="3569"/>
      <c r="CD317" s="3569"/>
      <c r="CE317" s="3569"/>
      <c r="CF317" s="3569"/>
      <c r="CG317" s="3569"/>
      <c r="CH317" s="3569"/>
      <c r="CI317" s="3569"/>
      <c r="CJ317" s="3569"/>
      <c r="CK317" s="3569"/>
      <c r="CL317" s="3569"/>
      <c r="CM317" s="3569"/>
      <c r="CN317" s="3569"/>
      <c r="CO317" s="3569"/>
      <c r="CP317" s="3569"/>
      <c r="CQ317" s="3910"/>
      <c r="CR317" s="3581"/>
      <c r="CS317" s="3728"/>
      <c r="CT317" s="3728" t="str">
        <f>IF(T317="","",T317)</f>
        <v/>
      </c>
      <c r="CU317" s="3728"/>
      <c r="CV317" s="3728"/>
    </row>
    <row s="7697" customFormat="1" customHeight="1" ht="0.75">
      <c r="A318" s="4239"/>
      <c r="B318" s="4239"/>
      <c r="C318" s="4239"/>
      <c r="D318" s="4239"/>
      <c r="E318" s="3717"/>
      <c r="F318" s="3717" t="s">
        <v>175</v>
      </c>
      <c r="G318" s="3718"/>
      <c r="H318" s="4239"/>
      <c r="I318" s="4239"/>
      <c r="J318" s="4239"/>
      <c r="K318" s="4239"/>
      <c r="L318" s="4240"/>
      <c r="M318" s="4241"/>
      <c r="N318" s="4241"/>
      <c r="O318" s="3581"/>
      <c r="P318" s="4242"/>
      <c r="Q318" s="4243"/>
      <c r="R318" s="4242"/>
      <c r="S318" s="4244"/>
      <c r="T318" s="4245" t="s">
        <v>254</v>
      </c>
      <c r="U318" s="3571"/>
      <c r="V318" s="3571"/>
      <c r="W318" s="3571"/>
      <c r="X318" s="3571"/>
      <c r="Y318" s="3571"/>
      <c r="Z318" s="3571"/>
      <c r="AA318" s="3571"/>
      <c r="AB318" s="3571"/>
      <c r="AC318" s="3571"/>
      <c r="AD318" s="3571"/>
      <c r="AE318" s="3571"/>
      <c r="AF318" s="3571"/>
      <c r="AG318" s="3571"/>
      <c r="AH318" s="3571"/>
      <c r="AI318" s="3571"/>
      <c r="AJ318" s="3571"/>
      <c r="AK318" s="3571"/>
      <c r="AL318" s="3571"/>
      <c r="AM318" s="3571"/>
      <c r="AN318" s="3571"/>
      <c r="AO318" s="3571"/>
      <c r="AP318" s="3571"/>
      <c r="AQ318" s="3571"/>
      <c r="AR318" s="3571"/>
      <c r="AS318" s="3571"/>
      <c r="AT318" s="3571"/>
      <c r="AU318" s="3571"/>
      <c r="AV318" s="3571"/>
      <c r="AW318" s="3571"/>
      <c r="AX318" s="3571"/>
      <c r="AY318" s="3571"/>
      <c r="AZ318" s="3571"/>
      <c r="BA318" s="3571"/>
      <c r="BB318" s="3571"/>
      <c r="BC318" s="3571"/>
      <c r="BD318" s="3571"/>
      <c r="BE318" s="3571"/>
      <c r="BF318" s="3571"/>
      <c r="BG318" s="3571"/>
      <c r="BH318" s="3571"/>
      <c r="BI318" s="3571"/>
      <c r="BJ318" s="3571"/>
      <c r="BK318" s="3571"/>
      <c r="BL318" s="3571"/>
      <c r="BM318" s="3571"/>
      <c r="BN318" s="3571"/>
      <c r="BO318" s="3571"/>
      <c r="BP318" s="3571"/>
      <c r="BQ318" s="3571"/>
      <c r="BR318" s="3571"/>
      <c r="BS318" s="3571"/>
      <c r="BT318" s="3571"/>
      <c r="BU318" s="3571"/>
      <c r="BV318" s="3571"/>
      <c r="BW318" s="3571"/>
      <c r="BX318" s="3571"/>
      <c r="BY318" s="3571"/>
      <c r="BZ318" s="3571"/>
      <c r="CA318" s="3571"/>
      <c r="CB318" s="3571"/>
      <c r="CC318" s="3571"/>
      <c r="CD318" s="3571"/>
      <c r="CE318" s="3571"/>
      <c r="CF318" s="3571"/>
      <c r="CG318" s="3571"/>
      <c r="CH318" s="3571"/>
      <c r="CI318" s="3571"/>
      <c r="CJ318" s="3571"/>
      <c r="CK318" s="3571"/>
      <c r="CL318" s="3571"/>
      <c r="CM318" s="3571"/>
      <c r="CN318" s="3571"/>
      <c r="CO318" s="3571"/>
      <c r="CP318" s="3571"/>
      <c r="CQ318" s="3571"/>
      <c r="CR318" s="3581"/>
      <c r="CS318" s="3728"/>
      <c r="CT318" s="3728" t="str">
        <f>IF(T318="","",T318)</f>
        <v>Добавить источник для дифференциации</v>
      </c>
      <c r="CU318" s="3728"/>
      <c r="CV318" s="3728"/>
    </row>
    <row s="7698" customFormat="1" customHeight="1" ht="0.75">
      <c r="A319" s="4239"/>
      <c r="B319" s="4239"/>
      <c r="C319" s="4239"/>
      <c r="D319" s="4239"/>
      <c r="E319" s="3717"/>
      <c r="F319" s="3718" t="s">
        <v>175</v>
      </c>
      <c r="G319" s="4239"/>
      <c r="H319" s="4239"/>
      <c r="I319" s="4239"/>
      <c r="J319" s="4239"/>
      <c r="K319" s="4239"/>
      <c r="L319" s="4240"/>
      <c r="M319" s="4247"/>
      <c r="N319" s="4247"/>
      <c r="O319" s="3581"/>
      <c r="P319" s="4242"/>
      <c r="Q319" s="4243"/>
      <c r="R319" s="4242"/>
      <c r="S319" s="4248"/>
      <c r="T319" s="4249" t="s">
        <v>255</v>
      </c>
      <c r="U319" s="3572"/>
      <c r="V319" s="3572"/>
      <c r="W319" s="3572"/>
      <c r="X319" s="3572"/>
      <c r="Y319" s="3572"/>
      <c r="Z319" s="3572"/>
      <c r="AA319" s="3572"/>
      <c r="AB319" s="3572"/>
      <c r="AC319" s="3572"/>
      <c r="AD319" s="3572"/>
      <c r="AE319" s="3572"/>
      <c r="AF319" s="3572"/>
      <c r="AG319" s="3572"/>
      <c r="AH319" s="3572"/>
      <c r="AI319" s="3572"/>
      <c r="AJ319" s="3572"/>
      <c r="AK319" s="3572"/>
      <c r="AL319" s="3572"/>
      <c r="AM319" s="3572"/>
      <c r="AN319" s="3572"/>
      <c r="AO319" s="3572"/>
      <c r="AP319" s="3572"/>
      <c r="AQ319" s="3572"/>
      <c r="AR319" s="3572"/>
      <c r="AS319" s="3572"/>
      <c r="AT319" s="3572"/>
      <c r="AU319" s="3572"/>
      <c r="AV319" s="3572"/>
      <c r="AW319" s="3572"/>
      <c r="AX319" s="3572"/>
      <c r="AY319" s="3572"/>
      <c r="AZ319" s="3572"/>
      <c r="BA319" s="3572"/>
      <c r="BB319" s="3572"/>
      <c r="BC319" s="3572"/>
      <c r="BD319" s="3572"/>
      <c r="BE319" s="3572"/>
      <c r="BF319" s="3572"/>
      <c r="BG319" s="3572"/>
      <c r="BH319" s="3572"/>
      <c r="BI319" s="3572"/>
      <c r="BJ319" s="3572"/>
      <c r="BK319" s="3572"/>
      <c r="BL319" s="3572"/>
      <c r="BM319" s="3572"/>
      <c r="BN319" s="3572"/>
      <c r="BO319" s="3572"/>
      <c r="BP319" s="3572"/>
      <c r="BQ319" s="3572"/>
      <c r="BR319" s="3572"/>
      <c r="BS319" s="3572"/>
      <c r="BT319" s="3572"/>
      <c r="BU319" s="3572"/>
      <c r="BV319" s="3572"/>
      <c r="BW319" s="3572"/>
      <c r="BX319" s="3572"/>
      <c r="BY319" s="3572"/>
      <c r="BZ319" s="3572"/>
      <c r="CA319" s="3572"/>
      <c r="CB319" s="3572"/>
      <c r="CC319" s="3572"/>
      <c r="CD319" s="3572"/>
      <c r="CE319" s="3572"/>
      <c r="CF319" s="3572"/>
      <c r="CG319" s="3572"/>
      <c r="CH319" s="3572"/>
      <c r="CI319" s="3572"/>
      <c r="CJ319" s="3572"/>
      <c r="CK319" s="3572"/>
      <c r="CL319" s="3572"/>
      <c r="CM319" s="3572"/>
      <c r="CN319" s="3572"/>
      <c r="CO319" s="3572"/>
      <c r="CP319" s="3572"/>
      <c r="CQ319" s="3572"/>
      <c r="CR319" s="3581"/>
      <c r="CS319" s="3728"/>
      <c r="CT319" s="3728" t="str">
        <f>IF(T319="","",T319)</f>
        <v>Добавить централизованную систему для дифференциации</v>
      </c>
      <c r="CU319" s="3728"/>
      <c r="CV319" s="3728"/>
    </row>
    <row s="7699" customFormat="1" customHeight="1" ht="21">
      <c r="A320" s="3716"/>
      <c r="B320" s="3716" t="s">
        <v>326</v>
      </c>
      <c r="C320" s="3716"/>
      <c r="D320" s="3716"/>
      <c r="E320" s="3717"/>
      <c r="F320" s="3718" t="s">
        <v>118</v>
      </c>
      <c r="G320" s="3716"/>
      <c r="H320" s="3716"/>
      <c r="I320" s="3716"/>
      <c r="J320" s="3716"/>
      <c r="K320" s="3716"/>
      <c r="L320" s="3719"/>
      <c r="M320" s="3720"/>
      <c r="N320" s="3720"/>
      <c r="O320" s="3720"/>
      <c r="P320" s="4073"/>
      <c r="Q320" s="3722"/>
      <c r="R320" s="3723"/>
      <c r="S320" s="3724" t="str">
        <f>INDEX(PT_DIFFERENTIATION_NUM_TER,MATCH(B320,PT_DIFFERENTIATION_TER_ID,0))</f>
        <v>1.20</v>
      </c>
      <c r="T320" s="4074" t="s">
        <v>612</v>
      </c>
      <c r="U320" s="3726"/>
      <c r="V320" s="3432"/>
      <c r="W320" s="3433"/>
      <c r="X320" s="3433"/>
      <c r="Y320" s="3433"/>
      <c r="Z320" s="3433"/>
      <c r="AA320" s="3433"/>
      <c r="AB320" s="3433"/>
      <c r="AC320" s="3434"/>
      <c r="AD320" s="3432" t="str">
        <f>INDEX(PT_DIFFERENTIATION_TER,MATCH(B320,PT_DIFFERENTIATION_TER_ID,0))</f>
        <v>Территория 20</v>
      </c>
      <c r="AE320" s="3433"/>
      <c r="AF320" s="3433"/>
      <c r="AG320" s="3433"/>
      <c r="AH320" s="3433"/>
      <c r="AI320" s="3433"/>
      <c r="AJ320" s="3433"/>
      <c r="AK320" s="3433"/>
      <c r="AL320" s="3432"/>
      <c r="AM320" s="3433"/>
      <c r="AN320" s="3433"/>
      <c r="AO320" s="3433"/>
      <c r="AP320" s="3433"/>
      <c r="AQ320" s="3433"/>
      <c r="AR320" s="3433"/>
      <c r="AS320" s="3434"/>
      <c r="AT320" s="3432"/>
      <c r="AU320" s="3433"/>
      <c r="AV320" s="3433"/>
      <c r="AW320" s="3433"/>
      <c r="AX320" s="3433"/>
      <c r="AY320" s="3433"/>
      <c r="AZ320" s="3433"/>
      <c r="BA320" s="3434"/>
      <c r="BB320" s="3432"/>
      <c r="BC320" s="3433"/>
      <c r="BD320" s="3433"/>
      <c r="BE320" s="3433"/>
      <c r="BF320" s="3433"/>
      <c r="BG320" s="3433"/>
      <c r="BH320" s="3433"/>
      <c r="BI320" s="3434"/>
      <c r="BJ320" s="3432"/>
      <c r="BK320" s="3433"/>
      <c r="BL320" s="3433"/>
      <c r="BM320" s="3433"/>
      <c r="BN320" s="3433"/>
      <c r="BO320" s="3433"/>
      <c r="BP320" s="3433"/>
      <c r="BQ320" s="3434"/>
      <c r="BR320" s="3432"/>
      <c r="BS320" s="3433"/>
      <c r="BT320" s="3433"/>
      <c r="BU320" s="3433"/>
      <c r="BV320" s="3433"/>
      <c r="BW320" s="3433"/>
      <c r="BX320" s="3433"/>
      <c r="BY320" s="3434"/>
      <c r="BZ320" s="3432"/>
      <c r="CA320" s="3433"/>
      <c r="CB320" s="3433"/>
      <c r="CC320" s="3433"/>
      <c r="CD320" s="3433"/>
      <c r="CE320" s="3433"/>
      <c r="CF320" s="3433"/>
      <c r="CG320" s="3434"/>
      <c r="CH320" s="3432"/>
      <c r="CI320" s="3433"/>
      <c r="CJ320" s="3433"/>
      <c r="CK320" s="3433"/>
      <c r="CL320" s="3433"/>
      <c r="CM320" s="3433"/>
      <c r="CN320" s="3433"/>
      <c r="CO320" s="3434"/>
      <c r="CP320" s="3434"/>
      <c r="CQ320" s="3727" t="s">
        <v>613</v>
      </c>
      <c r="CR320" s="3581"/>
      <c r="CS320" s="3728"/>
      <c r="CT320" s="3728" t="str">
        <f>IF(T320="","",T320)</f>
        <v>Территория действия тарифа</v>
      </c>
      <c r="CU320" s="3728"/>
      <c r="CV320" s="3728"/>
    </row>
    <row s="7700" customFormat="1" customHeight="1" ht="23.25">
      <c r="A321" s="3716"/>
      <c r="B321" s="3716"/>
      <c r="C321" s="3716" t="s">
        <v>327</v>
      </c>
      <c r="D321" s="3716"/>
      <c r="E321" s="3717"/>
      <c r="F321" s="3717" t="s">
        <v>180</v>
      </c>
      <c r="G321" s="3718">
        <v>1</v>
      </c>
      <c r="H321" s="3716"/>
      <c r="I321" s="3716"/>
      <c r="J321" s="3716"/>
      <c r="K321" s="3716"/>
      <c r="L321" s="3719"/>
      <c r="M321" s="3720"/>
      <c r="N321" s="3720"/>
      <c r="O321" s="3720"/>
      <c r="P321" s="3721"/>
      <c r="Q321" s="3722"/>
      <c r="R321" s="3723"/>
      <c r="S321" s="3724" t="str">
        <f>INDEX(PT_DIFFERENTIATION_NUM_CS,MATCH(C321,PT_DIFFERENTIATION_CS_ID,0))</f>
        <v>1.20.1</v>
      </c>
      <c r="T321" s="4076" t="s">
        <v>614</v>
      </c>
      <c r="U321" s="3726"/>
      <c r="V321" s="3432"/>
      <c r="W321" s="3433"/>
      <c r="X321" s="3433"/>
      <c r="Y321" s="3433"/>
      <c r="Z321" s="3433"/>
      <c r="AA321" s="3433"/>
      <c r="AB321" s="3433"/>
      <c r="AC321" s="3434"/>
      <c r="AD321" s="3432" t="str">
        <f>INDEX(PT_DIFFERENTIATION_CS,MATCH(C321,PT_DIFFERENTIATION_CS_ID,0))</f>
        <v>без дифференциации</v>
      </c>
      <c r="AE321" s="3433"/>
      <c r="AF321" s="3433"/>
      <c r="AG321" s="3433"/>
      <c r="AH321" s="3433"/>
      <c r="AI321" s="3433"/>
      <c r="AJ321" s="3433"/>
      <c r="AK321" s="3433"/>
      <c r="AL321" s="3432"/>
      <c r="AM321" s="3433"/>
      <c r="AN321" s="3433"/>
      <c r="AO321" s="3433"/>
      <c r="AP321" s="3433"/>
      <c r="AQ321" s="3433"/>
      <c r="AR321" s="3433"/>
      <c r="AS321" s="3434"/>
      <c r="AT321" s="3432"/>
      <c r="AU321" s="3433"/>
      <c r="AV321" s="3433"/>
      <c r="AW321" s="3433"/>
      <c r="AX321" s="3433"/>
      <c r="AY321" s="3433"/>
      <c r="AZ321" s="3433"/>
      <c r="BA321" s="3434"/>
      <c r="BB321" s="3432"/>
      <c r="BC321" s="3433"/>
      <c r="BD321" s="3433"/>
      <c r="BE321" s="3433"/>
      <c r="BF321" s="3433"/>
      <c r="BG321" s="3433"/>
      <c r="BH321" s="3433"/>
      <c r="BI321" s="3434"/>
      <c r="BJ321" s="3432"/>
      <c r="BK321" s="3433"/>
      <c r="BL321" s="3433"/>
      <c r="BM321" s="3433"/>
      <c r="BN321" s="3433"/>
      <c r="BO321" s="3433"/>
      <c r="BP321" s="3433"/>
      <c r="BQ321" s="3434"/>
      <c r="BR321" s="3432"/>
      <c r="BS321" s="3433"/>
      <c r="BT321" s="3433"/>
      <c r="BU321" s="3433"/>
      <c r="BV321" s="3433"/>
      <c r="BW321" s="3433"/>
      <c r="BX321" s="3433"/>
      <c r="BY321" s="3434"/>
      <c r="BZ321" s="3432"/>
      <c r="CA321" s="3433"/>
      <c r="CB321" s="3433"/>
      <c r="CC321" s="3433"/>
      <c r="CD321" s="3433"/>
      <c r="CE321" s="3433"/>
      <c r="CF321" s="3433"/>
      <c r="CG321" s="3434"/>
      <c r="CH321" s="3432"/>
      <c r="CI321" s="3433"/>
      <c r="CJ321" s="3433"/>
      <c r="CK321" s="3433"/>
      <c r="CL321" s="3433"/>
      <c r="CM321" s="3433"/>
      <c r="CN321" s="3433"/>
      <c r="CO321" s="3434"/>
      <c r="CP321" s="3434"/>
      <c r="CQ321" s="3727" t="s">
        <v>615</v>
      </c>
      <c r="CR321" s="3581"/>
      <c r="CS321" s="3728"/>
      <c r="CT321" s="3728" t="str">
        <f>IF(T321="","",T321)</f>
        <v>Наименование системы теплоснабжения </v>
      </c>
      <c r="CU321" s="3728"/>
      <c r="CV321" s="3728"/>
    </row>
    <row s="7701" customFormat="1" customHeight="1" ht="21">
      <c r="A322" s="3716"/>
      <c r="B322" s="3716"/>
      <c r="C322" s="3716"/>
      <c r="D322" s="3716" t="s">
        <v>328</v>
      </c>
      <c r="E322" s="3717"/>
      <c r="F322" s="3717" t="s">
        <v>180</v>
      </c>
      <c r="G322" s="3717"/>
      <c r="H322" s="3718">
        <v>1</v>
      </c>
      <c r="I322" s="3716"/>
      <c r="J322" s="3716"/>
      <c r="K322" s="3716"/>
      <c r="L322" s="3719"/>
      <c r="M322" s="3720"/>
      <c r="N322" s="3720"/>
      <c r="O322" s="3720"/>
      <c r="P322" s="3721"/>
      <c r="Q322" s="3722"/>
      <c r="R322" s="3723"/>
      <c r="S322" s="3724" t="str">
        <f>INDEX(PT_DIFFERENTIATION_NUM_IST_TE,MATCH(D322,PT_DIFFERENTIATION_IST_TE_ID,0))</f>
        <v>1.20.1.1</v>
      </c>
      <c r="T322" s="3725" t="s">
        <v>616</v>
      </c>
      <c r="U322" s="3726"/>
      <c r="V322" s="3432"/>
      <c r="W322" s="3433"/>
      <c r="X322" s="3433"/>
      <c r="Y322" s="3433"/>
      <c r="Z322" s="3433"/>
      <c r="AA322" s="3433"/>
      <c r="AB322" s="3433"/>
      <c r="AC322" s="3434"/>
      <c r="AD322" s="3432" t="str">
        <f>INDEX(PT_DIFFERENTIATION_IST_TE,MATCH(D322,PT_DIFFERENTIATION_IST_TE_ID,0))</f>
        <v>без дифференциации</v>
      </c>
      <c r="AE322" s="3433"/>
      <c r="AF322" s="3433"/>
      <c r="AG322" s="3433"/>
      <c r="AH322" s="3433"/>
      <c r="AI322" s="3433"/>
      <c r="AJ322" s="3433"/>
      <c r="AK322" s="3433"/>
      <c r="AL322" s="3432"/>
      <c r="AM322" s="3433"/>
      <c r="AN322" s="3433"/>
      <c r="AO322" s="3433"/>
      <c r="AP322" s="3433"/>
      <c r="AQ322" s="3433"/>
      <c r="AR322" s="3433"/>
      <c r="AS322" s="3434"/>
      <c r="AT322" s="3432"/>
      <c r="AU322" s="3433"/>
      <c r="AV322" s="3433"/>
      <c r="AW322" s="3433"/>
      <c r="AX322" s="3433"/>
      <c r="AY322" s="3433"/>
      <c r="AZ322" s="3433"/>
      <c r="BA322" s="3434"/>
      <c r="BB322" s="3432"/>
      <c r="BC322" s="3433"/>
      <c r="BD322" s="3433"/>
      <c r="BE322" s="3433"/>
      <c r="BF322" s="3433"/>
      <c r="BG322" s="3433"/>
      <c r="BH322" s="3433"/>
      <c r="BI322" s="3434"/>
      <c r="BJ322" s="3432"/>
      <c r="BK322" s="3433"/>
      <c r="BL322" s="3433"/>
      <c r="BM322" s="3433"/>
      <c r="BN322" s="3433"/>
      <c r="BO322" s="3433"/>
      <c r="BP322" s="3433"/>
      <c r="BQ322" s="3434"/>
      <c r="BR322" s="3432"/>
      <c r="BS322" s="3433"/>
      <c r="BT322" s="3433"/>
      <c r="BU322" s="3433"/>
      <c r="BV322" s="3433"/>
      <c r="BW322" s="3433"/>
      <c r="BX322" s="3433"/>
      <c r="BY322" s="3434"/>
      <c r="BZ322" s="3432"/>
      <c r="CA322" s="3433"/>
      <c r="CB322" s="3433"/>
      <c r="CC322" s="3433"/>
      <c r="CD322" s="3433"/>
      <c r="CE322" s="3433"/>
      <c r="CF322" s="3433"/>
      <c r="CG322" s="3434"/>
      <c r="CH322" s="3432"/>
      <c r="CI322" s="3433"/>
      <c r="CJ322" s="3433"/>
      <c r="CK322" s="3433"/>
      <c r="CL322" s="3433"/>
      <c r="CM322" s="3433"/>
      <c r="CN322" s="3433"/>
      <c r="CO322" s="3434"/>
      <c r="CP322" s="3434"/>
      <c r="CQ322" s="3727" t="s">
        <v>617</v>
      </c>
      <c r="CR322" s="3581"/>
      <c r="CS322" s="3728"/>
      <c r="CT322" s="3728" t="str">
        <f>IF(T322="","",T322)</f>
        <v>Источник тепловой энергии  </v>
      </c>
      <c r="CU322" s="3728"/>
      <c r="CV322" s="3728"/>
    </row>
    <row s="7702" customFormat="1" customHeight="1" ht="14.25">
      <c r="A323" s="3716"/>
      <c r="B323" s="3716"/>
      <c r="C323" s="3716"/>
      <c r="D323" s="3716"/>
      <c r="E323" s="3717"/>
      <c r="F323" s="3717" t="s">
        <v>180</v>
      </c>
      <c r="G323" s="3717"/>
      <c r="H323" s="3717"/>
      <c r="I323" s="3730" t="str">
        <f>S322&amp;".1"</f>
        <v>1.20.1.1.1</v>
      </c>
      <c r="J323" s="3716"/>
      <c r="K323" s="3716"/>
      <c r="L323" s="3719" t="s">
        <v>618</v>
      </c>
      <c r="M323" s="3573"/>
      <c r="N323" s="3731"/>
      <c r="O323" s="3731"/>
      <c r="P323" s="3732">
        <v>1</v>
      </c>
      <c r="Q323" s="3732"/>
      <c r="R323" s="3733"/>
      <c r="S323" s="3734"/>
      <c r="T323" s="3735"/>
      <c r="U323" s="3736"/>
      <c r="V323" s="3441"/>
      <c r="W323" s="3442"/>
      <c r="X323" s="3442"/>
      <c r="Y323" s="3442"/>
      <c r="Z323" s="3442"/>
      <c r="AA323" s="3442"/>
      <c r="AB323" s="3442"/>
      <c r="AC323" s="3443"/>
      <c r="AD323" s="3441"/>
      <c r="AE323" s="3442"/>
      <c r="AF323" s="3442"/>
      <c r="AG323" s="3442"/>
      <c r="AH323" s="3442"/>
      <c r="AI323" s="3442"/>
      <c r="AJ323" s="3442"/>
      <c r="AK323" s="3442"/>
      <c r="AL323" s="3441"/>
      <c r="AM323" s="3442"/>
      <c r="AN323" s="3442"/>
      <c r="AO323" s="3442"/>
      <c r="AP323" s="3442"/>
      <c r="AQ323" s="3442"/>
      <c r="AR323" s="3442"/>
      <c r="AS323" s="3443"/>
      <c r="AT323" s="3441"/>
      <c r="AU323" s="3442"/>
      <c r="AV323" s="3442"/>
      <c r="AW323" s="3442"/>
      <c r="AX323" s="3442"/>
      <c r="AY323" s="3442"/>
      <c r="AZ323" s="3442"/>
      <c r="BA323" s="3443"/>
      <c r="BB323" s="3441"/>
      <c r="BC323" s="3442"/>
      <c r="BD323" s="3442"/>
      <c r="BE323" s="3442"/>
      <c r="BF323" s="3442"/>
      <c r="BG323" s="3442"/>
      <c r="BH323" s="3442"/>
      <c r="BI323" s="3443"/>
      <c r="BJ323" s="3441"/>
      <c r="BK323" s="3442"/>
      <c r="BL323" s="3442"/>
      <c r="BM323" s="3442"/>
      <c r="BN323" s="3442"/>
      <c r="BO323" s="3442"/>
      <c r="BP323" s="3442"/>
      <c r="BQ323" s="3443"/>
      <c r="BR323" s="3441"/>
      <c r="BS323" s="3442"/>
      <c r="BT323" s="3442"/>
      <c r="BU323" s="3442"/>
      <c r="BV323" s="3442"/>
      <c r="BW323" s="3442"/>
      <c r="BX323" s="3442"/>
      <c r="BY323" s="3443"/>
      <c r="BZ323" s="3441"/>
      <c r="CA323" s="3442"/>
      <c r="CB323" s="3442"/>
      <c r="CC323" s="3442"/>
      <c r="CD323" s="3442"/>
      <c r="CE323" s="3442"/>
      <c r="CF323" s="3442"/>
      <c r="CG323" s="3443"/>
      <c r="CH323" s="3441"/>
      <c r="CI323" s="3442"/>
      <c r="CJ323" s="3442"/>
      <c r="CK323" s="3442"/>
      <c r="CL323" s="3442"/>
      <c r="CM323" s="3442"/>
      <c r="CN323" s="3442"/>
      <c r="CO323" s="3443"/>
      <c r="CP323" s="3443"/>
      <c r="CQ323" s="3737"/>
      <c r="CR323" s="3581"/>
      <c r="CS323" s="3728"/>
      <c r="CT323" s="3728" t="str">
        <f>IF(T323="","",T323)</f>
        <v/>
      </c>
      <c r="CU323" s="3728"/>
      <c r="CV323" s="3728"/>
    </row>
    <row s="7703" customFormat="1" customHeight="1" ht="21">
      <c r="A324" s="3716"/>
      <c r="B324" s="3716"/>
      <c r="C324" s="3716"/>
      <c r="D324" s="3716"/>
      <c r="E324" s="3717"/>
      <c r="F324" s="3717" t="s">
        <v>180</v>
      </c>
      <c r="G324" s="3717"/>
      <c r="H324" s="3717"/>
      <c r="I324" s="3739"/>
      <c r="J324" s="3730" t="str">
        <f>I323&amp;".1"</f>
        <v>1.20.1.1.1.1</v>
      </c>
      <c r="K324" s="3716"/>
      <c r="L324" s="3719" t="s">
        <v>621</v>
      </c>
      <c r="M324" s="3573"/>
      <c r="N324" s="3573"/>
      <c r="O324" s="3731"/>
      <c r="P324" s="3732"/>
      <c r="Q324" s="3732">
        <v>1</v>
      </c>
      <c r="R324" s="3740"/>
      <c r="S324" s="3724" t="str">
        <f>$J324</f>
        <v>1.20.1.1.1.1</v>
      </c>
      <c r="T324" s="3741" t="s">
        <v>622</v>
      </c>
      <c r="U324" s="3726"/>
      <c r="V324" s="3445"/>
      <c r="W324" s="3446"/>
      <c r="X324" s="3446"/>
      <c r="Y324" s="3446"/>
      <c r="Z324" s="3446"/>
      <c r="AA324" s="3446"/>
      <c r="AB324" s="3446"/>
      <c r="AC324" s="3447"/>
      <c r="AD324" s="3445" t="s">
        <v>662</v>
      </c>
      <c r="AE324" s="3446"/>
      <c r="AF324" s="3446"/>
      <c r="AG324" s="3446"/>
      <c r="AH324" s="3446"/>
      <c r="AI324" s="3446"/>
      <c r="AJ324" s="3446"/>
      <c r="AK324" s="3446"/>
      <c r="AL324" s="3445"/>
      <c r="AM324" s="3446"/>
      <c r="AN324" s="3446"/>
      <c r="AO324" s="3446"/>
      <c r="AP324" s="3446"/>
      <c r="AQ324" s="3446"/>
      <c r="AR324" s="3446"/>
      <c r="AS324" s="3447"/>
      <c r="AT324" s="3445"/>
      <c r="AU324" s="3446"/>
      <c r="AV324" s="3446"/>
      <c r="AW324" s="3446"/>
      <c r="AX324" s="3446"/>
      <c r="AY324" s="3446"/>
      <c r="AZ324" s="3446"/>
      <c r="BA324" s="3447"/>
      <c r="BB324" s="3445"/>
      <c r="BC324" s="3446"/>
      <c r="BD324" s="3446"/>
      <c r="BE324" s="3446"/>
      <c r="BF324" s="3446"/>
      <c r="BG324" s="3446"/>
      <c r="BH324" s="3446"/>
      <c r="BI324" s="3447"/>
      <c r="BJ324" s="3445"/>
      <c r="BK324" s="3446"/>
      <c r="BL324" s="3446"/>
      <c r="BM324" s="3446"/>
      <c r="BN324" s="3446"/>
      <c r="BO324" s="3446"/>
      <c r="BP324" s="3446"/>
      <c r="BQ324" s="3447"/>
      <c r="BR324" s="3445"/>
      <c r="BS324" s="3446"/>
      <c r="BT324" s="3446"/>
      <c r="BU324" s="3446"/>
      <c r="BV324" s="3446"/>
      <c r="BW324" s="3446"/>
      <c r="BX324" s="3446"/>
      <c r="BY324" s="3447"/>
      <c r="BZ324" s="3445"/>
      <c r="CA324" s="3446"/>
      <c r="CB324" s="3446"/>
      <c r="CC324" s="3446"/>
      <c r="CD324" s="3446"/>
      <c r="CE324" s="3446"/>
      <c r="CF324" s="3446"/>
      <c r="CG324" s="3447"/>
      <c r="CH324" s="3445"/>
      <c r="CI324" s="3446"/>
      <c r="CJ324" s="3446"/>
      <c r="CK324" s="3446"/>
      <c r="CL324" s="3446"/>
      <c r="CM324" s="3446"/>
      <c r="CN324" s="3446"/>
      <c r="CO324" s="3447"/>
      <c r="CP324" s="3447"/>
      <c r="CQ324" s="3727" t="s">
        <v>623</v>
      </c>
      <c r="CR324" s="3581"/>
      <c r="CS324" s="3728"/>
      <c r="CT324" s="3728" t="str">
        <f>IF(T324="","",T324)</f>
        <v>Группа потребителей</v>
      </c>
      <c r="CU324" s="3728"/>
      <c r="CV324" s="3728"/>
    </row>
    <row s="7704" customFormat="1" customHeight="1" ht="21">
      <c r="A325" s="3716"/>
      <c r="B325" s="3716"/>
      <c r="C325" s="3716"/>
      <c r="D325" s="3716"/>
      <c r="E325" s="3717"/>
      <c r="F325" s="3717" t="s">
        <v>180</v>
      </c>
      <c r="G325" s="3717"/>
      <c r="H325" s="3717"/>
      <c r="I325" s="3739"/>
      <c r="J325" s="3739"/>
      <c r="K325" s="3730" t="str">
        <f>J324&amp;".1"</f>
        <v>1.20.1.1.1.1.1</v>
      </c>
      <c r="L325" s="3719" t="s">
        <v>624</v>
      </c>
      <c r="M325" s="3573"/>
      <c r="N325" s="3573"/>
      <c r="O325" s="3573"/>
      <c r="P325" s="3732"/>
      <c r="Q325" s="3732"/>
      <c r="R325" s="3740">
        <v>1</v>
      </c>
      <c r="S325" s="3724" t="str">
        <f>$K325</f>
        <v>1.20.1.1.1.1.1</v>
      </c>
      <c r="T325" s="3743" t="s">
        <v>663</v>
      </c>
      <c r="U325" s="3726"/>
      <c r="V325" s="3448"/>
      <c r="W325" s="3449"/>
      <c r="X325" s="3448"/>
      <c r="Y325" s="3450"/>
      <c r="Z325" s="3451"/>
      <c r="AA325" s="2872" t="s">
        <v>63</v>
      </c>
      <c r="AB325" s="3451"/>
      <c r="AC325" s="2872" t="s">
        <v>63</v>
      </c>
      <c r="AD325" s="3448">
        <v>35.06</v>
      </c>
      <c r="AE325" s="3449"/>
      <c r="AF325" s="3448"/>
      <c r="AG325" s="3450"/>
      <c r="AH325" s="3451">
        <v>44197</v>
      </c>
      <c r="AI325" s="2872" t="s">
        <v>63</v>
      </c>
      <c r="AJ325" s="3451">
        <v>44377</v>
      </c>
      <c r="AK325" s="2872" t="s">
        <v>63</v>
      </c>
      <c r="AL325" s="3448">
        <v>36.17</v>
      </c>
      <c r="AM325" s="3449"/>
      <c r="AN325" s="3448"/>
      <c r="AO325" s="3450"/>
      <c r="AP325" s="3451">
        <v>44378</v>
      </c>
      <c r="AQ325" s="2872" t="s">
        <v>63</v>
      </c>
      <c r="AR325" s="3451">
        <v>44561</v>
      </c>
      <c r="AS325" s="2872" t="s">
        <v>63</v>
      </c>
      <c r="AT325" s="3448">
        <v>36.17</v>
      </c>
      <c r="AU325" s="3449"/>
      <c r="AV325" s="3448"/>
      <c r="AW325" s="3450"/>
      <c r="AX325" s="3451">
        <v>44562</v>
      </c>
      <c r="AY325" s="2872" t="s">
        <v>63</v>
      </c>
      <c r="AZ325" s="3451">
        <v>44601</v>
      </c>
      <c r="BA325" s="2872" t="s">
        <v>63</v>
      </c>
      <c r="BB325" s="3448">
        <v>39.38</v>
      </c>
      <c r="BC325" s="3449"/>
      <c r="BD325" s="3448"/>
      <c r="BE325" s="3450"/>
      <c r="BF325" s="3451">
        <v>44602</v>
      </c>
      <c r="BG325" s="2872" t="s">
        <v>63</v>
      </c>
      <c r="BH325" s="3451">
        <v>44742</v>
      </c>
      <c r="BI325" s="2872" t="s">
        <v>63</v>
      </c>
      <c r="BJ325" s="3448">
        <v>39.38</v>
      </c>
      <c r="BK325" s="3449"/>
      <c r="BL325" s="3448"/>
      <c r="BM325" s="3450"/>
      <c r="BN325" s="3451">
        <v>44743</v>
      </c>
      <c r="BO325" s="2872" t="s">
        <v>63</v>
      </c>
      <c r="BP325" s="3451">
        <v>44804</v>
      </c>
      <c r="BQ325" s="2872" t="s">
        <v>63</v>
      </c>
      <c r="BR325" s="3448">
        <v>39.38</v>
      </c>
      <c r="BS325" s="3449"/>
      <c r="BT325" s="3448"/>
      <c r="BU325" s="3450"/>
      <c r="BV325" s="3451">
        <v>44805</v>
      </c>
      <c r="BW325" s="2872" t="s">
        <v>63</v>
      </c>
      <c r="BX325" s="3451">
        <v>44895</v>
      </c>
      <c r="BY325" s="2872" t="s">
        <v>63</v>
      </c>
      <c r="BZ325" s="3448">
        <v>47.62</v>
      </c>
      <c r="CA325" s="3449"/>
      <c r="CB325" s="3448"/>
      <c r="CC325" s="3450"/>
      <c r="CD325" s="3451">
        <v>44896</v>
      </c>
      <c r="CE325" s="2872" t="s">
        <v>63</v>
      </c>
      <c r="CF325" s="3451">
        <v>45174</v>
      </c>
      <c r="CG325" s="2872" t="s">
        <v>63</v>
      </c>
      <c r="CH325" s="3448">
        <v>47.62</v>
      </c>
      <c r="CI325" s="3449"/>
      <c r="CJ325" s="3448"/>
      <c r="CK325" s="3450"/>
      <c r="CL325" s="3451">
        <v>45175</v>
      </c>
      <c r="CM325" s="2872" t="s">
        <v>63</v>
      </c>
      <c r="CN325" s="3451">
        <v>45291</v>
      </c>
      <c r="CO325" s="2872" t="s">
        <v>63</v>
      </c>
      <c r="CP325" s="3449"/>
      <c r="CQ325" s="3744" t="s">
        <v>625</v>
      </c>
      <c r="CR325" s="3581">
        <f>STRCHECKDATE(V326:CP326)</f>
      </c>
      <c r="CS325" s="3728"/>
      <c r="CT325" s="3728" t="str">
        <f>IF(T325="","",T325)</f>
        <v>вода</v>
      </c>
      <c r="CU325" s="3728"/>
      <c r="CV325" s="3728"/>
    </row>
    <row s="7705" customFormat="1" customHeight="1" ht="0.75">
      <c r="A326" s="3716"/>
      <c r="B326" s="3716"/>
      <c r="C326" s="3716"/>
      <c r="D326" s="3716"/>
      <c r="E326" s="3717"/>
      <c r="F326" s="3717" t="s">
        <v>180</v>
      </c>
      <c r="G326" s="3717"/>
      <c r="H326" s="3717"/>
      <c r="I326" s="3739"/>
      <c r="J326" s="3739"/>
      <c r="K326" s="3730"/>
      <c r="L326" s="3719"/>
      <c r="M326" s="3573"/>
      <c r="N326" s="3573"/>
      <c r="O326" s="3573"/>
      <c r="P326" s="3732"/>
      <c r="Q326" s="3732"/>
      <c r="R326" s="3740"/>
      <c r="S326" s="3746"/>
      <c r="T326" s="3726"/>
      <c r="U326" s="3726"/>
      <c r="V326" s="3449"/>
      <c r="W326" s="3449"/>
      <c r="X326" s="3449"/>
      <c r="Y326" s="3452" t="str">
        <f>Z325&amp;"-"&amp;AB325</f>
        <v>-</v>
      </c>
      <c r="Z326" s="3453"/>
      <c r="AA326" s="2872"/>
      <c r="AB326" s="3453"/>
      <c r="AC326" s="2872"/>
      <c r="AD326" s="3449"/>
      <c r="AE326" s="3449"/>
      <c r="AF326" s="3449"/>
      <c r="AG326" s="3452" t="str">
        <f>AH325&amp;"-"&amp;AJ325</f>
        <v>44197-44377</v>
      </c>
      <c r="AH326" s="3453"/>
      <c r="AI326" s="2872"/>
      <c r="AJ326" s="3453"/>
      <c r="AK326" s="2872"/>
      <c r="AL326" s="3449"/>
      <c r="AM326" s="3449"/>
      <c r="AN326" s="3449"/>
      <c r="AO326" s="3452" t="str">
        <f>AP325&amp;"-"&amp;AR325</f>
        <v>44378-44561</v>
      </c>
      <c r="AP326" s="3453"/>
      <c r="AQ326" s="2872"/>
      <c r="AR326" s="3453"/>
      <c r="AS326" s="2872"/>
      <c r="AT326" s="3449"/>
      <c r="AU326" s="3449"/>
      <c r="AV326" s="3449"/>
      <c r="AW326" s="3452" t="str">
        <f>AX325&amp;"-"&amp;AZ325</f>
        <v>44562-44601</v>
      </c>
      <c r="AX326" s="3453"/>
      <c r="AY326" s="2872"/>
      <c r="AZ326" s="3453"/>
      <c r="BA326" s="2872"/>
      <c r="BB326" s="3449"/>
      <c r="BC326" s="3449"/>
      <c r="BD326" s="3449"/>
      <c r="BE326" s="3452" t="str">
        <f>BF325&amp;"-"&amp;BH325</f>
        <v>44602-44742</v>
      </c>
      <c r="BF326" s="3453"/>
      <c r="BG326" s="2872"/>
      <c r="BH326" s="3453"/>
      <c r="BI326" s="2872"/>
      <c r="BJ326" s="3449"/>
      <c r="BK326" s="3449"/>
      <c r="BL326" s="3449"/>
      <c r="BM326" s="3452" t="str">
        <f>BN325&amp;"-"&amp;BP325</f>
        <v>44743-44804</v>
      </c>
      <c r="BN326" s="3453"/>
      <c r="BO326" s="2872"/>
      <c r="BP326" s="3453"/>
      <c r="BQ326" s="2872"/>
      <c r="BR326" s="3449"/>
      <c r="BS326" s="3449"/>
      <c r="BT326" s="3449"/>
      <c r="BU326" s="3452" t="str">
        <f>BV325&amp;"-"&amp;BX325</f>
        <v>44805-44895</v>
      </c>
      <c r="BV326" s="3453"/>
      <c r="BW326" s="2872"/>
      <c r="BX326" s="3453"/>
      <c r="BY326" s="2872"/>
      <c r="BZ326" s="3449"/>
      <c r="CA326" s="3449"/>
      <c r="CB326" s="3449"/>
      <c r="CC326" s="3452" t="str">
        <f>CD325&amp;"-"&amp;CF325</f>
        <v>44896-45174</v>
      </c>
      <c r="CD326" s="3453"/>
      <c r="CE326" s="2872"/>
      <c r="CF326" s="3453"/>
      <c r="CG326" s="2872"/>
      <c r="CH326" s="3449"/>
      <c r="CI326" s="3449"/>
      <c r="CJ326" s="3449"/>
      <c r="CK326" s="3452" t="str">
        <f>CL325&amp;"-"&amp;CN325</f>
        <v>45175-45291</v>
      </c>
      <c r="CL326" s="3453"/>
      <c r="CM326" s="2872"/>
      <c r="CN326" s="3453"/>
      <c r="CO326" s="2872"/>
      <c r="CP326" s="3449"/>
      <c r="CQ326" s="3747"/>
      <c r="CR326" s="3581"/>
      <c r="CS326" s="3728"/>
      <c r="CT326" s="3728" t="str">
        <f>IF(T326="","",T326)</f>
        <v/>
      </c>
      <c r="CU326" s="3728"/>
      <c r="CV326" s="3728"/>
    </row>
    <row s="7706" customFormat="1" customHeight="1" ht="15">
      <c r="A327" s="3716"/>
      <c r="B327" s="3716"/>
      <c r="C327" s="3716"/>
      <c r="D327" s="3716"/>
      <c r="E327" s="3717"/>
      <c r="F327" s="3717" t="s">
        <v>180</v>
      </c>
      <c r="G327" s="3717"/>
      <c r="H327" s="3717"/>
      <c r="I327" s="3739"/>
      <c r="J327" s="3730"/>
      <c r="K327" s="3716"/>
      <c r="L327" s="3719"/>
      <c r="M327" s="3573"/>
      <c r="N327" s="3573"/>
      <c r="O327" s="3731"/>
      <c r="P327" s="3732"/>
      <c r="Q327" s="3732"/>
      <c r="R327" s="3733"/>
      <c r="S327" s="7707"/>
      <c r="T327" s="7708" t="s">
        <v>626</v>
      </c>
      <c r="U327" s="7709"/>
      <c r="V327" s="7710"/>
      <c r="W327" s="7711"/>
      <c r="X327" s="7712"/>
      <c r="Y327" s="7713"/>
      <c r="Z327" s="7714"/>
      <c r="AA327" s="7715"/>
      <c r="AB327" s="7716"/>
      <c r="AC327" s="7717"/>
      <c r="AD327" s="7718"/>
      <c r="AE327" s="7719"/>
      <c r="AF327" s="7720"/>
      <c r="AG327" s="7721"/>
      <c r="AH327" s="7722"/>
      <c r="AI327" s="7723"/>
      <c r="AJ327" s="7724"/>
      <c r="AK327" s="7725"/>
      <c r="AL327" s="7726"/>
      <c r="AM327" s="7727"/>
      <c r="AN327" s="7728"/>
      <c r="AO327" s="7729"/>
      <c r="AP327" s="7730"/>
      <c r="AQ327" s="7731"/>
      <c r="AR327" s="7732"/>
      <c r="AS327" s="7733"/>
      <c r="AT327" s="7734"/>
      <c r="AU327" s="7735"/>
      <c r="AV327" s="7736"/>
      <c r="AW327" s="7737"/>
      <c r="AX327" s="7738"/>
      <c r="AY327" s="7739"/>
      <c r="AZ327" s="7740"/>
      <c r="BA327" s="7741"/>
      <c r="BB327" s="7742"/>
      <c r="BC327" s="7743"/>
      <c r="BD327" s="7744"/>
      <c r="BE327" s="7745"/>
      <c r="BF327" s="7746"/>
      <c r="BG327" s="7747"/>
      <c r="BH327" s="7748"/>
      <c r="BI327" s="7749"/>
      <c r="BJ327" s="7750"/>
      <c r="BK327" s="7751"/>
      <c r="BL327" s="7752"/>
      <c r="BM327" s="7753"/>
      <c r="BN327" s="7754"/>
      <c r="BO327" s="7755"/>
      <c r="BP327" s="7756"/>
      <c r="BQ327" s="7757"/>
      <c r="BR327" s="7758"/>
      <c r="BS327" s="7759"/>
      <c r="BT327" s="7760"/>
      <c r="BU327" s="7761"/>
      <c r="BV327" s="7762"/>
      <c r="BW327" s="7763"/>
      <c r="BX327" s="7764"/>
      <c r="BY327" s="7765"/>
      <c r="BZ327" s="7766"/>
      <c r="CA327" s="7767"/>
      <c r="CB327" s="7768"/>
      <c r="CC327" s="7769"/>
      <c r="CD327" s="7770"/>
      <c r="CE327" s="7771"/>
      <c r="CF327" s="7772"/>
      <c r="CG327" s="7773"/>
      <c r="CH327" s="7774"/>
      <c r="CI327" s="7775"/>
      <c r="CJ327" s="7776"/>
      <c r="CK327" s="7777"/>
      <c r="CL327" s="7778"/>
      <c r="CM327" s="7779"/>
      <c r="CN327" s="7780"/>
      <c r="CO327" s="7781"/>
      <c r="CP327" s="7782"/>
      <c r="CQ327" s="3825"/>
      <c r="CR327" s="3581"/>
      <c r="CS327" s="3728"/>
      <c r="CT327" s="3728" t="str">
        <f>IF(T327="","",T327)</f>
        <v>Добавить вид теплоносителя (параметры теплоносителя)</v>
      </c>
      <c r="CU327" s="3728"/>
      <c r="CV327" s="3728"/>
    </row>
    <row s="7783" customFormat="1" customHeight="1" ht="15">
      <c r="A328" s="3716"/>
      <c r="B328" s="3716"/>
      <c r="C328" s="3716"/>
      <c r="D328" s="3716"/>
      <c r="E328" s="3717"/>
      <c r="F328" s="3717" t="s">
        <v>180</v>
      </c>
      <c r="G328" s="3717"/>
      <c r="H328" s="3717"/>
      <c r="I328" s="3730"/>
      <c r="J328" s="3716"/>
      <c r="K328" s="3716"/>
      <c r="L328" s="3719"/>
      <c r="M328" s="3573"/>
      <c r="N328" s="3731"/>
      <c r="O328" s="3731"/>
      <c r="P328" s="3732"/>
      <c r="Q328" s="3732"/>
      <c r="R328" s="3733"/>
      <c r="S328" s="7784"/>
      <c r="T328" s="7785" t="s">
        <v>627</v>
      </c>
      <c r="U328" s="7786"/>
      <c r="V328" s="7787"/>
      <c r="W328" s="7788"/>
      <c r="X328" s="7789"/>
      <c r="Y328" s="7790"/>
      <c r="Z328" s="7791"/>
      <c r="AA328" s="7792"/>
      <c r="AB328" s="7793"/>
      <c r="AC328" s="7794"/>
      <c r="AD328" s="7795"/>
      <c r="AE328" s="7796"/>
      <c r="AF328" s="7797"/>
      <c r="AG328" s="7798"/>
      <c r="AH328" s="7799"/>
      <c r="AI328" s="7800"/>
      <c r="AJ328" s="7801"/>
      <c r="AK328" s="7802"/>
      <c r="AL328" s="7803"/>
      <c r="AM328" s="7804"/>
      <c r="AN328" s="7805"/>
      <c r="AO328" s="7806"/>
      <c r="AP328" s="7807"/>
      <c r="AQ328" s="7808"/>
      <c r="AR328" s="7809"/>
      <c r="AS328" s="7810"/>
      <c r="AT328" s="7811"/>
      <c r="AU328" s="7812"/>
      <c r="AV328" s="7813"/>
      <c r="AW328" s="7814"/>
      <c r="AX328" s="7815"/>
      <c r="AY328" s="7816"/>
      <c r="AZ328" s="7817"/>
      <c r="BA328" s="7818"/>
      <c r="BB328" s="7819"/>
      <c r="BC328" s="7820"/>
      <c r="BD328" s="7821"/>
      <c r="BE328" s="7822"/>
      <c r="BF328" s="7823"/>
      <c r="BG328" s="7824"/>
      <c r="BH328" s="7825"/>
      <c r="BI328" s="7826"/>
      <c r="BJ328" s="7827"/>
      <c r="BK328" s="7828"/>
      <c r="BL328" s="7829"/>
      <c r="BM328" s="7830"/>
      <c r="BN328" s="7831"/>
      <c r="BO328" s="7832"/>
      <c r="BP328" s="7833"/>
      <c r="BQ328" s="7834"/>
      <c r="BR328" s="7835"/>
      <c r="BS328" s="7836"/>
      <c r="BT328" s="7837"/>
      <c r="BU328" s="7838"/>
      <c r="BV328" s="7839"/>
      <c r="BW328" s="7840"/>
      <c r="BX328" s="7841"/>
      <c r="BY328" s="7842"/>
      <c r="BZ328" s="7843"/>
      <c r="CA328" s="7844"/>
      <c r="CB328" s="7845"/>
      <c r="CC328" s="7846"/>
      <c r="CD328" s="7847"/>
      <c r="CE328" s="7848"/>
      <c r="CF328" s="7849"/>
      <c r="CG328" s="7850"/>
      <c r="CH328" s="7851"/>
      <c r="CI328" s="7852"/>
      <c r="CJ328" s="7853"/>
      <c r="CK328" s="7854"/>
      <c r="CL328" s="7855"/>
      <c r="CM328" s="7856"/>
      <c r="CN328" s="7857"/>
      <c r="CO328" s="7858"/>
      <c r="CP328" s="7859"/>
      <c r="CQ328" s="7860"/>
      <c r="CR328" s="3581"/>
      <c r="CS328" s="3728"/>
      <c r="CT328" s="3728" t="str">
        <f>IF(T328="","",T328)</f>
        <v>Добавить группу потребителей</v>
      </c>
      <c r="CU328" s="3728"/>
      <c r="CV328" s="3728"/>
    </row>
    <row s="7861" customFormat="1" customHeight="1" ht="14.25">
      <c r="A329" s="3716"/>
      <c r="B329" s="3716"/>
      <c r="C329" s="3716"/>
      <c r="D329" s="3716"/>
      <c r="E329" s="3717"/>
      <c r="F329" s="3717" t="s">
        <v>180</v>
      </c>
      <c r="G329" s="3717"/>
      <c r="H329" s="3718"/>
      <c r="I329" s="3716"/>
      <c r="J329" s="3716"/>
      <c r="K329" s="3716"/>
      <c r="L329" s="3719"/>
      <c r="M329" s="3720"/>
      <c r="N329" s="3720"/>
      <c r="O329" s="3573"/>
      <c r="P329" s="3905"/>
      <c r="Q329" s="3906"/>
      <c r="R329" s="3907"/>
      <c r="S329" s="3908"/>
      <c r="T329" s="3909"/>
      <c r="U329" s="3569"/>
      <c r="V329" s="3569"/>
      <c r="W329" s="3569"/>
      <c r="X329" s="3569"/>
      <c r="Y329" s="3569"/>
      <c r="Z329" s="3569"/>
      <c r="AA329" s="3569"/>
      <c r="AB329" s="3569"/>
      <c r="AC329" s="3569"/>
      <c r="AD329" s="3569"/>
      <c r="AE329" s="3569"/>
      <c r="AF329" s="3569"/>
      <c r="AG329" s="3569"/>
      <c r="AH329" s="3569"/>
      <c r="AI329" s="3569"/>
      <c r="AJ329" s="3569"/>
      <c r="AK329" s="3569"/>
      <c r="AL329" s="3569"/>
      <c r="AM329" s="3569"/>
      <c r="AN329" s="3569"/>
      <c r="AO329" s="3569"/>
      <c r="AP329" s="3569"/>
      <c r="AQ329" s="3569"/>
      <c r="AR329" s="3569"/>
      <c r="AS329" s="3569"/>
      <c r="AT329" s="3569"/>
      <c r="AU329" s="3569"/>
      <c r="AV329" s="3569"/>
      <c r="AW329" s="3569"/>
      <c r="AX329" s="3569"/>
      <c r="AY329" s="3569"/>
      <c r="AZ329" s="3569"/>
      <c r="BA329" s="3569"/>
      <c r="BB329" s="3569"/>
      <c r="BC329" s="3569"/>
      <c r="BD329" s="3569"/>
      <c r="BE329" s="3569"/>
      <c r="BF329" s="3569"/>
      <c r="BG329" s="3569"/>
      <c r="BH329" s="3569"/>
      <c r="BI329" s="3569"/>
      <c r="BJ329" s="3569"/>
      <c r="BK329" s="3569"/>
      <c r="BL329" s="3569"/>
      <c r="BM329" s="3569"/>
      <c r="BN329" s="3569"/>
      <c r="BO329" s="3569"/>
      <c r="BP329" s="3569"/>
      <c r="BQ329" s="3569"/>
      <c r="BR329" s="3569"/>
      <c r="BS329" s="3569"/>
      <c r="BT329" s="3569"/>
      <c r="BU329" s="3569"/>
      <c r="BV329" s="3569"/>
      <c r="BW329" s="3569"/>
      <c r="BX329" s="3569"/>
      <c r="BY329" s="3569"/>
      <c r="BZ329" s="3569"/>
      <c r="CA329" s="3569"/>
      <c r="CB329" s="3569"/>
      <c r="CC329" s="3569"/>
      <c r="CD329" s="3569"/>
      <c r="CE329" s="3569"/>
      <c r="CF329" s="3569"/>
      <c r="CG329" s="3569"/>
      <c r="CH329" s="3569"/>
      <c r="CI329" s="3569"/>
      <c r="CJ329" s="3569"/>
      <c r="CK329" s="3569"/>
      <c r="CL329" s="3569"/>
      <c r="CM329" s="3569"/>
      <c r="CN329" s="3569"/>
      <c r="CO329" s="3569"/>
      <c r="CP329" s="3569"/>
      <c r="CQ329" s="3910"/>
      <c r="CR329" s="3581"/>
      <c r="CS329" s="3728"/>
      <c r="CT329" s="3728" t="str">
        <f>IF(T329="","",T329)</f>
        <v/>
      </c>
      <c r="CU329" s="3728"/>
      <c r="CV329" s="3728"/>
    </row>
    <row s="7862" customFormat="1" customHeight="1" ht="0.75">
      <c r="A330" s="4239"/>
      <c r="B330" s="4239"/>
      <c r="C330" s="4239"/>
      <c r="D330" s="4239"/>
      <c r="E330" s="3717"/>
      <c r="F330" s="3717" t="s">
        <v>180</v>
      </c>
      <c r="G330" s="3718"/>
      <c r="H330" s="4239"/>
      <c r="I330" s="4239"/>
      <c r="J330" s="4239"/>
      <c r="K330" s="4239"/>
      <c r="L330" s="4240"/>
      <c r="M330" s="4241"/>
      <c r="N330" s="4241"/>
      <c r="O330" s="3581"/>
      <c r="P330" s="4242"/>
      <c r="Q330" s="4243"/>
      <c r="R330" s="4242"/>
      <c r="S330" s="4244"/>
      <c r="T330" s="4245" t="s">
        <v>254</v>
      </c>
      <c r="U330" s="3571"/>
      <c r="V330" s="3571"/>
      <c r="W330" s="3571"/>
      <c r="X330" s="3571"/>
      <c r="Y330" s="3571"/>
      <c r="Z330" s="3571"/>
      <c r="AA330" s="3571"/>
      <c r="AB330" s="3571"/>
      <c r="AC330" s="3571"/>
      <c r="AD330" s="3571"/>
      <c r="AE330" s="3571"/>
      <c r="AF330" s="3571"/>
      <c r="AG330" s="3571"/>
      <c r="AH330" s="3571"/>
      <c r="AI330" s="3571"/>
      <c r="AJ330" s="3571"/>
      <c r="AK330" s="3571"/>
      <c r="AL330" s="3571"/>
      <c r="AM330" s="3571"/>
      <c r="AN330" s="3571"/>
      <c r="AO330" s="3571"/>
      <c r="AP330" s="3571"/>
      <c r="AQ330" s="3571"/>
      <c r="AR330" s="3571"/>
      <c r="AS330" s="3571"/>
      <c r="AT330" s="3571"/>
      <c r="AU330" s="3571"/>
      <c r="AV330" s="3571"/>
      <c r="AW330" s="3571"/>
      <c r="AX330" s="3571"/>
      <c r="AY330" s="3571"/>
      <c r="AZ330" s="3571"/>
      <c r="BA330" s="3571"/>
      <c r="BB330" s="3571"/>
      <c r="BC330" s="3571"/>
      <c r="BD330" s="3571"/>
      <c r="BE330" s="3571"/>
      <c r="BF330" s="3571"/>
      <c r="BG330" s="3571"/>
      <c r="BH330" s="3571"/>
      <c r="BI330" s="3571"/>
      <c r="BJ330" s="3571"/>
      <c r="BK330" s="3571"/>
      <c r="BL330" s="3571"/>
      <c r="BM330" s="3571"/>
      <c r="BN330" s="3571"/>
      <c r="BO330" s="3571"/>
      <c r="BP330" s="3571"/>
      <c r="BQ330" s="3571"/>
      <c r="BR330" s="3571"/>
      <c r="BS330" s="3571"/>
      <c r="BT330" s="3571"/>
      <c r="BU330" s="3571"/>
      <c r="BV330" s="3571"/>
      <c r="BW330" s="3571"/>
      <c r="BX330" s="3571"/>
      <c r="BY330" s="3571"/>
      <c r="BZ330" s="3571"/>
      <c r="CA330" s="3571"/>
      <c r="CB330" s="3571"/>
      <c r="CC330" s="3571"/>
      <c r="CD330" s="3571"/>
      <c r="CE330" s="3571"/>
      <c r="CF330" s="3571"/>
      <c r="CG330" s="3571"/>
      <c r="CH330" s="3571"/>
      <c r="CI330" s="3571"/>
      <c r="CJ330" s="3571"/>
      <c r="CK330" s="3571"/>
      <c r="CL330" s="3571"/>
      <c r="CM330" s="3571"/>
      <c r="CN330" s="3571"/>
      <c r="CO330" s="3571"/>
      <c r="CP330" s="3571"/>
      <c r="CQ330" s="3571"/>
      <c r="CR330" s="3581"/>
      <c r="CS330" s="3728"/>
      <c r="CT330" s="3728" t="str">
        <f>IF(T330="","",T330)</f>
        <v>Добавить источник для дифференциации</v>
      </c>
      <c r="CU330" s="3728"/>
      <c r="CV330" s="3728"/>
    </row>
    <row s="7863" customFormat="1" customHeight="1" ht="0.75">
      <c r="A331" s="4239"/>
      <c r="B331" s="4239"/>
      <c r="C331" s="4239"/>
      <c r="D331" s="4239"/>
      <c r="E331" s="3717"/>
      <c r="F331" s="3718" t="s">
        <v>180</v>
      </c>
      <c r="G331" s="4239"/>
      <c r="H331" s="4239"/>
      <c r="I331" s="4239"/>
      <c r="J331" s="4239"/>
      <c r="K331" s="4239"/>
      <c r="L331" s="4240"/>
      <c r="M331" s="4247"/>
      <c r="N331" s="4247"/>
      <c r="O331" s="3581"/>
      <c r="P331" s="4242"/>
      <c r="Q331" s="4243"/>
      <c r="R331" s="4242"/>
      <c r="S331" s="4248"/>
      <c r="T331" s="4249" t="s">
        <v>255</v>
      </c>
      <c r="U331" s="3572"/>
      <c r="V331" s="3572"/>
      <c r="W331" s="3572"/>
      <c r="X331" s="3572"/>
      <c r="Y331" s="3572"/>
      <c r="Z331" s="3572"/>
      <c r="AA331" s="3572"/>
      <c r="AB331" s="3572"/>
      <c r="AC331" s="3572"/>
      <c r="AD331" s="3572"/>
      <c r="AE331" s="3572"/>
      <c r="AF331" s="3572"/>
      <c r="AG331" s="3572"/>
      <c r="AH331" s="3572"/>
      <c r="AI331" s="3572"/>
      <c r="AJ331" s="3572"/>
      <c r="AK331" s="3572"/>
      <c r="AL331" s="3572"/>
      <c r="AM331" s="3572"/>
      <c r="AN331" s="3572"/>
      <c r="AO331" s="3572"/>
      <c r="AP331" s="3572"/>
      <c r="AQ331" s="3572"/>
      <c r="AR331" s="3572"/>
      <c r="AS331" s="3572"/>
      <c r="AT331" s="3572"/>
      <c r="AU331" s="3572"/>
      <c r="AV331" s="3572"/>
      <c r="AW331" s="3572"/>
      <c r="AX331" s="3572"/>
      <c r="AY331" s="3572"/>
      <c r="AZ331" s="3572"/>
      <c r="BA331" s="3572"/>
      <c r="BB331" s="3572"/>
      <c r="BC331" s="3572"/>
      <c r="BD331" s="3572"/>
      <c r="BE331" s="3572"/>
      <c r="BF331" s="3572"/>
      <c r="BG331" s="3572"/>
      <c r="BH331" s="3572"/>
      <c r="BI331" s="3572"/>
      <c r="BJ331" s="3572"/>
      <c r="BK331" s="3572"/>
      <c r="BL331" s="3572"/>
      <c r="BM331" s="3572"/>
      <c r="BN331" s="3572"/>
      <c r="BO331" s="3572"/>
      <c r="BP331" s="3572"/>
      <c r="BQ331" s="3572"/>
      <c r="BR331" s="3572"/>
      <c r="BS331" s="3572"/>
      <c r="BT331" s="3572"/>
      <c r="BU331" s="3572"/>
      <c r="BV331" s="3572"/>
      <c r="BW331" s="3572"/>
      <c r="BX331" s="3572"/>
      <c r="BY331" s="3572"/>
      <c r="BZ331" s="3572"/>
      <c r="CA331" s="3572"/>
      <c r="CB331" s="3572"/>
      <c r="CC331" s="3572"/>
      <c r="CD331" s="3572"/>
      <c r="CE331" s="3572"/>
      <c r="CF331" s="3572"/>
      <c r="CG331" s="3572"/>
      <c r="CH331" s="3572"/>
      <c r="CI331" s="3572"/>
      <c r="CJ331" s="3572"/>
      <c r="CK331" s="3572"/>
      <c r="CL331" s="3572"/>
      <c r="CM331" s="3572"/>
      <c r="CN331" s="3572"/>
      <c r="CO331" s="3572"/>
      <c r="CP331" s="3572"/>
      <c r="CQ331" s="3572"/>
      <c r="CR331" s="3581"/>
      <c r="CS331" s="3728"/>
      <c r="CT331" s="3728" t="str">
        <f>IF(T331="","",T331)</f>
        <v>Добавить централизованную систему для дифференциации</v>
      </c>
      <c r="CU331" s="3728"/>
      <c r="CV331" s="3728"/>
    </row>
    <row s="2612" customFormat="1" customHeight="1" ht="0.75">
      <c r="A332" s="1373" t="s">
        <v>246</v>
      </c>
      <c r="B332" s="1373"/>
      <c r="C332" s="1373"/>
      <c r="D332" s="1373"/>
      <c r="E332" s="2107"/>
      <c r="F332" s="1373"/>
      <c r="G332" s="1373"/>
      <c r="H332" s="1373"/>
      <c r="I332" s="1373"/>
      <c r="J332" s="1373"/>
      <c r="K332" s="1373"/>
      <c r="L332" s="1376"/>
      <c r="M332" s="1351"/>
      <c r="N332" s="1351"/>
      <c r="O332" s="524"/>
      <c r="P332" s="385"/>
      <c r="Q332" s="1374"/>
      <c r="R332" s="385"/>
      <c r="S332" s="1352"/>
      <c r="T332" s="1355" t="s">
        <v>329</v>
      </c>
      <c r="U332" s="1354"/>
      <c r="V332" s="1354"/>
      <c r="W332" s="1354"/>
      <c r="X332" s="1354"/>
      <c r="Y332" s="1354"/>
      <c r="Z332" s="1354"/>
      <c r="AA332" s="1354"/>
      <c r="AB332" s="1354"/>
      <c r="AC332" s="1354"/>
      <c r="AD332" s="1354"/>
      <c r="AE332" s="1354"/>
      <c r="AF332" s="1354"/>
      <c r="AG332" s="1354"/>
      <c r="AH332" s="1354"/>
      <c r="AI332" s="1354"/>
      <c r="AJ332" s="1354"/>
      <c r="AK332" s="1354"/>
      <c r="AL332" s="3572"/>
      <c r="AM332" s="3572"/>
      <c r="AN332" s="3572"/>
      <c r="AO332" s="3572"/>
      <c r="AP332" s="3572"/>
      <c r="AQ332" s="3572"/>
      <c r="AR332" s="3572"/>
      <c r="AS332" s="3572"/>
      <c r="AT332" s="3572"/>
      <c r="AU332" s="3572"/>
      <c r="AV332" s="3572"/>
      <c r="AW332" s="3572"/>
      <c r="AX332" s="3572"/>
      <c r="AY332" s="3572"/>
      <c r="AZ332" s="3572"/>
      <c r="BA332" s="3572"/>
      <c r="BB332" s="3572"/>
      <c r="BC332" s="3572"/>
      <c r="BD332" s="3572"/>
      <c r="BE332" s="3572"/>
      <c r="BF332" s="3572"/>
      <c r="BG332" s="3572"/>
      <c r="BH332" s="3572"/>
      <c r="BI332" s="3572"/>
      <c r="BJ332" s="3572"/>
      <c r="BK332" s="3572"/>
      <c r="BL332" s="3572"/>
      <c r="BM332" s="3572"/>
      <c r="BN332" s="3572"/>
      <c r="BO332" s="3572"/>
      <c r="BP332" s="3572"/>
      <c r="BQ332" s="3572"/>
      <c r="BR332" s="3572"/>
      <c r="BS332" s="3572"/>
      <c r="BT332" s="3572"/>
      <c r="BU332" s="3572"/>
      <c r="BV332" s="3572"/>
      <c r="BW332" s="3572"/>
      <c r="BX332" s="3572"/>
      <c r="BY332" s="3572"/>
      <c r="BZ332" s="3572"/>
      <c r="CA332" s="3572"/>
      <c r="CB332" s="3572"/>
      <c r="CC332" s="3572"/>
      <c r="CD332" s="3572"/>
      <c r="CE332" s="3572"/>
      <c r="CF332" s="3572"/>
      <c r="CG332" s="3572"/>
      <c r="CH332" s="3572"/>
      <c r="CI332" s="3572"/>
      <c r="CJ332" s="3572"/>
      <c r="CK332" s="3572"/>
      <c r="CL332" s="3572"/>
      <c r="CM332" s="3572"/>
      <c r="CN332" s="3572"/>
      <c r="CO332" s="3572"/>
      <c r="CP332" s="1354"/>
      <c r="CQ332" s="1354"/>
      <c r="CS332" s="506"/>
      <c r="CT332" s="506" t="str">
        <f>IF(T332="","",T332)</f>
        <v>Добавить территорию для дифференциации</v>
      </c>
      <c r="CU332" s="506"/>
      <c r="CV332" s="506"/>
    </row>
    <row s="7864" customFormat="1" customHeight="1" ht="21">
      <c r="A333" s="3716" t="s">
        <v>331</v>
      </c>
      <c r="B333" s="3716"/>
      <c r="C333" s="3716"/>
      <c r="D333" s="3716"/>
      <c r="E333" s="3718" t="s">
        <v>104</v>
      </c>
      <c r="F333" s="3716"/>
      <c r="G333" s="3716"/>
      <c r="H333" s="3716"/>
      <c r="I333" s="3716"/>
      <c r="J333" s="3716"/>
      <c r="K333" s="3716"/>
      <c r="L333" s="3719"/>
      <c r="M333" s="3720"/>
      <c r="N333" s="3720"/>
      <c r="O333" s="3720"/>
      <c r="P333" s="7865"/>
      <c r="Q333" s="3905"/>
      <c r="R333" s="3907"/>
      <c r="S333" s="3724" t="str">
        <f>INDEX(PT_DIFFERENTIATION_NUM_NTAR,MATCH(A333,PT_DIFFERENTIATION_NTAR_ID,0))</f>
        <v>2</v>
      </c>
      <c r="T333" s="7866" t="s">
        <v>204</v>
      </c>
      <c r="U333" s="3726"/>
      <c r="V333" s="3432"/>
      <c r="W333" s="3433"/>
      <c r="X333" s="3433"/>
      <c r="Y333" s="3433"/>
      <c r="Z333" s="3433"/>
      <c r="AA333" s="3433"/>
      <c r="AB333" s="3433"/>
      <c r="AC333" s="3434"/>
      <c r="AD333" s="3432" t="str">
        <f>INDEX(PT_DIFFERENTIATION_NTAR,MATCH(A333,PT_DIFFERENTIATION_NTAR_ID,0))</f>
        <v>Тариф на теплоноситель, поставляемый населению</v>
      </c>
      <c r="AE333" s="3433"/>
      <c r="AF333" s="3433"/>
      <c r="AG333" s="3433"/>
      <c r="AH333" s="3433"/>
      <c r="AI333" s="3433"/>
      <c r="AJ333" s="3433"/>
      <c r="AK333" s="3433"/>
      <c r="AL333" s="3432"/>
      <c r="AM333" s="3433"/>
      <c r="AN333" s="3433"/>
      <c r="AO333" s="3433"/>
      <c r="AP333" s="3433"/>
      <c r="AQ333" s="3433"/>
      <c r="AR333" s="3433"/>
      <c r="AS333" s="3434"/>
      <c r="AT333" s="3432"/>
      <c r="AU333" s="3433"/>
      <c r="AV333" s="3433"/>
      <c r="AW333" s="3433"/>
      <c r="AX333" s="3433"/>
      <c r="AY333" s="3433"/>
      <c r="AZ333" s="3433"/>
      <c r="BA333" s="3434"/>
      <c r="BB333" s="3432"/>
      <c r="BC333" s="3433"/>
      <c r="BD333" s="3433"/>
      <c r="BE333" s="3433"/>
      <c r="BF333" s="3433"/>
      <c r="BG333" s="3433"/>
      <c r="BH333" s="3433"/>
      <c r="BI333" s="3434"/>
      <c r="BJ333" s="3432"/>
      <c r="BK333" s="3433"/>
      <c r="BL333" s="3433"/>
      <c r="BM333" s="3433"/>
      <c r="BN333" s="3433"/>
      <c r="BO333" s="3433"/>
      <c r="BP333" s="3433"/>
      <c r="BQ333" s="3434"/>
      <c r="BR333" s="3432"/>
      <c r="BS333" s="3433"/>
      <c r="BT333" s="3433"/>
      <c r="BU333" s="3433"/>
      <c r="BV333" s="3433"/>
      <c r="BW333" s="3433"/>
      <c r="BX333" s="3433"/>
      <c r="BY333" s="3434"/>
      <c r="BZ333" s="3432"/>
      <c r="CA333" s="3433"/>
      <c r="CB333" s="3433"/>
      <c r="CC333" s="3433"/>
      <c r="CD333" s="3433"/>
      <c r="CE333" s="3433"/>
      <c r="CF333" s="3433"/>
      <c r="CG333" s="3434"/>
      <c r="CH333" s="3432"/>
      <c r="CI333" s="3433"/>
      <c r="CJ333" s="3433"/>
      <c r="CK333" s="3433"/>
      <c r="CL333" s="3433"/>
      <c r="CM333" s="3433"/>
      <c r="CN333" s="3433"/>
      <c r="CO333" s="3434"/>
      <c r="CP333" s="3434"/>
      <c r="CQ333" s="3727" t="s">
        <v>611</v>
      </c>
      <c r="CR333" s="3581"/>
      <c r="CS333" s="3728"/>
      <c r="CT333" s="3728" t="str">
        <f>IF(T333="","",T333)</f>
        <v>Наименование тарифа</v>
      </c>
      <c r="CU333" s="3728"/>
      <c r="CV333" s="3728"/>
    </row>
    <row s="7867" customFormat="1" customHeight="1" ht="21">
      <c r="A334" s="3716"/>
      <c r="B334" s="3716" t="s">
        <v>332</v>
      </c>
      <c r="C334" s="3716"/>
      <c r="D334" s="3716"/>
      <c r="E334" s="3717">
        <v>1</v>
      </c>
      <c r="F334" s="3718">
        <v>1</v>
      </c>
      <c r="G334" s="3716"/>
      <c r="H334" s="3716"/>
      <c r="I334" s="3716"/>
      <c r="J334" s="3716"/>
      <c r="K334" s="3716"/>
      <c r="L334" s="3719"/>
      <c r="M334" s="3720"/>
      <c r="N334" s="3720"/>
      <c r="O334" s="3720"/>
      <c r="P334" s="4073"/>
      <c r="Q334" s="3722"/>
      <c r="R334" s="3723"/>
      <c r="S334" s="3724" t="str">
        <f>INDEX(PT_DIFFERENTIATION_NUM_TER,MATCH(B334,PT_DIFFERENTIATION_TER_ID,0))</f>
        <v>2.1</v>
      </c>
      <c r="T334" s="4074" t="s">
        <v>612</v>
      </c>
      <c r="U334" s="3726"/>
      <c r="V334" s="3432"/>
      <c r="W334" s="3433"/>
      <c r="X334" s="3433"/>
      <c r="Y334" s="3433"/>
      <c r="Z334" s="3433"/>
      <c r="AA334" s="3433"/>
      <c r="AB334" s="3433"/>
      <c r="AC334" s="3434"/>
      <c r="AD334" s="3432" t="str">
        <f>INDEX(PT_DIFFERENTIATION_TER,MATCH(B334,PT_DIFFERENTIATION_TER_ID,0))</f>
        <v>Территория 1</v>
      </c>
      <c r="AE334" s="3433"/>
      <c r="AF334" s="3433"/>
      <c r="AG334" s="3433"/>
      <c r="AH334" s="3433"/>
      <c r="AI334" s="3433"/>
      <c r="AJ334" s="3433"/>
      <c r="AK334" s="3433"/>
      <c r="AL334" s="3432"/>
      <c r="AM334" s="3433"/>
      <c r="AN334" s="3433"/>
      <c r="AO334" s="3433"/>
      <c r="AP334" s="3433"/>
      <c r="AQ334" s="3433"/>
      <c r="AR334" s="3433"/>
      <c r="AS334" s="3434"/>
      <c r="AT334" s="3432"/>
      <c r="AU334" s="3433"/>
      <c r="AV334" s="3433"/>
      <c r="AW334" s="3433"/>
      <c r="AX334" s="3433"/>
      <c r="AY334" s="3433"/>
      <c r="AZ334" s="3433"/>
      <c r="BA334" s="3434"/>
      <c r="BB334" s="3432"/>
      <c r="BC334" s="3433"/>
      <c r="BD334" s="3433"/>
      <c r="BE334" s="3433"/>
      <c r="BF334" s="3433"/>
      <c r="BG334" s="3433"/>
      <c r="BH334" s="3433"/>
      <c r="BI334" s="3434"/>
      <c r="BJ334" s="3432"/>
      <c r="BK334" s="3433"/>
      <c r="BL334" s="3433"/>
      <c r="BM334" s="3433"/>
      <c r="BN334" s="3433"/>
      <c r="BO334" s="3433"/>
      <c r="BP334" s="3433"/>
      <c r="BQ334" s="3434"/>
      <c r="BR334" s="3432"/>
      <c r="BS334" s="3433"/>
      <c r="BT334" s="3433"/>
      <c r="BU334" s="3433"/>
      <c r="BV334" s="3433"/>
      <c r="BW334" s="3433"/>
      <c r="BX334" s="3433"/>
      <c r="BY334" s="3434"/>
      <c r="BZ334" s="3432"/>
      <c r="CA334" s="3433"/>
      <c r="CB334" s="3433"/>
      <c r="CC334" s="3433"/>
      <c r="CD334" s="3433"/>
      <c r="CE334" s="3433"/>
      <c r="CF334" s="3433"/>
      <c r="CG334" s="3434"/>
      <c r="CH334" s="3432"/>
      <c r="CI334" s="3433"/>
      <c r="CJ334" s="3433"/>
      <c r="CK334" s="3433"/>
      <c r="CL334" s="3433"/>
      <c r="CM334" s="3433"/>
      <c r="CN334" s="3433"/>
      <c r="CO334" s="3434"/>
      <c r="CP334" s="3434"/>
      <c r="CQ334" s="3727" t="s">
        <v>613</v>
      </c>
      <c r="CR334" s="3581"/>
      <c r="CS334" s="3728"/>
      <c r="CT334" s="3728" t="str">
        <f>IF(T334="","",T334)</f>
        <v>Территория действия тарифа</v>
      </c>
      <c r="CU334" s="3728"/>
      <c r="CV334" s="3728"/>
    </row>
    <row s="7868" customFormat="1" customHeight="1" ht="23.25">
      <c r="A335" s="3716"/>
      <c r="B335" s="3716"/>
      <c r="C335" s="3716" t="s">
        <v>333</v>
      </c>
      <c r="D335" s="3716"/>
      <c r="E335" s="3717">
        <v>1</v>
      </c>
      <c r="F335" s="3717"/>
      <c r="G335" s="3718">
        <v>1</v>
      </c>
      <c r="H335" s="3716"/>
      <c r="I335" s="3716"/>
      <c r="J335" s="3716"/>
      <c r="K335" s="3716"/>
      <c r="L335" s="3719"/>
      <c r="M335" s="3720"/>
      <c r="N335" s="3720"/>
      <c r="O335" s="3720"/>
      <c r="P335" s="3721"/>
      <c r="Q335" s="3722"/>
      <c r="R335" s="3723"/>
      <c r="S335" s="3724" t="str">
        <f>INDEX(PT_DIFFERENTIATION_NUM_CS,MATCH(C335,PT_DIFFERENTIATION_CS_ID,0))</f>
        <v>2.1.1</v>
      </c>
      <c r="T335" s="4076" t="s">
        <v>614</v>
      </c>
      <c r="U335" s="3726"/>
      <c r="V335" s="3432"/>
      <c r="W335" s="3433"/>
      <c r="X335" s="3433"/>
      <c r="Y335" s="3433"/>
      <c r="Z335" s="3433"/>
      <c r="AA335" s="3433"/>
      <c r="AB335" s="3433"/>
      <c r="AC335" s="3434"/>
      <c r="AD335" s="3432" t="str">
        <f>INDEX(PT_DIFFERENTIATION_CS,MATCH(C335,PT_DIFFERENTIATION_CS_ID,0))</f>
        <v>без дифференциации</v>
      </c>
      <c r="AE335" s="3433"/>
      <c r="AF335" s="3433"/>
      <c r="AG335" s="3433"/>
      <c r="AH335" s="3433"/>
      <c r="AI335" s="3433"/>
      <c r="AJ335" s="3433"/>
      <c r="AK335" s="3433"/>
      <c r="AL335" s="3432"/>
      <c r="AM335" s="3433"/>
      <c r="AN335" s="3433"/>
      <c r="AO335" s="3433"/>
      <c r="AP335" s="3433"/>
      <c r="AQ335" s="3433"/>
      <c r="AR335" s="3433"/>
      <c r="AS335" s="3434"/>
      <c r="AT335" s="3432"/>
      <c r="AU335" s="3433"/>
      <c r="AV335" s="3433"/>
      <c r="AW335" s="3433"/>
      <c r="AX335" s="3433"/>
      <c r="AY335" s="3433"/>
      <c r="AZ335" s="3433"/>
      <c r="BA335" s="3434"/>
      <c r="BB335" s="3432"/>
      <c r="BC335" s="3433"/>
      <c r="BD335" s="3433"/>
      <c r="BE335" s="3433"/>
      <c r="BF335" s="3433"/>
      <c r="BG335" s="3433"/>
      <c r="BH335" s="3433"/>
      <c r="BI335" s="3434"/>
      <c r="BJ335" s="3432"/>
      <c r="BK335" s="3433"/>
      <c r="BL335" s="3433"/>
      <c r="BM335" s="3433"/>
      <c r="BN335" s="3433"/>
      <c r="BO335" s="3433"/>
      <c r="BP335" s="3433"/>
      <c r="BQ335" s="3434"/>
      <c r="BR335" s="3432"/>
      <c r="BS335" s="3433"/>
      <c r="BT335" s="3433"/>
      <c r="BU335" s="3433"/>
      <c r="BV335" s="3433"/>
      <c r="BW335" s="3433"/>
      <c r="BX335" s="3433"/>
      <c r="BY335" s="3434"/>
      <c r="BZ335" s="3432"/>
      <c r="CA335" s="3433"/>
      <c r="CB335" s="3433"/>
      <c r="CC335" s="3433"/>
      <c r="CD335" s="3433"/>
      <c r="CE335" s="3433"/>
      <c r="CF335" s="3433"/>
      <c r="CG335" s="3434"/>
      <c r="CH335" s="3432"/>
      <c r="CI335" s="3433"/>
      <c r="CJ335" s="3433"/>
      <c r="CK335" s="3433"/>
      <c r="CL335" s="3433"/>
      <c r="CM335" s="3433"/>
      <c r="CN335" s="3433"/>
      <c r="CO335" s="3434"/>
      <c r="CP335" s="3434"/>
      <c r="CQ335" s="3727" t="s">
        <v>615</v>
      </c>
      <c r="CR335" s="3581"/>
      <c r="CS335" s="3728"/>
      <c r="CT335" s="3728" t="str">
        <f>IF(T335="","",T335)</f>
        <v>Наименование системы теплоснабжения </v>
      </c>
      <c r="CU335" s="3728"/>
      <c r="CV335" s="3728"/>
    </row>
    <row s="7869" customFormat="1" customHeight="1" ht="21">
      <c r="A336" s="3716"/>
      <c r="B336" s="3716"/>
      <c r="C336" s="3716"/>
      <c r="D336" s="3716" t="s">
        <v>334</v>
      </c>
      <c r="E336" s="3717">
        <v>1</v>
      </c>
      <c r="F336" s="3717"/>
      <c r="G336" s="3717"/>
      <c r="H336" s="3718">
        <v>1</v>
      </c>
      <c r="I336" s="3716"/>
      <c r="J336" s="3716"/>
      <c r="K336" s="3716"/>
      <c r="L336" s="3719"/>
      <c r="M336" s="3720"/>
      <c r="N336" s="3720"/>
      <c r="O336" s="3720"/>
      <c r="P336" s="3721"/>
      <c r="Q336" s="3722"/>
      <c r="R336" s="3723"/>
      <c r="S336" s="3724" t="str">
        <f>INDEX(PT_DIFFERENTIATION_NUM_IST_TE,MATCH(D336,PT_DIFFERENTIATION_IST_TE_ID,0))</f>
        <v>2.1.1.1</v>
      </c>
      <c r="T336" s="3725" t="s">
        <v>616</v>
      </c>
      <c r="U336" s="3726"/>
      <c r="V336" s="3432"/>
      <c r="W336" s="3433"/>
      <c r="X336" s="3433"/>
      <c r="Y336" s="3433"/>
      <c r="Z336" s="3433"/>
      <c r="AA336" s="3433"/>
      <c r="AB336" s="3433"/>
      <c r="AC336" s="3434"/>
      <c r="AD336" s="3432" t="str">
        <f>INDEX(PT_DIFFERENTIATION_IST_TE,MATCH(D336,PT_DIFFERENTIATION_IST_TE_ID,0))</f>
        <v>г.о. город-герой Мурманск (с учетом транспортировки по сетям АО "Звездочка" филиал "35 СРЗ")</v>
      </c>
      <c r="AE336" s="3433"/>
      <c r="AF336" s="3433"/>
      <c r="AG336" s="3433"/>
      <c r="AH336" s="3433"/>
      <c r="AI336" s="3433"/>
      <c r="AJ336" s="3433"/>
      <c r="AK336" s="3433"/>
      <c r="AL336" s="3432"/>
      <c r="AM336" s="3433"/>
      <c r="AN336" s="3433"/>
      <c r="AO336" s="3433"/>
      <c r="AP336" s="3433"/>
      <c r="AQ336" s="3433"/>
      <c r="AR336" s="3433"/>
      <c r="AS336" s="3434"/>
      <c r="AT336" s="3432"/>
      <c r="AU336" s="3433"/>
      <c r="AV336" s="3433"/>
      <c r="AW336" s="3433"/>
      <c r="AX336" s="3433"/>
      <c r="AY336" s="3433"/>
      <c r="AZ336" s="3433"/>
      <c r="BA336" s="3434"/>
      <c r="BB336" s="3432"/>
      <c r="BC336" s="3433"/>
      <c r="BD336" s="3433"/>
      <c r="BE336" s="3433"/>
      <c r="BF336" s="3433"/>
      <c r="BG336" s="3433"/>
      <c r="BH336" s="3433"/>
      <c r="BI336" s="3434"/>
      <c r="BJ336" s="3432"/>
      <c r="BK336" s="3433"/>
      <c r="BL336" s="3433"/>
      <c r="BM336" s="3433"/>
      <c r="BN336" s="3433"/>
      <c r="BO336" s="3433"/>
      <c r="BP336" s="3433"/>
      <c r="BQ336" s="3434"/>
      <c r="BR336" s="3432"/>
      <c r="BS336" s="3433"/>
      <c r="BT336" s="3433"/>
      <c r="BU336" s="3433"/>
      <c r="BV336" s="3433"/>
      <c r="BW336" s="3433"/>
      <c r="BX336" s="3433"/>
      <c r="BY336" s="3434"/>
      <c r="BZ336" s="3432"/>
      <c r="CA336" s="3433"/>
      <c r="CB336" s="3433"/>
      <c r="CC336" s="3433"/>
      <c r="CD336" s="3433"/>
      <c r="CE336" s="3433"/>
      <c r="CF336" s="3433"/>
      <c r="CG336" s="3434"/>
      <c r="CH336" s="3432"/>
      <c r="CI336" s="3433"/>
      <c r="CJ336" s="3433"/>
      <c r="CK336" s="3433"/>
      <c r="CL336" s="3433"/>
      <c r="CM336" s="3433"/>
      <c r="CN336" s="3433"/>
      <c r="CO336" s="3434"/>
      <c r="CP336" s="3434"/>
      <c r="CQ336" s="3727" t="s">
        <v>617</v>
      </c>
      <c r="CR336" s="3581"/>
      <c r="CS336" s="3728"/>
      <c r="CT336" s="3728" t="str">
        <f>IF(T336="","",T336)</f>
        <v>Источник тепловой энергии  </v>
      </c>
      <c r="CU336" s="3728"/>
      <c r="CV336" s="3728"/>
    </row>
    <row s="7870" customFormat="1" customHeight="1" ht="14.25">
      <c r="A337" s="3716"/>
      <c r="B337" s="3716"/>
      <c r="C337" s="3716"/>
      <c r="D337" s="3716"/>
      <c r="E337" s="3717">
        <v>1</v>
      </c>
      <c r="F337" s="3717"/>
      <c r="G337" s="3717"/>
      <c r="H337" s="3717"/>
      <c r="I337" s="3730" t="str">
        <f>S336&amp;".1"</f>
        <v>2.1.1.1.1</v>
      </c>
      <c r="J337" s="3716"/>
      <c r="K337" s="3716"/>
      <c r="L337" s="3719" t="s">
        <v>618</v>
      </c>
      <c r="M337" s="3573"/>
      <c r="N337" s="3731"/>
      <c r="O337" s="3731"/>
      <c r="P337" s="3732">
        <v>1</v>
      </c>
      <c r="Q337" s="3732"/>
      <c r="R337" s="3733"/>
      <c r="S337" s="3734"/>
      <c r="T337" s="3735"/>
      <c r="U337" s="3736"/>
      <c r="V337" s="3441"/>
      <c r="W337" s="3442"/>
      <c r="X337" s="3442"/>
      <c r="Y337" s="3442"/>
      <c r="Z337" s="3442"/>
      <c r="AA337" s="3442"/>
      <c r="AB337" s="3442"/>
      <c r="AC337" s="3443"/>
      <c r="AD337" s="3441"/>
      <c r="AE337" s="3442"/>
      <c r="AF337" s="3442"/>
      <c r="AG337" s="3442"/>
      <c r="AH337" s="3442"/>
      <c r="AI337" s="3442"/>
      <c r="AJ337" s="3442"/>
      <c r="AK337" s="3442"/>
      <c r="AL337" s="3441"/>
      <c r="AM337" s="3442"/>
      <c r="AN337" s="3442"/>
      <c r="AO337" s="3442"/>
      <c r="AP337" s="3442"/>
      <c r="AQ337" s="3442"/>
      <c r="AR337" s="3442"/>
      <c r="AS337" s="3443"/>
      <c r="AT337" s="3441"/>
      <c r="AU337" s="3442"/>
      <c r="AV337" s="3442"/>
      <c r="AW337" s="3442"/>
      <c r="AX337" s="3442"/>
      <c r="AY337" s="3442"/>
      <c r="AZ337" s="3442"/>
      <c r="BA337" s="3443"/>
      <c r="BB337" s="3441"/>
      <c r="BC337" s="3442"/>
      <c r="BD337" s="3442"/>
      <c r="BE337" s="3442"/>
      <c r="BF337" s="3442"/>
      <c r="BG337" s="3442"/>
      <c r="BH337" s="3442"/>
      <c r="BI337" s="3443"/>
      <c r="BJ337" s="3441"/>
      <c r="BK337" s="3442"/>
      <c r="BL337" s="3442"/>
      <c r="BM337" s="3442"/>
      <c r="BN337" s="3442"/>
      <c r="BO337" s="3442"/>
      <c r="BP337" s="3442"/>
      <c r="BQ337" s="3443"/>
      <c r="BR337" s="3441"/>
      <c r="BS337" s="3442"/>
      <c r="BT337" s="3442"/>
      <c r="BU337" s="3442"/>
      <c r="BV337" s="3442"/>
      <c r="BW337" s="3442"/>
      <c r="BX337" s="3442"/>
      <c r="BY337" s="3443"/>
      <c r="BZ337" s="3441"/>
      <c r="CA337" s="3442"/>
      <c r="CB337" s="3442"/>
      <c r="CC337" s="3442"/>
      <c r="CD337" s="3442"/>
      <c r="CE337" s="3442"/>
      <c r="CF337" s="3442"/>
      <c r="CG337" s="3443"/>
      <c r="CH337" s="3441"/>
      <c r="CI337" s="3442"/>
      <c r="CJ337" s="3442"/>
      <c r="CK337" s="3442"/>
      <c r="CL337" s="3442"/>
      <c r="CM337" s="3442"/>
      <c r="CN337" s="3442"/>
      <c r="CO337" s="3443"/>
      <c r="CP337" s="3443"/>
      <c r="CQ337" s="3737"/>
      <c r="CR337" s="3581"/>
      <c r="CS337" s="3728"/>
      <c r="CT337" s="3728" t="str">
        <f>IF(T337="","",T337)</f>
        <v/>
      </c>
      <c r="CU337" s="3728"/>
      <c r="CV337" s="3728"/>
    </row>
    <row s="7871" customFormat="1" customHeight="1" ht="21">
      <c r="A338" s="3716"/>
      <c r="B338" s="3716"/>
      <c r="C338" s="3716"/>
      <c r="D338" s="3716"/>
      <c r="E338" s="3717">
        <v>1</v>
      </c>
      <c r="F338" s="3717"/>
      <c r="G338" s="3717"/>
      <c r="H338" s="3717"/>
      <c r="I338" s="3739"/>
      <c r="J338" s="3730" t="str">
        <f>I337&amp;".1"</f>
        <v>2.1.1.1.1.1</v>
      </c>
      <c r="K338" s="3716"/>
      <c r="L338" s="3719" t="s">
        <v>621</v>
      </c>
      <c r="M338" s="3573"/>
      <c r="N338" s="3573"/>
      <c r="O338" s="3731"/>
      <c r="P338" s="3732"/>
      <c r="Q338" s="3732">
        <v>1</v>
      </c>
      <c r="R338" s="3740"/>
      <c r="S338" s="3724" t="str">
        <f>$J338</f>
        <v>2.1.1.1.1.1</v>
      </c>
      <c r="T338" s="3741" t="s">
        <v>622</v>
      </c>
      <c r="U338" s="3726"/>
      <c r="V338" s="3445"/>
      <c r="W338" s="3446"/>
      <c r="X338" s="3446"/>
      <c r="Y338" s="3446"/>
      <c r="Z338" s="3446"/>
      <c r="AA338" s="3446"/>
      <c r="AB338" s="3446"/>
      <c r="AC338" s="3447"/>
      <c r="AD338" s="3445" t="s">
        <v>665</v>
      </c>
      <c r="AE338" s="3446"/>
      <c r="AF338" s="3446"/>
      <c r="AG338" s="3446"/>
      <c r="AH338" s="3446"/>
      <c r="AI338" s="3446"/>
      <c r="AJ338" s="3446"/>
      <c r="AK338" s="3446"/>
      <c r="AL338" s="3445"/>
      <c r="AM338" s="3446"/>
      <c r="AN338" s="3446"/>
      <c r="AO338" s="3446"/>
      <c r="AP338" s="3446"/>
      <c r="AQ338" s="3446"/>
      <c r="AR338" s="3446"/>
      <c r="AS338" s="3447"/>
      <c r="AT338" s="3445"/>
      <c r="AU338" s="3446"/>
      <c r="AV338" s="3446"/>
      <c r="AW338" s="3446"/>
      <c r="AX338" s="3446"/>
      <c r="AY338" s="3446"/>
      <c r="AZ338" s="3446"/>
      <c r="BA338" s="3447"/>
      <c r="BB338" s="3445"/>
      <c r="BC338" s="3446"/>
      <c r="BD338" s="3446"/>
      <c r="BE338" s="3446"/>
      <c r="BF338" s="3446"/>
      <c r="BG338" s="3446"/>
      <c r="BH338" s="3446"/>
      <c r="BI338" s="3447"/>
      <c r="BJ338" s="3445"/>
      <c r="BK338" s="3446"/>
      <c r="BL338" s="3446"/>
      <c r="BM338" s="3446"/>
      <c r="BN338" s="3446"/>
      <c r="BO338" s="3446"/>
      <c r="BP338" s="3446"/>
      <c r="BQ338" s="3447"/>
      <c r="BR338" s="3445"/>
      <c r="BS338" s="3446"/>
      <c r="BT338" s="3446"/>
      <c r="BU338" s="3446"/>
      <c r="BV338" s="3446"/>
      <c r="BW338" s="3446"/>
      <c r="BX338" s="3446"/>
      <c r="BY338" s="3447"/>
      <c r="BZ338" s="3445"/>
      <c r="CA338" s="3446"/>
      <c r="CB338" s="3446"/>
      <c r="CC338" s="3446"/>
      <c r="CD338" s="3446"/>
      <c r="CE338" s="3446"/>
      <c r="CF338" s="3446"/>
      <c r="CG338" s="3447"/>
      <c r="CH338" s="3445"/>
      <c r="CI338" s="3446"/>
      <c r="CJ338" s="3446"/>
      <c r="CK338" s="3446"/>
      <c r="CL338" s="3446"/>
      <c r="CM338" s="3446"/>
      <c r="CN338" s="3446"/>
      <c r="CO338" s="3447"/>
      <c r="CP338" s="3447"/>
      <c r="CQ338" s="3727" t="s">
        <v>623</v>
      </c>
      <c r="CR338" s="3581"/>
      <c r="CS338" s="3728"/>
      <c r="CT338" s="3728" t="str">
        <f>IF(T338="","",T338)</f>
        <v>Группа потребителей</v>
      </c>
      <c r="CU338" s="3728"/>
      <c r="CV338" s="3728"/>
    </row>
    <row s="7872" customFormat="1" customHeight="1" ht="21">
      <c r="A339" s="3716"/>
      <c r="B339" s="3716"/>
      <c r="C339" s="3716"/>
      <c r="D339" s="3716"/>
      <c r="E339" s="3717">
        <v>1</v>
      </c>
      <c r="F339" s="3717"/>
      <c r="G339" s="3717"/>
      <c r="H339" s="3717"/>
      <c r="I339" s="3739"/>
      <c r="J339" s="3739"/>
      <c r="K339" s="3730" t="str">
        <f>J338&amp;".1"</f>
        <v>2.1.1.1.1.1.1</v>
      </c>
      <c r="L339" s="3719" t="s">
        <v>624</v>
      </c>
      <c r="M339" s="3573"/>
      <c r="N339" s="3573"/>
      <c r="O339" s="3573"/>
      <c r="P339" s="3732"/>
      <c r="Q339" s="3732"/>
      <c r="R339" s="3740">
        <v>1</v>
      </c>
      <c r="S339" s="3724" t="str">
        <f>$K339</f>
        <v>2.1.1.1.1.1.1</v>
      </c>
      <c r="T339" s="3743" t="s">
        <v>663</v>
      </c>
      <c r="U339" s="3726"/>
      <c r="V339" s="3448"/>
      <c r="W339" s="3449"/>
      <c r="X339" s="3448"/>
      <c r="Y339" s="3450"/>
      <c r="Z339" s="3451"/>
      <c r="AA339" s="2872" t="s">
        <v>63</v>
      </c>
      <c r="AB339" s="3451"/>
      <c r="AC339" s="2872" t="s">
        <v>63</v>
      </c>
      <c r="AD339" s="3448">
        <v>44.88</v>
      </c>
      <c r="AE339" s="3449"/>
      <c r="AF339" s="3448"/>
      <c r="AG339" s="3450"/>
      <c r="AH339" s="3451">
        <v>44197</v>
      </c>
      <c r="AI339" s="2872" t="s">
        <v>63</v>
      </c>
      <c r="AJ339" s="3451">
        <v>44377</v>
      </c>
      <c r="AK339" s="2872" t="s">
        <v>63</v>
      </c>
      <c r="AL339" s="3448">
        <v>52.2</v>
      </c>
      <c r="AM339" s="3449"/>
      <c r="AN339" s="3448"/>
      <c r="AO339" s="3450"/>
      <c r="AP339" s="3451">
        <v>44378</v>
      </c>
      <c r="AQ339" s="2872" t="s">
        <v>63</v>
      </c>
      <c r="AR339" s="3451">
        <v>44561</v>
      </c>
      <c r="AS339" s="2872" t="s">
        <v>63</v>
      </c>
      <c r="AT339" s="3448">
        <v>49.92</v>
      </c>
      <c r="AU339" s="3449"/>
      <c r="AV339" s="3448"/>
      <c r="AW339" s="3450"/>
      <c r="AX339" s="3451">
        <v>44562</v>
      </c>
      <c r="AY339" s="2872" t="s">
        <v>63</v>
      </c>
      <c r="AZ339" s="3451">
        <v>44601</v>
      </c>
      <c r="BA339" s="2872" t="s">
        <v>63</v>
      </c>
      <c r="BB339" s="3448">
        <v>49.92</v>
      </c>
      <c r="BC339" s="3449"/>
      <c r="BD339" s="3448"/>
      <c r="BE339" s="3450"/>
      <c r="BF339" s="3451">
        <v>44602</v>
      </c>
      <c r="BG339" s="2872" t="s">
        <v>63</v>
      </c>
      <c r="BH339" s="3451">
        <v>44742</v>
      </c>
      <c r="BI339" s="2872" t="s">
        <v>63</v>
      </c>
      <c r="BJ339" s="3448">
        <v>60.64</v>
      </c>
      <c r="BK339" s="3449"/>
      <c r="BL339" s="3448"/>
      <c r="BM339" s="3450"/>
      <c r="BN339" s="3451">
        <v>44743</v>
      </c>
      <c r="BO339" s="2872" t="s">
        <v>63</v>
      </c>
      <c r="BP339" s="3451">
        <v>44804</v>
      </c>
      <c r="BQ339" s="2872" t="s">
        <v>63</v>
      </c>
      <c r="BR339" s="3448">
        <v>38.94</v>
      </c>
      <c r="BS339" s="3449"/>
      <c r="BT339" s="3448"/>
      <c r="BU339" s="3450"/>
      <c r="BV339" s="3451">
        <v>44805</v>
      </c>
      <c r="BW339" s="2872" t="s">
        <v>63</v>
      </c>
      <c r="BX339" s="3451">
        <v>44895</v>
      </c>
      <c r="BY339" s="2872" t="s">
        <v>63</v>
      </c>
      <c r="BZ339" s="3448">
        <v>41.45</v>
      </c>
      <c r="CA339" s="3449"/>
      <c r="CB339" s="3448"/>
      <c r="CC339" s="3450"/>
      <c r="CD339" s="3451">
        <v>44896</v>
      </c>
      <c r="CE339" s="2872" t="s">
        <v>63</v>
      </c>
      <c r="CF339" s="3451">
        <v>45174</v>
      </c>
      <c r="CG339" s="2872" t="s">
        <v>63</v>
      </c>
      <c r="CH339" s="3448">
        <v>41.45</v>
      </c>
      <c r="CI339" s="3449"/>
      <c r="CJ339" s="3448"/>
      <c r="CK339" s="3450"/>
      <c r="CL339" s="3451">
        <v>45175</v>
      </c>
      <c r="CM339" s="2872" t="s">
        <v>63</v>
      </c>
      <c r="CN339" s="3451">
        <v>45291</v>
      </c>
      <c r="CO339" s="2872" t="s">
        <v>63</v>
      </c>
      <c r="CP339" s="3449"/>
      <c r="CQ339" s="3744" t="s">
        <v>625</v>
      </c>
      <c r="CR339" s="3581">
        <f>STRCHECKDATE(V340:CP340)</f>
      </c>
      <c r="CS339" s="3728"/>
      <c r="CT339" s="3728" t="str">
        <f>IF(T339="","",T339)</f>
        <v>вода</v>
      </c>
      <c r="CU339" s="3728"/>
      <c r="CV339" s="3728"/>
    </row>
    <row s="7873" customFormat="1" customHeight="1" ht="0.75">
      <c r="A340" s="3716"/>
      <c r="B340" s="3716"/>
      <c r="C340" s="3716"/>
      <c r="D340" s="3716"/>
      <c r="E340" s="3717">
        <v>1</v>
      </c>
      <c r="F340" s="3717"/>
      <c r="G340" s="3717"/>
      <c r="H340" s="3717"/>
      <c r="I340" s="3739"/>
      <c r="J340" s="3739"/>
      <c r="K340" s="3730"/>
      <c r="L340" s="3719"/>
      <c r="M340" s="3573"/>
      <c r="N340" s="3573"/>
      <c r="O340" s="3573"/>
      <c r="P340" s="3732"/>
      <c r="Q340" s="3732"/>
      <c r="R340" s="3740"/>
      <c r="S340" s="3746"/>
      <c r="T340" s="3726"/>
      <c r="U340" s="3726"/>
      <c r="V340" s="3449"/>
      <c r="W340" s="3449"/>
      <c r="X340" s="3449"/>
      <c r="Y340" s="3452" t="str">
        <f>Z339&amp;"-"&amp;AB339</f>
        <v>-</v>
      </c>
      <c r="Z340" s="3453"/>
      <c r="AA340" s="2872"/>
      <c r="AB340" s="3453"/>
      <c r="AC340" s="2872"/>
      <c r="AD340" s="3449"/>
      <c r="AE340" s="3449"/>
      <c r="AF340" s="3449"/>
      <c r="AG340" s="3452" t="str">
        <f>AH339&amp;"-"&amp;AJ339</f>
        <v>44197-44377</v>
      </c>
      <c r="AH340" s="3453"/>
      <c r="AI340" s="2872"/>
      <c r="AJ340" s="3453"/>
      <c r="AK340" s="2872"/>
      <c r="AL340" s="3449"/>
      <c r="AM340" s="3449"/>
      <c r="AN340" s="3449"/>
      <c r="AO340" s="3452" t="str">
        <f>AP339&amp;"-"&amp;AR339</f>
        <v>44378-44561</v>
      </c>
      <c r="AP340" s="3453"/>
      <c r="AQ340" s="2872"/>
      <c r="AR340" s="3453"/>
      <c r="AS340" s="2872"/>
      <c r="AT340" s="3449"/>
      <c r="AU340" s="3449"/>
      <c r="AV340" s="3449"/>
      <c r="AW340" s="3452" t="str">
        <f>AX339&amp;"-"&amp;AZ339</f>
        <v>44562-44601</v>
      </c>
      <c r="AX340" s="3453"/>
      <c r="AY340" s="2872"/>
      <c r="AZ340" s="3453"/>
      <c r="BA340" s="2872"/>
      <c r="BB340" s="3449"/>
      <c r="BC340" s="3449"/>
      <c r="BD340" s="3449"/>
      <c r="BE340" s="3452" t="str">
        <f>BF339&amp;"-"&amp;BH339</f>
        <v>44602-44742</v>
      </c>
      <c r="BF340" s="3453"/>
      <c r="BG340" s="2872"/>
      <c r="BH340" s="3453"/>
      <c r="BI340" s="2872"/>
      <c r="BJ340" s="3449"/>
      <c r="BK340" s="3449"/>
      <c r="BL340" s="3449"/>
      <c r="BM340" s="3452" t="str">
        <f>BN339&amp;"-"&amp;BP339</f>
        <v>44743-44804</v>
      </c>
      <c r="BN340" s="3453"/>
      <c r="BO340" s="2872"/>
      <c r="BP340" s="3453"/>
      <c r="BQ340" s="2872"/>
      <c r="BR340" s="3449"/>
      <c r="BS340" s="3449"/>
      <c r="BT340" s="3449"/>
      <c r="BU340" s="3452" t="str">
        <f>BV339&amp;"-"&amp;BX339</f>
        <v>44805-44895</v>
      </c>
      <c r="BV340" s="3453"/>
      <c r="BW340" s="2872"/>
      <c r="BX340" s="3453"/>
      <c r="BY340" s="2872"/>
      <c r="BZ340" s="3449"/>
      <c r="CA340" s="3449"/>
      <c r="CB340" s="3449"/>
      <c r="CC340" s="3452" t="str">
        <f>CD339&amp;"-"&amp;CF339</f>
        <v>44896-45174</v>
      </c>
      <c r="CD340" s="3453"/>
      <c r="CE340" s="2872"/>
      <c r="CF340" s="3453"/>
      <c r="CG340" s="2872"/>
      <c r="CH340" s="3449"/>
      <c r="CI340" s="3449"/>
      <c r="CJ340" s="3449"/>
      <c r="CK340" s="3452" t="str">
        <f>CL339&amp;"-"&amp;CN339</f>
        <v>45175-45291</v>
      </c>
      <c r="CL340" s="3453"/>
      <c r="CM340" s="2872"/>
      <c r="CN340" s="3453"/>
      <c r="CO340" s="2872"/>
      <c r="CP340" s="3449"/>
      <c r="CQ340" s="3747"/>
      <c r="CR340" s="3581"/>
      <c r="CS340" s="3728"/>
      <c r="CT340" s="3728" t="str">
        <f>IF(T340="","",T340)</f>
        <v/>
      </c>
      <c r="CU340" s="3728"/>
      <c r="CV340" s="3728"/>
    </row>
    <row s="7874" customFormat="1" customHeight="1" ht="15">
      <c r="A341" s="3716"/>
      <c r="B341" s="3716"/>
      <c r="C341" s="3716"/>
      <c r="D341" s="3716"/>
      <c r="E341" s="3717">
        <v>1</v>
      </c>
      <c r="F341" s="3717"/>
      <c r="G341" s="3717"/>
      <c r="H341" s="3717"/>
      <c r="I341" s="3739"/>
      <c r="J341" s="3730"/>
      <c r="K341" s="3716"/>
      <c r="L341" s="3719"/>
      <c r="M341" s="3573"/>
      <c r="N341" s="3573"/>
      <c r="O341" s="3731"/>
      <c r="P341" s="3732"/>
      <c r="Q341" s="3732"/>
      <c r="R341" s="3733"/>
      <c r="S341" s="7875"/>
      <c r="T341" s="7876" t="s">
        <v>626</v>
      </c>
      <c r="U341" s="7877"/>
      <c r="V341" s="7878"/>
      <c r="W341" s="7879"/>
      <c r="X341" s="7880"/>
      <c r="Y341" s="7881"/>
      <c r="Z341" s="7882"/>
      <c r="AA341" s="7883"/>
      <c r="AB341" s="7884"/>
      <c r="AC341" s="7885"/>
      <c r="AD341" s="7886"/>
      <c r="AE341" s="7887"/>
      <c r="AF341" s="7888"/>
      <c r="AG341" s="7889"/>
      <c r="AH341" s="7890"/>
      <c r="AI341" s="7891"/>
      <c r="AJ341" s="7892"/>
      <c r="AK341" s="7893"/>
      <c r="AL341" s="7894"/>
      <c r="AM341" s="7895"/>
      <c r="AN341" s="7896"/>
      <c r="AO341" s="7897"/>
      <c r="AP341" s="7898"/>
      <c r="AQ341" s="7899"/>
      <c r="AR341" s="7900"/>
      <c r="AS341" s="7901"/>
      <c r="AT341" s="7902"/>
      <c r="AU341" s="7903"/>
      <c r="AV341" s="7904"/>
      <c r="AW341" s="7905"/>
      <c r="AX341" s="7906"/>
      <c r="AY341" s="7907"/>
      <c r="AZ341" s="7908"/>
      <c r="BA341" s="7909"/>
      <c r="BB341" s="7910"/>
      <c r="BC341" s="7911"/>
      <c r="BD341" s="7912"/>
      <c r="BE341" s="7913"/>
      <c r="BF341" s="7914"/>
      <c r="BG341" s="7915"/>
      <c r="BH341" s="7916"/>
      <c r="BI341" s="7917"/>
      <c r="BJ341" s="7918"/>
      <c r="BK341" s="7919"/>
      <c r="BL341" s="7920"/>
      <c r="BM341" s="7921"/>
      <c r="BN341" s="7922"/>
      <c r="BO341" s="7923"/>
      <c r="BP341" s="7924"/>
      <c r="BQ341" s="7925"/>
      <c r="BR341" s="7926"/>
      <c r="BS341" s="7927"/>
      <c r="BT341" s="7928"/>
      <c r="BU341" s="7929"/>
      <c r="BV341" s="7930"/>
      <c r="BW341" s="7931"/>
      <c r="BX341" s="7932"/>
      <c r="BY341" s="7933"/>
      <c r="BZ341" s="7934"/>
      <c r="CA341" s="7935"/>
      <c r="CB341" s="7936"/>
      <c r="CC341" s="7937"/>
      <c r="CD341" s="7938"/>
      <c r="CE341" s="7939"/>
      <c r="CF341" s="7940"/>
      <c r="CG341" s="7941"/>
      <c r="CH341" s="7942"/>
      <c r="CI341" s="7943"/>
      <c r="CJ341" s="7944"/>
      <c r="CK341" s="7945"/>
      <c r="CL341" s="7946"/>
      <c r="CM341" s="7947"/>
      <c r="CN341" s="7948"/>
      <c r="CO341" s="7949"/>
      <c r="CP341" s="7950"/>
      <c r="CQ341" s="3825"/>
      <c r="CR341" s="3581"/>
      <c r="CS341" s="3728"/>
      <c r="CT341" s="3728" t="str">
        <f>IF(T341="","",T341)</f>
        <v>Добавить вид теплоносителя (параметры теплоносителя)</v>
      </c>
      <c r="CU341" s="3728"/>
      <c r="CV341" s="3728"/>
    </row>
    <row s="7951" customFormat="1" customHeight="1" ht="15">
      <c r="A342" s="3716"/>
      <c r="B342" s="3716"/>
      <c r="C342" s="3716"/>
      <c r="D342" s="3716"/>
      <c r="E342" s="3717">
        <v>1</v>
      </c>
      <c r="F342" s="3717"/>
      <c r="G342" s="3717"/>
      <c r="H342" s="3717"/>
      <c r="I342" s="3730"/>
      <c r="J342" s="3716"/>
      <c r="K342" s="3716"/>
      <c r="L342" s="3719"/>
      <c r="M342" s="3573"/>
      <c r="N342" s="3731"/>
      <c r="O342" s="3731"/>
      <c r="P342" s="3732"/>
      <c r="Q342" s="3732"/>
      <c r="R342" s="3733"/>
      <c r="S342" s="7952"/>
      <c r="T342" s="7953" t="s">
        <v>627</v>
      </c>
      <c r="U342" s="7954"/>
      <c r="V342" s="7955"/>
      <c r="W342" s="7956"/>
      <c r="X342" s="7957"/>
      <c r="Y342" s="7958"/>
      <c r="Z342" s="7959"/>
      <c r="AA342" s="7960"/>
      <c r="AB342" s="7961"/>
      <c r="AC342" s="7962"/>
      <c r="AD342" s="7963"/>
      <c r="AE342" s="7964"/>
      <c r="AF342" s="7965"/>
      <c r="AG342" s="7966"/>
      <c r="AH342" s="7967"/>
      <c r="AI342" s="7968"/>
      <c r="AJ342" s="7969"/>
      <c r="AK342" s="7970"/>
      <c r="AL342" s="7971"/>
      <c r="AM342" s="7972"/>
      <c r="AN342" s="7973"/>
      <c r="AO342" s="7974"/>
      <c r="AP342" s="7975"/>
      <c r="AQ342" s="7976"/>
      <c r="AR342" s="7977"/>
      <c r="AS342" s="7978"/>
      <c r="AT342" s="7979"/>
      <c r="AU342" s="7980"/>
      <c r="AV342" s="7981"/>
      <c r="AW342" s="7982"/>
      <c r="AX342" s="7983"/>
      <c r="AY342" s="7984"/>
      <c r="AZ342" s="7985"/>
      <c r="BA342" s="7986"/>
      <c r="BB342" s="7987"/>
      <c r="BC342" s="7988"/>
      <c r="BD342" s="7989"/>
      <c r="BE342" s="7990"/>
      <c r="BF342" s="7991"/>
      <c r="BG342" s="7992"/>
      <c r="BH342" s="7993"/>
      <c r="BI342" s="7994"/>
      <c r="BJ342" s="7995"/>
      <c r="BK342" s="7996"/>
      <c r="BL342" s="7997"/>
      <c r="BM342" s="7998"/>
      <c r="BN342" s="7999"/>
      <c r="BO342" s="8000"/>
      <c r="BP342" s="8001"/>
      <c r="BQ342" s="8002"/>
      <c r="BR342" s="8003"/>
      <c r="BS342" s="8004"/>
      <c r="BT342" s="8005"/>
      <c r="BU342" s="8006"/>
      <c r="BV342" s="8007"/>
      <c r="BW342" s="8008"/>
      <c r="BX342" s="8009"/>
      <c r="BY342" s="8010"/>
      <c r="BZ342" s="8011"/>
      <c r="CA342" s="8012"/>
      <c r="CB342" s="8013"/>
      <c r="CC342" s="8014"/>
      <c r="CD342" s="8015"/>
      <c r="CE342" s="8016"/>
      <c r="CF342" s="8017"/>
      <c r="CG342" s="8018"/>
      <c r="CH342" s="8019"/>
      <c r="CI342" s="8020"/>
      <c r="CJ342" s="8021"/>
      <c r="CK342" s="8022"/>
      <c r="CL342" s="8023"/>
      <c r="CM342" s="8024"/>
      <c r="CN342" s="8025"/>
      <c r="CO342" s="8026"/>
      <c r="CP342" s="8027"/>
      <c r="CQ342" s="8028"/>
      <c r="CR342" s="3581"/>
      <c r="CS342" s="3728"/>
      <c r="CT342" s="3728" t="str">
        <f>IF(T342="","",T342)</f>
        <v>Добавить группу потребителей</v>
      </c>
      <c r="CU342" s="3728"/>
      <c r="CV342" s="3728"/>
    </row>
    <row s="8029" customFormat="1" customHeight="1" ht="14.25">
      <c r="A343" s="3716"/>
      <c r="B343" s="3716"/>
      <c r="C343" s="3716"/>
      <c r="D343" s="3716"/>
      <c r="E343" s="3717">
        <v>1</v>
      </c>
      <c r="F343" s="3717"/>
      <c r="G343" s="3717"/>
      <c r="H343" s="3718"/>
      <c r="I343" s="3716"/>
      <c r="J343" s="3716"/>
      <c r="K343" s="3716"/>
      <c r="L343" s="3719"/>
      <c r="M343" s="3720"/>
      <c r="N343" s="3720"/>
      <c r="O343" s="3573"/>
      <c r="P343" s="3905"/>
      <c r="Q343" s="3906"/>
      <c r="R343" s="3907"/>
      <c r="S343" s="3908"/>
      <c r="T343" s="3909"/>
      <c r="U343" s="3569"/>
      <c r="V343" s="3569"/>
      <c r="W343" s="3569"/>
      <c r="X343" s="3569"/>
      <c r="Y343" s="3569"/>
      <c r="Z343" s="3569"/>
      <c r="AA343" s="3569"/>
      <c r="AB343" s="3569"/>
      <c r="AC343" s="3569"/>
      <c r="AD343" s="3569"/>
      <c r="AE343" s="3569"/>
      <c r="AF343" s="3569"/>
      <c r="AG343" s="3569"/>
      <c r="AH343" s="3569"/>
      <c r="AI343" s="3569"/>
      <c r="AJ343" s="3569"/>
      <c r="AK343" s="3569"/>
      <c r="AL343" s="3569"/>
      <c r="AM343" s="3569"/>
      <c r="AN343" s="3569"/>
      <c r="AO343" s="3569"/>
      <c r="AP343" s="3569"/>
      <c r="AQ343" s="3569"/>
      <c r="AR343" s="3569"/>
      <c r="AS343" s="3569"/>
      <c r="AT343" s="3569"/>
      <c r="AU343" s="3569"/>
      <c r="AV343" s="3569"/>
      <c r="AW343" s="3569"/>
      <c r="AX343" s="3569"/>
      <c r="AY343" s="3569"/>
      <c r="AZ343" s="3569"/>
      <c r="BA343" s="3569"/>
      <c r="BB343" s="3569"/>
      <c r="BC343" s="3569"/>
      <c r="BD343" s="3569"/>
      <c r="BE343" s="3569"/>
      <c r="BF343" s="3569"/>
      <c r="BG343" s="3569"/>
      <c r="BH343" s="3569"/>
      <c r="BI343" s="3569"/>
      <c r="BJ343" s="3569"/>
      <c r="BK343" s="3569"/>
      <c r="BL343" s="3569"/>
      <c r="BM343" s="3569"/>
      <c r="BN343" s="3569"/>
      <c r="BO343" s="3569"/>
      <c r="BP343" s="3569"/>
      <c r="BQ343" s="3569"/>
      <c r="BR343" s="3569"/>
      <c r="BS343" s="3569"/>
      <c r="BT343" s="3569"/>
      <c r="BU343" s="3569"/>
      <c r="BV343" s="3569"/>
      <c r="BW343" s="3569"/>
      <c r="BX343" s="3569"/>
      <c r="BY343" s="3569"/>
      <c r="BZ343" s="3569"/>
      <c r="CA343" s="3569"/>
      <c r="CB343" s="3569"/>
      <c r="CC343" s="3569"/>
      <c r="CD343" s="3569"/>
      <c r="CE343" s="3569"/>
      <c r="CF343" s="3569"/>
      <c r="CG343" s="3569"/>
      <c r="CH343" s="3569"/>
      <c r="CI343" s="3569"/>
      <c r="CJ343" s="3569"/>
      <c r="CK343" s="3569"/>
      <c r="CL343" s="3569"/>
      <c r="CM343" s="3569"/>
      <c r="CN343" s="3569"/>
      <c r="CO343" s="3569"/>
      <c r="CP343" s="3569"/>
      <c r="CQ343" s="3910"/>
      <c r="CR343" s="3581"/>
      <c r="CS343" s="3728"/>
      <c r="CT343" s="3728" t="str">
        <f>IF(T343="","",T343)</f>
        <v/>
      </c>
      <c r="CU343" s="3728"/>
      <c r="CV343" s="3728"/>
    </row>
    <row s="8030" customFormat="1" customHeight="1" ht="21">
      <c r="A344" s="3716"/>
      <c r="B344" s="3716"/>
      <c r="C344" s="3716"/>
      <c r="D344" s="3716" t="s">
        <v>335</v>
      </c>
      <c r="E344" s="3717"/>
      <c r="F344" s="3717"/>
      <c r="G344" s="3717"/>
      <c r="H344" s="3718" t="s">
        <v>104</v>
      </c>
      <c r="I344" s="3716"/>
      <c r="J344" s="3716"/>
      <c r="K344" s="3716"/>
      <c r="L344" s="3719"/>
      <c r="M344" s="3720"/>
      <c r="N344" s="3720"/>
      <c r="O344" s="3720"/>
      <c r="P344" s="3721"/>
      <c r="Q344" s="3722"/>
      <c r="R344" s="3723"/>
      <c r="S344" s="3724" t="str">
        <f>INDEX(PT_DIFFERENTIATION_NUM_IST_TE,MATCH(D344,PT_DIFFERENTIATION_IST_TE_ID,0))</f>
        <v>2.1.1.2</v>
      </c>
      <c r="T344" s="3725" t="s">
        <v>616</v>
      </c>
      <c r="U344" s="3726"/>
      <c r="V344" s="3432"/>
      <c r="W344" s="3433"/>
      <c r="X344" s="3433"/>
      <c r="Y344" s="3433"/>
      <c r="Z344" s="3433"/>
      <c r="AA344" s="3433"/>
      <c r="AB344" s="3433"/>
      <c r="AC344" s="3434"/>
      <c r="AD344" s="3432" t="str">
        <f>INDEX(PT_DIFFERENTIATION_IST_TE,MATCH(D344,PT_DIFFERENTIATION_IST_TE_ID,0))</f>
        <v>г.о. город-герой Мурманск (кроме п.Росляково и без транспортировки по сетям АО "Звездочка" филиал "35 СРЗ")</v>
      </c>
      <c r="AE344" s="3433"/>
      <c r="AF344" s="3433"/>
      <c r="AG344" s="3433"/>
      <c r="AH344" s="3433"/>
      <c r="AI344" s="3433"/>
      <c r="AJ344" s="3433"/>
      <c r="AK344" s="3433"/>
      <c r="AL344" s="3432"/>
      <c r="AM344" s="3433"/>
      <c r="AN344" s="3433"/>
      <c r="AO344" s="3433"/>
      <c r="AP344" s="3433"/>
      <c r="AQ344" s="3433"/>
      <c r="AR344" s="3433"/>
      <c r="AS344" s="3434"/>
      <c r="AT344" s="3432"/>
      <c r="AU344" s="3433"/>
      <c r="AV344" s="3433"/>
      <c r="AW344" s="3433"/>
      <c r="AX344" s="3433"/>
      <c r="AY344" s="3433"/>
      <c r="AZ344" s="3433"/>
      <c r="BA344" s="3434"/>
      <c r="BB344" s="3432"/>
      <c r="BC344" s="3433"/>
      <c r="BD344" s="3433"/>
      <c r="BE344" s="3433"/>
      <c r="BF344" s="3433"/>
      <c r="BG344" s="3433"/>
      <c r="BH344" s="3433"/>
      <c r="BI344" s="3434"/>
      <c r="BJ344" s="3432"/>
      <c r="BK344" s="3433"/>
      <c r="BL344" s="3433"/>
      <c r="BM344" s="3433"/>
      <c r="BN344" s="3433"/>
      <c r="BO344" s="3433"/>
      <c r="BP344" s="3433"/>
      <c r="BQ344" s="3434"/>
      <c r="BR344" s="3432"/>
      <c r="BS344" s="3433"/>
      <c r="BT344" s="3433"/>
      <c r="BU344" s="3433"/>
      <c r="BV344" s="3433"/>
      <c r="BW344" s="3433"/>
      <c r="BX344" s="3433"/>
      <c r="BY344" s="3434"/>
      <c r="BZ344" s="3432"/>
      <c r="CA344" s="3433"/>
      <c r="CB344" s="3433"/>
      <c r="CC344" s="3433"/>
      <c r="CD344" s="3433"/>
      <c r="CE344" s="3433"/>
      <c r="CF344" s="3433"/>
      <c r="CG344" s="3434"/>
      <c r="CH344" s="3432"/>
      <c r="CI344" s="3433"/>
      <c r="CJ344" s="3433"/>
      <c r="CK344" s="3433"/>
      <c r="CL344" s="3433"/>
      <c r="CM344" s="3433"/>
      <c r="CN344" s="3433"/>
      <c r="CO344" s="3434"/>
      <c r="CP344" s="3434"/>
      <c r="CQ344" s="3727" t="s">
        <v>617</v>
      </c>
      <c r="CR344" s="3581"/>
      <c r="CS344" s="3728"/>
      <c r="CT344" s="3728" t="str">
        <f>IF(T344="","",T344)</f>
        <v>Источник тепловой энергии  </v>
      </c>
      <c r="CU344" s="3728"/>
      <c r="CV344" s="3728"/>
    </row>
    <row s="8031" customFormat="1" customHeight="1" ht="14.25">
      <c r="A345" s="3716"/>
      <c r="B345" s="3716"/>
      <c r="C345" s="3716"/>
      <c r="D345" s="3716"/>
      <c r="E345" s="3717"/>
      <c r="F345" s="3717"/>
      <c r="G345" s="3717"/>
      <c r="H345" s="3717">
        <v>1</v>
      </c>
      <c r="I345" s="3730" t="str">
        <f>S344&amp;".1"</f>
        <v>2.1.1.2.1</v>
      </c>
      <c r="J345" s="3716"/>
      <c r="K345" s="3716"/>
      <c r="L345" s="3719" t="s">
        <v>618</v>
      </c>
      <c r="M345" s="3573"/>
      <c r="N345" s="3731"/>
      <c r="O345" s="3731"/>
      <c r="P345" s="3732">
        <v>1</v>
      </c>
      <c r="Q345" s="3732"/>
      <c r="R345" s="3733"/>
      <c r="S345" s="3734"/>
      <c r="T345" s="3735"/>
      <c r="U345" s="3736"/>
      <c r="V345" s="3441"/>
      <c r="W345" s="3442"/>
      <c r="X345" s="3442"/>
      <c r="Y345" s="3442"/>
      <c r="Z345" s="3442"/>
      <c r="AA345" s="3442"/>
      <c r="AB345" s="3442"/>
      <c r="AC345" s="3443"/>
      <c r="AD345" s="3441"/>
      <c r="AE345" s="3442"/>
      <c r="AF345" s="3442"/>
      <c r="AG345" s="3442"/>
      <c r="AH345" s="3442"/>
      <c r="AI345" s="3442"/>
      <c r="AJ345" s="3442"/>
      <c r="AK345" s="3442"/>
      <c r="AL345" s="3441"/>
      <c r="AM345" s="3442"/>
      <c r="AN345" s="3442"/>
      <c r="AO345" s="3442"/>
      <c r="AP345" s="3442"/>
      <c r="AQ345" s="3442"/>
      <c r="AR345" s="3442"/>
      <c r="AS345" s="3443"/>
      <c r="AT345" s="3441"/>
      <c r="AU345" s="3442"/>
      <c r="AV345" s="3442"/>
      <c r="AW345" s="3442"/>
      <c r="AX345" s="3442"/>
      <c r="AY345" s="3442"/>
      <c r="AZ345" s="3442"/>
      <c r="BA345" s="3443"/>
      <c r="BB345" s="3441"/>
      <c r="BC345" s="3442"/>
      <c r="BD345" s="3442"/>
      <c r="BE345" s="3442"/>
      <c r="BF345" s="3442"/>
      <c r="BG345" s="3442"/>
      <c r="BH345" s="3442"/>
      <c r="BI345" s="3443"/>
      <c r="BJ345" s="3441"/>
      <c r="BK345" s="3442"/>
      <c r="BL345" s="3442"/>
      <c r="BM345" s="3442"/>
      <c r="BN345" s="3442"/>
      <c r="BO345" s="3442"/>
      <c r="BP345" s="3442"/>
      <c r="BQ345" s="3443"/>
      <c r="BR345" s="3441"/>
      <c r="BS345" s="3442"/>
      <c r="BT345" s="3442"/>
      <c r="BU345" s="3442"/>
      <c r="BV345" s="3442"/>
      <c r="BW345" s="3442"/>
      <c r="BX345" s="3442"/>
      <c r="BY345" s="3443"/>
      <c r="BZ345" s="3441"/>
      <c r="CA345" s="3442"/>
      <c r="CB345" s="3442"/>
      <c r="CC345" s="3442"/>
      <c r="CD345" s="3442"/>
      <c r="CE345" s="3442"/>
      <c r="CF345" s="3442"/>
      <c r="CG345" s="3443"/>
      <c r="CH345" s="3441"/>
      <c r="CI345" s="3442"/>
      <c r="CJ345" s="3442"/>
      <c r="CK345" s="3442"/>
      <c r="CL345" s="3442"/>
      <c r="CM345" s="3442"/>
      <c r="CN345" s="3442"/>
      <c r="CO345" s="3443"/>
      <c r="CP345" s="3443"/>
      <c r="CQ345" s="3737"/>
      <c r="CR345" s="3581"/>
      <c r="CS345" s="3728"/>
      <c r="CT345" s="3728" t="str">
        <f>IF(T345="","",T345)</f>
        <v/>
      </c>
      <c r="CU345" s="3728"/>
      <c r="CV345" s="3728"/>
    </row>
    <row s="8032" customFormat="1" customHeight="1" ht="21">
      <c r="A346" s="3716"/>
      <c r="B346" s="3716"/>
      <c r="C346" s="3716"/>
      <c r="D346" s="3716"/>
      <c r="E346" s="3717"/>
      <c r="F346" s="3717"/>
      <c r="G346" s="3717"/>
      <c r="H346" s="3717">
        <v>1</v>
      </c>
      <c r="I346" s="3739"/>
      <c r="J346" s="3730" t="str">
        <f>I345&amp;".1"</f>
        <v>2.1.1.2.1.1</v>
      </c>
      <c r="K346" s="3716"/>
      <c r="L346" s="3719" t="s">
        <v>621</v>
      </c>
      <c r="M346" s="3573"/>
      <c r="N346" s="3573"/>
      <c r="O346" s="3731"/>
      <c r="P346" s="3732"/>
      <c r="Q346" s="3732">
        <v>1</v>
      </c>
      <c r="R346" s="3740"/>
      <c r="S346" s="3724" t="str">
        <f>$J346</f>
        <v>2.1.1.2.1.1</v>
      </c>
      <c r="T346" s="3741" t="s">
        <v>622</v>
      </c>
      <c r="U346" s="3726"/>
      <c r="V346" s="3445"/>
      <c r="W346" s="3446"/>
      <c r="X346" s="3446"/>
      <c r="Y346" s="3446"/>
      <c r="Z346" s="3446"/>
      <c r="AA346" s="3446"/>
      <c r="AB346" s="3446"/>
      <c r="AC346" s="3447"/>
      <c r="AD346" s="3445" t="s">
        <v>665</v>
      </c>
      <c r="AE346" s="3446"/>
      <c r="AF346" s="3446"/>
      <c r="AG346" s="3446"/>
      <c r="AH346" s="3446"/>
      <c r="AI346" s="3446"/>
      <c r="AJ346" s="3446"/>
      <c r="AK346" s="3446"/>
      <c r="AL346" s="3445"/>
      <c r="AM346" s="3446"/>
      <c r="AN346" s="3446"/>
      <c r="AO346" s="3446"/>
      <c r="AP346" s="3446"/>
      <c r="AQ346" s="3446"/>
      <c r="AR346" s="3446"/>
      <c r="AS346" s="3447"/>
      <c r="AT346" s="3445"/>
      <c r="AU346" s="3446"/>
      <c r="AV346" s="3446"/>
      <c r="AW346" s="3446"/>
      <c r="AX346" s="3446"/>
      <c r="AY346" s="3446"/>
      <c r="AZ346" s="3446"/>
      <c r="BA346" s="3447"/>
      <c r="BB346" s="3445"/>
      <c r="BC346" s="3446"/>
      <c r="BD346" s="3446"/>
      <c r="BE346" s="3446"/>
      <c r="BF346" s="3446"/>
      <c r="BG346" s="3446"/>
      <c r="BH346" s="3446"/>
      <c r="BI346" s="3447"/>
      <c r="BJ346" s="3445"/>
      <c r="BK346" s="3446"/>
      <c r="BL346" s="3446"/>
      <c r="BM346" s="3446"/>
      <c r="BN346" s="3446"/>
      <c r="BO346" s="3446"/>
      <c r="BP346" s="3446"/>
      <c r="BQ346" s="3447"/>
      <c r="BR346" s="3445"/>
      <c r="BS346" s="3446"/>
      <c r="BT346" s="3446"/>
      <c r="BU346" s="3446"/>
      <c r="BV346" s="3446"/>
      <c r="BW346" s="3446"/>
      <c r="BX346" s="3446"/>
      <c r="BY346" s="3447"/>
      <c r="BZ346" s="3445"/>
      <c r="CA346" s="3446"/>
      <c r="CB346" s="3446"/>
      <c r="CC346" s="3446"/>
      <c r="CD346" s="3446"/>
      <c r="CE346" s="3446"/>
      <c r="CF346" s="3446"/>
      <c r="CG346" s="3447"/>
      <c r="CH346" s="3445"/>
      <c r="CI346" s="3446"/>
      <c r="CJ346" s="3446"/>
      <c r="CK346" s="3446"/>
      <c r="CL346" s="3446"/>
      <c r="CM346" s="3446"/>
      <c r="CN346" s="3446"/>
      <c r="CO346" s="3447"/>
      <c r="CP346" s="3447"/>
      <c r="CQ346" s="3727" t="s">
        <v>623</v>
      </c>
      <c r="CR346" s="3581"/>
      <c r="CS346" s="3728"/>
      <c r="CT346" s="3728" t="str">
        <f>IF(T346="","",T346)</f>
        <v>Группа потребителей</v>
      </c>
      <c r="CU346" s="3728"/>
      <c r="CV346" s="3728"/>
    </row>
    <row s="8033" customFormat="1" customHeight="1" ht="21">
      <c r="A347" s="3716"/>
      <c r="B347" s="3716"/>
      <c r="C347" s="3716"/>
      <c r="D347" s="3716"/>
      <c r="E347" s="3717"/>
      <c r="F347" s="3717"/>
      <c r="G347" s="3717"/>
      <c r="H347" s="3717">
        <v>1</v>
      </c>
      <c r="I347" s="3739"/>
      <c r="J347" s="3739"/>
      <c r="K347" s="3730" t="str">
        <f>J346&amp;".1"</f>
        <v>2.1.1.2.1.1.1</v>
      </c>
      <c r="L347" s="3719" t="s">
        <v>624</v>
      </c>
      <c r="M347" s="3573"/>
      <c r="N347" s="3573"/>
      <c r="O347" s="3573"/>
      <c r="P347" s="3732"/>
      <c r="Q347" s="3732"/>
      <c r="R347" s="3740">
        <v>1</v>
      </c>
      <c r="S347" s="3724" t="str">
        <f>$K347</f>
        <v>2.1.1.2.1.1.1</v>
      </c>
      <c r="T347" s="3743" t="s">
        <v>663</v>
      </c>
      <c r="U347" s="3726"/>
      <c r="V347" s="3448"/>
      <c r="W347" s="3449"/>
      <c r="X347" s="3448"/>
      <c r="Y347" s="3450"/>
      <c r="Z347" s="3451"/>
      <c r="AA347" s="2872" t="s">
        <v>63</v>
      </c>
      <c r="AB347" s="3451"/>
      <c r="AC347" s="2872" t="s">
        <v>63</v>
      </c>
      <c r="AD347" s="3448">
        <v>32.92</v>
      </c>
      <c r="AE347" s="3449"/>
      <c r="AF347" s="3448"/>
      <c r="AG347" s="3450"/>
      <c r="AH347" s="3451">
        <v>44197</v>
      </c>
      <c r="AI347" s="2872" t="s">
        <v>63</v>
      </c>
      <c r="AJ347" s="3451">
        <v>44377</v>
      </c>
      <c r="AK347" s="2872" t="s">
        <v>63</v>
      </c>
      <c r="AL347" s="3448">
        <v>36.2</v>
      </c>
      <c r="AM347" s="3449"/>
      <c r="AN347" s="3448"/>
      <c r="AO347" s="3450"/>
      <c r="AP347" s="3451">
        <v>44378</v>
      </c>
      <c r="AQ347" s="2872" t="s">
        <v>63</v>
      </c>
      <c r="AR347" s="3451">
        <v>44561</v>
      </c>
      <c r="AS347" s="2872" t="s">
        <v>63</v>
      </c>
      <c r="AT347" s="3448">
        <v>36.2</v>
      </c>
      <c r="AU347" s="3449"/>
      <c r="AV347" s="3448"/>
      <c r="AW347" s="3450"/>
      <c r="AX347" s="3451">
        <v>44562</v>
      </c>
      <c r="AY347" s="2872" t="s">
        <v>63</v>
      </c>
      <c r="AZ347" s="3451">
        <v>44601</v>
      </c>
      <c r="BA347" s="2872" t="s">
        <v>63</v>
      </c>
      <c r="BB347" s="3448">
        <v>36.2</v>
      </c>
      <c r="BC347" s="3449"/>
      <c r="BD347" s="3448"/>
      <c r="BE347" s="3450"/>
      <c r="BF347" s="3451">
        <v>44602</v>
      </c>
      <c r="BG347" s="2872" t="s">
        <v>63</v>
      </c>
      <c r="BH347" s="3451">
        <v>44742</v>
      </c>
      <c r="BI347" s="2872" t="s">
        <v>63</v>
      </c>
      <c r="BJ347" s="3448">
        <v>39.1</v>
      </c>
      <c r="BK347" s="3449"/>
      <c r="BL347" s="3448"/>
      <c r="BM347" s="3450"/>
      <c r="BN347" s="3451">
        <v>44743</v>
      </c>
      <c r="BO347" s="2872" t="s">
        <v>63</v>
      </c>
      <c r="BP347" s="3451">
        <v>44804</v>
      </c>
      <c r="BQ347" s="2872" t="s">
        <v>63</v>
      </c>
      <c r="BR347" s="3448">
        <v>39.1</v>
      </c>
      <c r="BS347" s="3449"/>
      <c r="BT347" s="3448"/>
      <c r="BU347" s="3450"/>
      <c r="BV347" s="3451">
        <v>44805</v>
      </c>
      <c r="BW347" s="2872" t="s">
        <v>63</v>
      </c>
      <c r="BX347" s="3451">
        <v>44895</v>
      </c>
      <c r="BY347" s="2872" t="s">
        <v>63</v>
      </c>
      <c r="BZ347" s="3448">
        <v>41.45</v>
      </c>
      <c r="CA347" s="3449"/>
      <c r="CB347" s="3448"/>
      <c r="CC347" s="3450"/>
      <c r="CD347" s="3451">
        <v>44896</v>
      </c>
      <c r="CE347" s="2872" t="s">
        <v>63</v>
      </c>
      <c r="CF347" s="3451">
        <v>45174</v>
      </c>
      <c r="CG347" s="2872" t="s">
        <v>63</v>
      </c>
      <c r="CH347" s="3448">
        <v>41.45</v>
      </c>
      <c r="CI347" s="3449"/>
      <c r="CJ347" s="3448"/>
      <c r="CK347" s="3450"/>
      <c r="CL347" s="3451">
        <v>45175</v>
      </c>
      <c r="CM347" s="2872" t="s">
        <v>63</v>
      </c>
      <c r="CN347" s="3451">
        <v>45291</v>
      </c>
      <c r="CO347" s="2872" t="s">
        <v>63</v>
      </c>
      <c r="CP347" s="3449"/>
      <c r="CQ347" s="3744" t="s">
        <v>625</v>
      </c>
      <c r="CR347" s="3581">
        <f>STRCHECKDATE(V348:CP348)</f>
      </c>
      <c r="CS347" s="3728"/>
      <c r="CT347" s="3728" t="str">
        <f>IF(T347="","",T347)</f>
        <v>вода</v>
      </c>
      <c r="CU347" s="3728"/>
      <c r="CV347" s="3728"/>
    </row>
    <row s="8034" customFormat="1" customHeight="1" ht="0.75">
      <c r="A348" s="3716"/>
      <c r="B348" s="3716"/>
      <c r="C348" s="3716"/>
      <c r="D348" s="3716"/>
      <c r="E348" s="3717"/>
      <c r="F348" s="3717"/>
      <c r="G348" s="3717"/>
      <c r="H348" s="3717">
        <v>1</v>
      </c>
      <c r="I348" s="3739"/>
      <c r="J348" s="3739"/>
      <c r="K348" s="3730"/>
      <c r="L348" s="3719"/>
      <c r="M348" s="3573"/>
      <c r="N348" s="3573"/>
      <c r="O348" s="3573"/>
      <c r="P348" s="3732"/>
      <c r="Q348" s="3732"/>
      <c r="R348" s="3740"/>
      <c r="S348" s="3746"/>
      <c r="T348" s="3726"/>
      <c r="U348" s="3726"/>
      <c r="V348" s="3449"/>
      <c r="W348" s="3449"/>
      <c r="X348" s="3449"/>
      <c r="Y348" s="3452" t="str">
        <f>Z347&amp;"-"&amp;AB347</f>
        <v>-</v>
      </c>
      <c r="Z348" s="3453"/>
      <c r="AA348" s="2872"/>
      <c r="AB348" s="3453"/>
      <c r="AC348" s="2872"/>
      <c r="AD348" s="3449"/>
      <c r="AE348" s="3449"/>
      <c r="AF348" s="3449"/>
      <c r="AG348" s="3452" t="str">
        <f>AH347&amp;"-"&amp;AJ347</f>
        <v>44197-44377</v>
      </c>
      <c r="AH348" s="3453"/>
      <c r="AI348" s="2872"/>
      <c r="AJ348" s="3453"/>
      <c r="AK348" s="2872"/>
      <c r="AL348" s="3449"/>
      <c r="AM348" s="3449"/>
      <c r="AN348" s="3449"/>
      <c r="AO348" s="3452" t="str">
        <f>AP347&amp;"-"&amp;AR347</f>
        <v>44378-44561</v>
      </c>
      <c r="AP348" s="3453"/>
      <c r="AQ348" s="2872"/>
      <c r="AR348" s="3453"/>
      <c r="AS348" s="2872"/>
      <c r="AT348" s="3449"/>
      <c r="AU348" s="3449"/>
      <c r="AV348" s="3449"/>
      <c r="AW348" s="3452" t="str">
        <f>AX347&amp;"-"&amp;AZ347</f>
        <v>44562-44601</v>
      </c>
      <c r="AX348" s="3453"/>
      <c r="AY348" s="2872"/>
      <c r="AZ348" s="3453"/>
      <c r="BA348" s="2872"/>
      <c r="BB348" s="3449"/>
      <c r="BC348" s="3449"/>
      <c r="BD348" s="3449"/>
      <c r="BE348" s="3452" t="str">
        <f>BF347&amp;"-"&amp;BH347</f>
        <v>44602-44742</v>
      </c>
      <c r="BF348" s="3453"/>
      <c r="BG348" s="2872"/>
      <c r="BH348" s="3453"/>
      <c r="BI348" s="2872"/>
      <c r="BJ348" s="3449"/>
      <c r="BK348" s="3449"/>
      <c r="BL348" s="3449"/>
      <c r="BM348" s="3452" t="str">
        <f>BN347&amp;"-"&amp;BP347</f>
        <v>44743-44804</v>
      </c>
      <c r="BN348" s="3453"/>
      <c r="BO348" s="2872"/>
      <c r="BP348" s="3453"/>
      <c r="BQ348" s="2872"/>
      <c r="BR348" s="3449"/>
      <c r="BS348" s="3449"/>
      <c r="BT348" s="3449"/>
      <c r="BU348" s="3452" t="str">
        <f>BV347&amp;"-"&amp;BX347</f>
        <v>44805-44895</v>
      </c>
      <c r="BV348" s="3453"/>
      <c r="BW348" s="2872"/>
      <c r="BX348" s="3453"/>
      <c r="BY348" s="2872"/>
      <c r="BZ348" s="3449"/>
      <c r="CA348" s="3449"/>
      <c r="CB348" s="3449"/>
      <c r="CC348" s="3452" t="str">
        <f>CD347&amp;"-"&amp;CF347</f>
        <v>44896-45174</v>
      </c>
      <c r="CD348" s="3453"/>
      <c r="CE348" s="2872"/>
      <c r="CF348" s="3453"/>
      <c r="CG348" s="2872"/>
      <c r="CH348" s="3449"/>
      <c r="CI348" s="3449"/>
      <c r="CJ348" s="3449"/>
      <c r="CK348" s="3452" t="str">
        <f>CL347&amp;"-"&amp;CN347</f>
        <v>45175-45291</v>
      </c>
      <c r="CL348" s="3453"/>
      <c r="CM348" s="2872"/>
      <c r="CN348" s="3453"/>
      <c r="CO348" s="2872"/>
      <c r="CP348" s="3449"/>
      <c r="CQ348" s="3747"/>
      <c r="CR348" s="3581"/>
      <c r="CS348" s="3728"/>
      <c r="CT348" s="3728" t="str">
        <f>IF(T348="","",T348)</f>
        <v/>
      </c>
      <c r="CU348" s="3728"/>
      <c r="CV348" s="3728"/>
    </row>
    <row s="8035" customFormat="1" customHeight="1" ht="15">
      <c r="A349" s="3716"/>
      <c r="B349" s="3716"/>
      <c r="C349" s="3716"/>
      <c r="D349" s="3716"/>
      <c r="E349" s="3717"/>
      <c r="F349" s="3717"/>
      <c r="G349" s="3717"/>
      <c r="H349" s="3717">
        <v>1</v>
      </c>
      <c r="I349" s="3739"/>
      <c r="J349" s="3730"/>
      <c r="K349" s="3716"/>
      <c r="L349" s="3719"/>
      <c r="M349" s="3573"/>
      <c r="N349" s="3573"/>
      <c r="O349" s="3731"/>
      <c r="P349" s="3732"/>
      <c r="Q349" s="3732"/>
      <c r="R349" s="3733"/>
      <c r="S349" s="8036"/>
      <c r="T349" s="8037" t="s">
        <v>626</v>
      </c>
      <c r="U349" s="8038"/>
      <c r="V349" s="8039"/>
      <c r="W349" s="8040"/>
      <c r="X349" s="8041"/>
      <c r="Y349" s="8042"/>
      <c r="Z349" s="8043"/>
      <c r="AA349" s="8044"/>
      <c r="AB349" s="8045"/>
      <c r="AC349" s="8046"/>
      <c r="AD349" s="8047"/>
      <c r="AE349" s="8048"/>
      <c r="AF349" s="8049"/>
      <c r="AG349" s="8050"/>
      <c r="AH349" s="8051"/>
      <c r="AI349" s="8052"/>
      <c r="AJ349" s="8053"/>
      <c r="AK349" s="8054"/>
      <c r="AL349" s="8055"/>
      <c r="AM349" s="8056"/>
      <c r="AN349" s="8057"/>
      <c r="AO349" s="8058"/>
      <c r="AP349" s="8059"/>
      <c r="AQ349" s="8060"/>
      <c r="AR349" s="8061"/>
      <c r="AS349" s="8062"/>
      <c r="AT349" s="8063"/>
      <c r="AU349" s="8064"/>
      <c r="AV349" s="8065"/>
      <c r="AW349" s="8066"/>
      <c r="AX349" s="8067"/>
      <c r="AY349" s="8068"/>
      <c r="AZ349" s="8069"/>
      <c r="BA349" s="8070"/>
      <c r="BB349" s="8071"/>
      <c r="BC349" s="8072"/>
      <c r="BD349" s="8073"/>
      <c r="BE349" s="8074"/>
      <c r="BF349" s="8075"/>
      <c r="BG349" s="8076"/>
      <c r="BH349" s="8077"/>
      <c r="BI349" s="8078"/>
      <c r="BJ349" s="8079"/>
      <c r="BK349" s="8080"/>
      <c r="BL349" s="8081"/>
      <c r="BM349" s="8082"/>
      <c r="BN349" s="8083"/>
      <c r="BO349" s="8084"/>
      <c r="BP349" s="8085"/>
      <c r="BQ349" s="8086"/>
      <c r="BR349" s="8087"/>
      <c r="BS349" s="8088"/>
      <c r="BT349" s="8089"/>
      <c r="BU349" s="8090"/>
      <c r="BV349" s="8091"/>
      <c r="BW349" s="8092"/>
      <c r="BX349" s="8093"/>
      <c r="BY349" s="8094"/>
      <c r="BZ349" s="8095"/>
      <c r="CA349" s="8096"/>
      <c r="CB349" s="8097"/>
      <c r="CC349" s="8098"/>
      <c r="CD349" s="8099"/>
      <c r="CE349" s="8100"/>
      <c r="CF349" s="8101"/>
      <c r="CG349" s="8102"/>
      <c r="CH349" s="8103"/>
      <c r="CI349" s="8104"/>
      <c r="CJ349" s="8105"/>
      <c r="CK349" s="8106"/>
      <c r="CL349" s="8107"/>
      <c r="CM349" s="8108"/>
      <c r="CN349" s="8109"/>
      <c r="CO349" s="8110"/>
      <c r="CP349" s="8111"/>
      <c r="CQ349" s="3825"/>
      <c r="CR349" s="3581"/>
      <c r="CS349" s="3728"/>
      <c r="CT349" s="3728" t="str">
        <f>IF(T349="","",T349)</f>
        <v>Добавить вид теплоносителя (параметры теплоносителя)</v>
      </c>
      <c r="CU349" s="3728"/>
      <c r="CV349" s="3728"/>
    </row>
    <row s="8112" customFormat="1" customHeight="1" ht="15">
      <c r="A350" s="3716"/>
      <c r="B350" s="3716"/>
      <c r="C350" s="3716"/>
      <c r="D350" s="3716"/>
      <c r="E350" s="3717"/>
      <c r="F350" s="3717"/>
      <c r="G350" s="3717"/>
      <c r="H350" s="3717">
        <v>1</v>
      </c>
      <c r="I350" s="3730"/>
      <c r="J350" s="3716"/>
      <c r="K350" s="3716"/>
      <c r="L350" s="3719"/>
      <c r="M350" s="3573"/>
      <c r="N350" s="3731"/>
      <c r="O350" s="3731"/>
      <c r="P350" s="3732"/>
      <c r="Q350" s="3732"/>
      <c r="R350" s="3733"/>
      <c r="S350" s="8113"/>
      <c r="T350" s="8114" t="s">
        <v>627</v>
      </c>
      <c r="U350" s="8115"/>
      <c r="V350" s="8116"/>
      <c r="W350" s="8117"/>
      <c r="X350" s="8118"/>
      <c r="Y350" s="8119"/>
      <c r="Z350" s="8120"/>
      <c r="AA350" s="8121"/>
      <c r="AB350" s="8122"/>
      <c r="AC350" s="8123"/>
      <c r="AD350" s="8124"/>
      <c r="AE350" s="8125"/>
      <c r="AF350" s="8126"/>
      <c r="AG350" s="8127"/>
      <c r="AH350" s="8128"/>
      <c r="AI350" s="8129"/>
      <c r="AJ350" s="8130"/>
      <c r="AK350" s="8131"/>
      <c r="AL350" s="8132"/>
      <c r="AM350" s="8133"/>
      <c r="AN350" s="8134"/>
      <c r="AO350" s="8135"/>
      <c r="AP350" s="8136"/>
      <c r="AQ350" s="8137"/>
      <c r="AR350" s="8138"/>
      <c r="AS350" s="8139"/>
      <c r="AT350" s="8140"/>
      <c r="AU350" s="8141"/>
      <c r="AV350" s="8142"/>
      <c r="AW350" s="8143"/>
      <c r="AX350" s="8144"/>
      <c r="AY350" s="8145"/>
      <c r="AZ350" s="8146"/>
      <c r="BA350" s="8147"/>
      <c r="BB350" s="8148"/>
      <c r="BC350" s="8149"/>
      <c r="BD350" s="8150"/>
      <c r="BE350" s="8151"/>
      <c r="BF350" s="8152"/>
      <c r="BG350" s="8153"/>
      <c r="BH350" s="8154"/>
      <c r="BI350" s="8155"/>
      <c r="BJ350" s="8156"/>
      <c r="BK350" s="8157"/>
      <c r="BL350" s="8158"/>
      <c r="BM350" s="8159"/>
      <c r="BN350" s="8160"/>
      <c r="BO350" s="8161"/>
      <c r="BP350" s="8162"/>
      <c r="BQ350" s="8163"/>
      <c r="BR350" s="8164"/>
      <c r="BS350" s="8165"/>
      <c r="BT350" s="8166"/>
      <c r="BU350" s="8167"/>
      <c r="BV350" s="8168"/>
      <c r="BW350" s="8169"/>
      <c r="BX350" s="8170"/>
      <c r="BY350" s="8171"/>
      <c r="BZ350" s="8172"/>
      <c r="CA350" s="8173"/>
      <c r="CB350" s="8174"/>
      <c r="CC350" s="8175"/>
      <c r="CD350" s="8176"/>
      <c r="CE350" s="8177"/>
      <c r="CF350" s="8178"/>
      <c r="CG350" s="8179"/>
      <c r="CH350" s="8180"/>
      <c r="CI350" s="8181"/>
      <c r="CJ350" s="8182"/>
      <c r="CK350" s="8183"/>
      <c r="CL350" s="8184"/>
      <c r="CM350" s="8185"/>
      <c r="CN350" s="8186"/>
      <c r="CO350" s="8187"/>
      <c r="CP350" s="8188"/>
      <c r="CQ350" s="8189"/>
      <c r="CR350" s="3581"/>
      <c r="CS350" s="3728"/>
      <c r="CT350" s="3728" t="str">
        <f>IF(T350="","",T350)</f>
        <v>Добавить группу потребителей</v>
      </c>
      <c r="CU350" s="3728"/>
      <c r="CV350" s="3728"/>
    </row>
    <row s="8190" customFormat="1" customHeight="1" ht="14.25">
      <c r="A351" s="3716"/>
      <c r="B351" s="3716"/>
      <c r="C351" s="3716"/>
      <c r="D351" s="3716"/>
      <c r="E351" s="3717"/>
      <c r="F351" s="3717"/>
      <c r="G351" s="3717"/>
      <c r="H351" s="3718">
        <v>1</v>
      </c>
      <c r="I351" s="3716"/>
      <c r="J351" s="3716"/>
      <c r="K351" s="3716"/>
      <c r="L351" s="3719"/>
      <c r="M351" s="3720"/>
      <c r="N351" s="3720"/>
      <c r="O351" s="3573"/>
      <c r="P351" s="3905"/>
      <c r="Q351" s="3906"/>
      <c r="R351" s="3907"/>
      <c r="S351" s="3908"/>
      <c r="T351" s="3909"/>
      <c r="U351" s="3569"/>
      <c r="V351" s="3569"/>
      <c r="W351" s="3569"/>
      <c r="X351" s="3569"/>
      <c r="Y351" s="3569"/>
      <c r="Z351" s="3569"/>
      <c r="AA351" s="3569"/>
      <c r="AB351" s="3569"/>
      <c r="AC351" s="3569"/>
      <c r="AD351" s="3569"/>
      <c r="AE351" s="3569"/>
      <c r="AF351" s="3569"/>
      <c r="AG351" s="3569"/>
      <c r="AH351" s="3569"/>
      <c r="AI351" s="3569"/>
      <c r="AJ351" s="3569"/>
      <c r="AK351" s="3569"/>
      <c r="AL351" s="3569"/>
      <c r="AM351" s="3569"/>
      <c r="AN351" s="3569"/>
      <c r="AO351" s="3569"/>
      <c r="AP351" s="3569"/>
      <c r="AQ351" s="3569"/>
      <c r="AR351" s="3569"/>
      <c r="AS351" s="3569"/>
      <c r="AT351" s="3569"/>
      <c r="AU351" s="3569"/>
      <c r="AV351" s="3569"/>
      <c r="AW351" s="3569"/>
      <c r="AX351" s="3569"/>
      <c r="AY351" s="3569"/>
      <c r="AZ351" s="3569"/>
      <c r="BA351" s="3569"/>
      <c r="BB351" s="3569"/>
      <c r="BC351" s="3569"/>
      <c r="BD351" s="3569"/>
      <c r="BE351" s="3569"/>
      <c r="BF351" s="3569"/>
      <c r="BG351" s="3569"/>
      <c r="BH351" s="3569"/>
      <c r="BI351" s="3569"/>
      <c r="BJ351" s="3569"/>
      <c r="BK351" s="3569"/>
      <c r="BL351" s="3569"/>
      <c r="BM351" s="3569"/>
      <c r="BN351" s="3569"/>
      <c r="BO351" s="3569"/>
      <c r="BP351" s="3569"/>
      <c r="BQ351" s="3569"/>
      <c r="BR351" s="3569"/>
      <c r="BS351" s="3569"/>
      <c r="BT351" s="3569"/>
      <c r="BU351" s="3569"/>
      <c r="BV351" s="3569"/>
      <c r="BW351" s="3569"/>
      <c r="BX351" s="3569"/>
      <c r="BY351" s="3569"/>
      <c r="BZ351" s="3569"/>
      <c r="CA351" s="3569"/>
      <c r="CB351" s="3569"/>
      <c r="CC351" s="3569"/>
      <c r="CD351" s="3569"/>
      <c r="CE351" s="3569"/>
      <c r="CF351" s="3569"/>
      <c r="CG351" s="3569"/>
      <c r="CH351" s="3569"/>
      <c r="CI351" s="3569"/>
      <c r="CJ351" s="3569"/>
      <c r="CK351" s="3569"/>
      <c r="CL351" s="3569"/>
      <c r="CM351" s="3569"/>
      <c r="CN351" s="3569"/>
      <c r="CO351" s="3569"/>
      <c r="CP351" s="3569"/>
      <c r="CQ351" s="3910"/>
      <c r="CR351" s="3581"/>
      <c r="CS351" s="3728"/>
      <c r="CT351" s="3728" t="str">
        <f>IF(T351="","",T351)</f>
        <v/>
      </c>
      <c r="CU351" s="3728"/>
      <c r="CV351" s="3728"/>
    </row>
    <row s="8191" customFormat="1" customHeight="1" ht="21">
      <c r="A352" s="3716"/>
      <c r="B352" s="3716"/>
      <c r="C352" s="3716"/>
      <c r="D352" s="3716" t="s">
        <v>336</v>
      </c>
      <c r="E352" s="3717"/>
      <c r="F352" s="3717"/>
      <c r="G352" s="3717"/>
      <c r="H352" s="3718" t="s">
        <v>91</v>
      </c>
      <c r="I352" s="3716"/>
      <c r="J352" s="3716"/>
      <c r="K352" s="3716"/>
      <c r="L352" s="3719"/>
      <c r="M352" s="3720"/>
      <c r="N352" s="3720"/>
      <c r="O352" s="3720"/>
      <c r="P352" s="3721"/>
      <c r="Q352" s="3722"/>
      <c r="R352" s="3723"/>
      <c r="S352" s="3724" t="str">
        <f>INDEX(PT_DIFFERENTIATION_NUM_IST_TE,MATCH(D352,PT_DIFFERENTIATION_IST_TE_ID,0))</f>
        <v>2.1.1.3</v>
      </c>
      <c r="T352" s="3725" t="s">
        <v>616</v>
      </c>
      <c r="U352" s="3726"/>
      <c r="V352" s="3432"/>
      <c r="W352" s="3433"/>
      <c r="X352" s="3433"/>
      <c r="Y352" s="3433"/>
      <c r="Z352" s="3433"/>
      <c r="AA352" s="3433"/>
      <c r="AB352" s="3433"/>
      <c r="AC352" s="3434"/>
      <c r="AD352" s="3432" t="str">
        <f>INDEX(PT_DIFFERENTIATION_IST_TE,MATCH(D352,PT_DIFFERENTIATION_IST_TE_ID,0))</f>
        <v>г.о.город-герой Мурманск (п.Росляково)</v>
      </c>
      <c r="AE352" s="3433"/>
      <c r="AF352" s="3433"/>
      <c r="AG352" s="3433"/>
      <c r="AH352" s="3433"/>
      <c r="AI352" s="3433"/>
      <c r="AJ352" s="3433"/>
      <c r="AK352" s="3433"/>
      <c r="AL352" s="3432"/>
      <c r="AM352" s="3433"/>
      <c r="AN352" s="3433"/>
      <c r="AO352" s="3433"/>
      <c r="AP352" s="3433"/>
      <c r="AQ352" s="3433"/>
      <c r="AR352" s="3433"/>
      <c r="AS352" s="3434"/>
      <c r="AT352" s="3432"/>
      <c r="AU352" s="3433"/>
      <c r="AV352" s="3433"/>
      <c r="AW352" s="3433"/>
      <c r="AX352" s="3433"/>
      <c r="AY352" s="3433"/>
      <c r="AZ352" s="3433"/>
      <c r="BA352" s="3434"/>
      <c r="BB352" s="3432"/>
      <c r="BC352" s="3433"/>
      <c r="BD352" s="3433"/>
      <c r="BE352" s="3433"/>
      <c r="BF352" s="3433"/>
      <c r="BG352" s="3433"/>
      <c r="BH352" s="3433"/>
      <c r="BI352" s="3434"/>
      <c r="BJ352" s="3432"/>
      <c r="BK352" s="3433"/>
      <c r="BL352" s="3433"/>
      <c r="BM352" s="3433"/>
      <c r="BN352" s="3433"/>
      <c r="BO352" s="3433"/>
      <c r="BP352" s="3433"/>
      <c r="BQ352" s="3434"/>
      <c r="BR352" s="3432"/>
      <c r="BS352" s="3433"/>
      <c r="BT352" s="3433"/>
      <c r="BU352" s="3433"/>
      <c r="BV352" s="3433"/>
      <c r="BW352" s="3433"/>
      <c r="BX352" s="3433"/>
      <c r="BY352" s="3434"/>
      <c r="BZ352" s="3432"/>
      <c r="CA352" s="3433"/>
      <c r="CB352" s="3433"/>
      <c r="CC352" s="3433"/>
      <c r="CD352" s="3433"/>
      <c r="CE352" s="3433"/>
      <c r="CF352" s="3433"/>
      <c r="CG352" s="3434"/>
      <c r="CH352" s="3432"/>
      <c r="CI352" s="3433"/>
      <c r="CJ352" s="3433"/>
      <c r="CK352" s="3433"/>
      <c r="CL352" s="3433"/>
      <c r="CM352" s="3433"/>
      <c r="CN352" s="3433"/>
      <c r="CO352" s="3434"/>
      <c r="CP352" s="3434"/>
      <c r="CQ352" s="3727" t="s">
        <v>617</v>
      </c>
      <c r="CR352" s="3581"/>
      <c r="CS352" s="3728"/>
      <c r="CT352" s="3728" t="str">
        <f>IF(T352="","",T352)</f>
        <v>Источник тепловой энергии  </v>
      </c>
      <c r="CU352" s="3728"/>
      <c r="CV352" s="3728"/>
    </row>
    <row s="8192" customFormat="1" customHeight="1" ht="14.25">
      <c r="A353" s="3716"/>
      <c r="B353" s="3716"/>
      <c r="C353" s="3716"/>
      <c r="D353" s="3716"/>
      <c r="E353" s="3717"/>
      <c r="F353" s="3717"/>
      <c r="G353" s="3717"/>
      <c r="H353" s="3717" t="s">
        <v>104</v>
      </c>
      <c r="I353" s="3730" t="str">
        <f>S352&amp;".1"</f>
        <v>2.1.1.3.1</v>
      </c>
      <c r="J353" s="3716"/>
      <c r="K353" s="3716"/>
      <c r="L353" s="3719" t="s">
        <v>618</v>
      </c>
      <c r="M353" s="3573"/>
      <c r="N353" s="3731"/>
      <c r="O353" s="3731"/>
      <c r="P353" s="3732">
        <v>1</v>
      </c>
      <c r="Q353" s="3732"/>
      <c r="R353" s="3733"/>
      <c r="S353" s="3734"/>
      <c r="T353" s="3735"/>
      <c r="U353" s="3736"/>
      <c r="V353" s="3441"/>
      <c r="W353" s="3442"/>
      <c r="X353" s="3442"/>
      <c r="Y353" s="3442"/>
      <c r="Z353" s="3442"/>
      <c r="AA353" s="3442"/>
      <c r="AB353" s="3442"/>
      <c r="AC353" s="3443"/>
      <c r="AD353" s="3441"/>
      <c r="AE353" s="3442"/>
      <c r="AF353" s="3442"/>
      <c r="AG353" s="3442"/>
      <c r="AH353" s="3442"/>
      <c r="AI353" s="3442"/>
      <c r="AJ353" s="3442"/>
      <c r="AK353" s="3442"/>
      <c r="AL353" s="3441"/>
      <c r="AM353" s="3442"/>
      <c r="AN353" s="3442"/>
      <c r="AO353" s="3442"/>
      <c r="AP353" s="3442"/>
      <c r="AQ353" s="3442"/>
      <c r="AR353" s="3442"/>
      <c r="AS353" s="3443"/>
      <c r="AT353" s="3441"/>
      <c r="AU353" s="3442"/>
      <c r="AV353" s="3442"/>
      <c r="AW353" s="3442"/>
      <c r="AX353" s="3442"/>
      <c r="AY353" s="3442"/>
      <c r="AZ353" s="3442"/>
      <c r="BA353" s="3443"/>
      <c r="BB353" s="3441"/>
      <c r="BC353" s="3442"/>
      <c r="BD353" s="3442"/>
      <c r="BE353" s="3442"/>
      <c r="BF353" s="3442"/>
      <c r="BG353" s="3442"/>
      <c r="BH353" s="3442"/>
      <c r="BI353" s="3443"/>
      <c r="BJ353" s="3441"/>
      <c r="BK353" s="3442"/>
      <c r="BL353" s="3442"/>
      <c r="BM353" s="3442"/>
      <c r="BN353" s="3442"/>
      <c r="BO353" s="3442"/>
      <c r="BP353" s="3442"/>
      <c r="BQ353" s="3443"/>
      <c r="BR353" s="3441"/>
      <c r="BS353" s="3442"/>
      <c r="BT353" s="3442"/>
      <c r="BU353" s="3442"/>
      <c r="BV353" s="3442"/>
      <c r="BW353" s="3442"/>
      <c r="BX353" s="3442"/>
      <c r="BY353" s="3443"/>
      <c r="BZ353" s="3441"/>
      <c r="CA353" s="3442"/>
      <c r="CB353" s="3442"/>
      <c r="CC353" s="3442"/>
      <c r="CD353" s="3442"/>
      <c r="CE353" s="3442"/>
      <c r="CF353" s="3442"/>
      <c r="CG353" s="3443"/>
      <c r="CH353" s="3441"/>
      <c r="CI353" s="3442"/>
      <c r="CJ353" s="3442"/>
      <c r="CK353" s="3442"/>
      <c r="CL353" s="3442"/>
      <c r="CM353" s="3442"/>
      <c r="CN353" s="3442"/>
      <c r="CO353" s="3443"/>
      <c r="CP353" s="3443"/>
      <c r="CQ353" s="3737"/>
      <c r="CR353" s="3581"/>
      <c r="CS353" s="3728"/>
      <c r="CT353" s="3728" t="str">
        <f>IF(T353="","",T353)</f>
        <v/>
      </c>
      <c r="CU353" s="3728"/>
      <c r="CV353" s="3728"/>
    </row>
    <row s="8193" customFormat="1" customHeight="1" ht="21">
      <c r="A354" s="3716"/>
      <c r="B354" s="3716"/>
      <c r="C354" s="3716"/>
      <c r="D354" s="3716"/>
      <c r="E354" s="3717"/>
      <c r="F354" s="3717"/>
      <c r="G354" s="3717"/>
      <c r="H354" s="3717" t="s">
        <v>104</v>
      </c>
      <c r="I354" s="3739"/>
      <c r="J354" s="3730" t="str">
        <f>I353&amp;".1"</f>
        <v>2.1.1.3.1.1</v>
      </c>
      <c r="K354" s="3716"/>
      <c r="L354" s="3719" t="s">
        <v>621</v>
      </c>
      <c r="M354" s="3573"/>
      <c r="N354" s="3573"/>
      <c r="O354" s="3731"/>
      <c r="P354" s="3732"/>
      <c r="Q354" s="3732">
        <v>1</v>
      </c>
      <c r="R354" s="3740"/>
      <c r="S354" s="3724" t="str">
        <f>$J354</f>
        <v>2.1.1.3.1.1</v>
      </c>
      <c r="T354" s="3741" t="s">
        <v>622</v>
      </c>
      <c r="U354" s="3726"/>
      <c r="V354" s="3445"/>
      <c r="W354" s="3446"/>
      <c r="X354" s="3446"/>
      <c r="Y354" s="3446"/>
      <c r="Z354" s="3446"/>
      <c r="AA354" s="3446"/>
      <c r="AB354" s="3446"/>
      <c r="AC354" s="3447"/>
      <c r="AD354" s="3445" t="s">
        <v>665</v>
      </c>
      <c r="AE354" s="3446"/>
      <c r="AF354" s="3446"/>
      <c r="AG354" s="3446"/>
      <c r="AH354" s="3446"/>
      <c r="AI354" s="3446"/>
      <c r="AJ354" s="3446"/>
      <c r="AK354" s="3446"/>
      <c r="AL354" s="3445"/>
      <c r="AM354" s="3446"/>
      <c r="AN354" s="3446"/>
      <c r="AO354" s="3446"/>
      <c r="AP354" s="3446"/>
      <c r="AQ354" s="3446"/>
      <c r="AR354" s="3446"/>
      <c r="AS354" s="3447"/>
      <c r="AT354" s="3445"/>
      <c r="AU354" s="3446"/>
      <c r="AV354" s="3446"/>
      <c r="AW354" s="3446"/>
      <c r="AX354" s="3446"/>
      <c r="AY354" s="3446"/>
      <c r="AZ354" s="3446"/>
      <c r="BA354" s="3447"/>
      <c r="BB354" s="3445"/>
      <c r="BC354" s="3446"/>
      <c r="BD354" s="3446"/>
      <c r="BE354" s="3446"/>
      <c r="BF354" s="3446"/>
      <c r="BG354" s="3446"/>
      <c r="BH354" s="3446"/>
      <c r="BI354" s="3447"/>
      <c r="BJ354" s="3445"/>
      <c r="BK354" s="3446"/>
      <c r="BL354" s="3446"/>
      <c r="BM354" s="3446"/>
      <c r="BN354" s="3446"/>
      <c r="BO354" s="3446"/>
      <c r="BP354" s="3446"/>
      <c r="BQ354" s="3447"/>
      <c r="BR354" s="3445"/>
      <c r="BS354" s="3446"/>
      <c r="BT354" s="3446"/>
      <c r="BU354" s="3446"/>
      <c r="BV354" s="3446"/>
      <c r="BW354" s="3446"/>
      <c r="BX354" s="3446"/>
      <c r="BY354" s="3447"/>
      <c r="BZ354" s="3445"/>
      <c r="CA354" s="3446"/>
      <c r="CB354" s="3446"/>
      <c r="CC354" s="3446"/>
      <c r="CD354" s="3446"/>
      <c r="CE354" s="3446"/>
      <c r="CF354" s="3446"/>
      <c r="CG354" s="3447"/>
      <c r="CH354" s="3445"/>
      <c r="CI354" s="3446"/>
      <c r="CJ354" s="3446"/>
      <c r="CK354" s="3446"/>
      <c r="CL354" s="3446"/>
      <c r="CM354" s="3446"/>
      <c r="CN354" s="3446"/>
      <c r="CO354" s="3447"/>
      <c r="CP354" s="3447"/>
      <c r="CQ354" s="3727" t="s">
        <v>623</v>
      </c>
      <c r="CR354" s="3581"/>
      <c r="CS354" s="3728"/>
      <c r="CT354" s="3728" t="str">
        <f>IF(T354="","",T354)</f>
        <v>Группа потребителей</v>
      </c>
      <c r="CU354" s="3728"/>
      <c r="CV354" s="3728"/>
    </row>
    <row s="8194" customFormat="1" customHeight="1" ht="21">
      <c r="A355" s="3716"/>
      <c r="B355" s="3716"/>
      <c r="C355" s="3716"/>
      <c r="D355" s="3716"/>
      <c r="E355" s="3717"/>
      <c r="F355" s="3717"/>
      <c r="G355" s="3717"/>
      <c r="H355" s="3717" t="s">
        <v>104</v>
      </c>
      <c r="I355" s="3739"/>
      <c r="J355" s="3739"/>
      <c r="K355" s="3730" t="str">
        <f>J354&amp;".1"</f>
        <v>2.1.1.3.1.1.1</v>
      </c>
      <c r="L355" s="3719" t="s">
        <v>624</v>
      </c>
      <c r="M355" s="3573"/>
      <c r="N355" s="3573"/>
      <c r="O355" s="3573"/>
      <c r="P355" s="3732"/>
      <c r="Q355" s="3732"/>
      <c r="R355" s="3740">
        <v>1</v>
      </c>
      <c r="S355" s="3724" t="str">
        <f>$K355</f>
        <v>2.1.1.3.1.1.1</v>
      </c>
      <c r="T355" s="3743" t="s">
        <v>663</v>
      </c>
      <c r="U355" s="3726"/>
      <c r="V355" s="3448"/>
      <c r="W355" s="3449"/>
      <c r="X355" s="3448"/>
      <c r="Y355" s="3450"/>
      <c r="Z355" s="3451"/>
      <c r="AA355" s="2872" t="s">
        <v>63</v>
      </c>
      <c r="AB355" s="3451"/>
      <c r="AC355" s="2872" t="s">
        <v>63</v>
      </c>
      <c r="AD355" s="3448">
        <v>20.18</v>
      </c>
      <c r="AE355" s="3449"/>
      <c r="AF355" s="3448"/>
      <c r="AG355" s="3450"/>
      <c r="AH355" s="3451">
        <v>44197</v>
      </c>
      <c r="AI355" s="2872" t="s">
        <v>63</v>
      </c>
      <c r="AJ355" s="3451">
        <v>44377</v>
      </c>
      <c r="AK355" s="2872" t="s">
        <v>63</v>
      </c>
      <c r="AL355" s="3448">
        <v>20.18</v>
      </c>
      <c r="AM355" s="3449"/>
      <c r="AN355" s="3448"/>
      <c r="AO355" s="3450"/>
      <c r="AP355" s="3451">
        <v>44378</v>
      </c>
      <c r="AQ355" s="2872" t="s">
        <v>63</v>
      </c>
      <c r="AR355" s="3451">
        <v>44561</v>
      </c>
      <c r="AS355" s="2872" t="s">
        <v>63</v>
      </c>
      <c r="AT355" s="3448">
        <v>20.18</v>
      </c>
      <c r="AU355" s="3449"/>
      <c r="AV355" s="3448"/>
      <c r="AW355" s="3450"/>
      <c r="AX355" s="3451">
        <v>44562</v>
      </c>
      <c r="AY355" s="2872" t="s">
        <v>63</v>
      </c>
      <c r="AZ355" s="3451">
        <v>44601</v>
      </c>
      <c r="BA355" s="2872" t="s">
        <v>63</v>
      </c>
      <c r="BB355" s="3448">
        <v>20.18</v>
      </c>
      <c r="BC355" s="3449"/>
      <c r="BD355" s="3448"/>
      <c r="BE355" s="3450"/>
      <c r="BF355" s="3451">
        <v>44602</v>
      </c>
      <c r="BG355" s="2872" t="s">
        <v>63</v>
      </c>
      <c r="BH355" s="3451">
        <v>44742</v>
      </c>
      <c r="BI355" s="2872" t="s">
        <v>63</v>
      </c>
      <c r="BJ355" s="3448">
        <v>22.4</v>
      </c>
      <c r="BK355" s="3449"/>
      <c r="BL355" s="3448"/>
      <c r="BM355" s="3450"/>
      <c r="BN355" s="3451">
        <v>44743</v>
      </c>
      <c r="BO355" s="2872" t="s">
        <v>63</v>
      </c>
      <c r="BP355" s="3451">
        <v>44804</v>
      </c>
      <c r="BQ355" s="2872" t="s">
        <v>63</v>
      </c>
      <c r="BR355" s="3448">
        <v>22.4</v>
      </c>
      <c r="BS355" s="3449"/>
      <c r="BT355" s="3448"/>
      <c r="BU355" s="3450"/>
      <c r="BV355" s="3451">
        <v>44805</v>
      </c>
      <c r="BW355" s="2872" t="s">
        <v>63</v>
      </c>
      <c r="BX355" s="3451">
        <v>44895</v>
      </c>
      <c r="BY355" s="2872" t="s">
        <v>63</v>
      </c>
      <c r="BZ355" s="3448">
        <v>24.42</v>
      </c>
      <c r="CA355" s="3449"/>
      <c r="CB355" s="3448"/>
      <c r="CC355" s="3450"/>
      <c r="CD355" s="3451">
        <v>44896</v>
      </c>
      <c r="CE355" s="2872" t="s">
        <v>63</v>
      </c>
      <c r="CF355" s="3451">
        <v>45174</v>
      </c>
      <c r="CG355" s="2872" t="s">
        <v>63</v>
      </c>
      <c r="CH355" s="3448">
        <v>24.42</v>
      </c>
      <c r="CI355" s="3449"/>
      <c r="CJ355" s="3448"/>
      <c r="CK355" s="3450"/>
      <c r="CL355" s="3451">
        <v>45175</v>
      </c>
      <c r="CM355" s="2872" t="s">
        <v>63</v>
      </c>
      <c r="CN355" s="3451">
        <v>45291</v>
      </c>
      <c r="CO355" s="2872" t="s">
        <v>63</v>
      </c>
      <c r="CP355" s="3449"/>
      <c r="CQ355" s="3744" t="s">
        <v>625</v>
      </c>
      <c r="CR355" s="3581">
        <f>STRCHECKDATE(V356:CP356)</f>
      </c>
      <c r="CS355" s="3728"/>
      <c r="CT355" s="3728" t="str">
        <f>IF(T355="","",T355)</f>
        <v>вода</v>
      </c>
      <c r="CU355" s="3728"/>
      <c r="CV355" s="3728"/>
    </row>
    <row s="8195" customFormat="1" customHeight="1" ht="0.75">
      <c r="A356" s="3716"/>
      <c r="B356" s="3716"/>
      <c r="C356" s="3716"/>
      <c r="D356" s="3716"/>
      <c r="E356" s="3717"/>
      <c r="F356" s="3717"/>
      <c r="G356" s="3717"/>
      <c r="H356" s="3717" t="s">
        <v>104</v>
      </c>
      <c r="I356" s="3739"/>
      <c r="J356" s="3739"/>
      <c r="K356" s="3730"/>
      <c r="L356" s="3719"/>
      <c r="M356" s="3573"/>
      <c r="N356" s="3573"/>
      <c r="O356" s="3573"/>
      <c r="P356" s="3732"/>
      <c r="Q356" s="3732"/>
      <c r="R356" s="3740"/>
      <c r="S356" s="3746"/>
      <c r="T356" s="3726"/>
      <c r="U356" s="3726"/>
      <c r="V356" s="3449"/>
      <c r="W356" s="3449"/>
      <c r="X356" s="3449"/>
      <c r="Y356" s="3452" t="str">
        <f>Z355&amp;"-"&amp;AB355</f>
        <v>-</v>
      </c>
      <c r="Z356" s="3453"/>
      <c r="AA356" s="2872"/>
      <c r="AB356" s="3453"/>
      <c r="AC356" s="2872"/>
      <c r="AD356" s="3449"/>
      <c r="AE356" s="3449"/>
      <c r="AF356" s="3449"/>
      <c r="AG356" s="3452" t="str">
        <f>AH355&amp;"-"&amp;AJ355</f>
        <v>44197-44377</v>
      </c>
      <c r="AH356" s="3453"/>
      <c r="AI356" s="2872"/>
      <c r="AJ356" s="3453"/>
      <c r="AK356" s="2872"/>
      <c r="AL356" s="3449"/>
      <c r="AM356" s="3449"/>
      <c r="AN356" s="3449"/>
      <c r="AO356" s="3452" t="str">
        <f>AP355&amp;"-"&amp;AR355</f>
        <v>44378-44561</v>
      </c>
      <c r="AP356" s="3453"/>
      <c r="AQ356" s="2872"/>
      <c r="AR356" s="3453"/>
      <c r="AS356" s="2872"/>
      <c r="AT356" s="3449"/>
      <c r="AU356" s="3449"/>
      <c r="AV356" s="3449"/>
      <c r="AW356" s="3452" t="str">
        <f>AX355&amp;"-"&amp;AZ355</f>
        <v>44562-44601</v>
      </c>
      <c r="AX356" s="3453"/>
      <c r="AY356" s="2872"/>
      <c r="AZ356" s="3453"/>
      <c r="BA356" s="2872"/>
      <c r="BB356" s="3449"/>
      <c r="BC356" s="3449"/>
      <c r="BD356" s="3449"/>
      <c r="BE356" s="3452" t="str">
        <f>BF355&amp;"-"&amp;BH355</f>
        <v>44602-44742</v>
      </c>
      <c r="BF356" s="3453"/>
      <c r="BG356" s="2872"/>
      <c r="BH356" s="3453"/>
      <c r="BI356" s="2872"/>
      <c r="BJ356" s="3449"/>
      <c r="BK356" s="3449"/>
      <c r="BL356" s="3449"/>
      <c r="BM356" s="3452" t="str">
        <f>BN355&amp;"-"&amp;BP355</f>
        <v>44743-44804</v>
      </c>
      <c r="BN356" s="3453"/>
      <c r="BO356" s="2872"/>
      <c r="BP356" s="3453"/>
      <c r="BQ356" s="2872"/>
      <c r="BR356" s="3449"/>
      <c r="BS356" s="3449"/>
      <c r="BT356" s="3449"/>
      <c r="BU356" s="3452" t="str">
        <f>BV355&amp;"-"&amp;BX355</f>
        <v>44805-44895</v>
      </c>
      <c r="BV356" s="3453"/>
      <c r="BW356" s="2872"/>
      <c r="BX356" s="3453"/>
      <c r="BY356" s="2872"/>
      <c r="BZ356" s="3449"/>
      <c r="CA356" s="3449"/>
      <c r="CB356" s="3449"/>
      <c r="CC356" s="3452" t="str">
        <f>CD355&amp;"-"&amp;CF355</f>
        <v>44896-45174</v>
      </c>
      <c r="CD356" s="3453"/>
      <c r="CE356" s="2872"/>
      <c r="CF356" s="3453"/>
      <c r="CG356" s="2872"/>
      <c r="CH356" s="3449"/>
      <c r="CI356" s="3449"/>
      <c r="CJ356" s="3449"/>
      <c r="CK356" s="3452" t="str">
        <f>CL355&amp;"-"&amp;CN355</f>
        <v>45175-45291</v>
      </c>
      <c r="CL356" s="3453"/>
      <c r="CM356" s="2872"/>
      <c r="CN356" s="3453"/>
      <c r="CO356" s="2872"/>
      <c r="CP356" s="3449"/>
      <c r="CQ356" s="3747"/>
      <c r="CR356" s="3581"/>
      <c r="CS356" s="3728"/>
      <c r="CT356" s="3728" t="str">
        <f>IF(T356="","",T356)</f>
        <v/>
      </c>
      <c r="CU356" s="3728"/>
      <c r="CV356" s="3728"/>
    </row>
    <row s="8196" customFormat="1" customHeight="1" ht="15">
      <c r="A357" s="3716"/>
      <c r="B357" s="3716"/>
      <c r="C357" s="3716"/>
      <c r="D357" s="3716"/>
      <c r="E357" s="3717"/>
      <c r="F357" s="3717"/>
      <c r="G357" s="3717"/>
      <c r="H357" s="3717" t="s">
        <v>104</v>
      </c>
      <c r="I357" s="3739"/>
      <c r="J357" s="3730"/>
      <c r="K357" s="3716"/>
      <c r="L357" s="3719"/>
      <c r="M357" s="3573"/>
      <c r="N357" s="3573"/>
      <c r="O357" s="3731"/>
      <c r="P357" s="3732"/>
      <c r="Q357" s="3732"/>
      <c r="R357" s="3733"/>
      <c r="S357" s="8197"/>
      <c r="T357" s="8198" t="s">
        <v>626</v>
      </c>
      <c r="U357" s="8199"/>
      <c r="V357" s="8200"/>
      <c r="W357" s="8201"/>
      <c r="X357" s="8202"/>
      <c r="Y357" s="8203"/>
      <c r="Z357" s="8204"/>
      <c r="AA357" s="8205"/>
      <c r="AB357" s="8206"/>
      <c r="AC357" s="8207"/>
      <c r="AD357" s="8208"/>
      <c r="AE357" s="8209"/>
      <c r="AF357" s="8210"/>
      <c r="AG357" s="8211"/>
      <c r="AH357" s="8212"/>
      <c r="AI357" s="8213"/>
      <c r="AJ357" s="8214"/>
      <c r="AK357" s="8215"/>
      <c r="AL357" s="8216"/>
      <c r="AM357" s="8217"/>
      <c r="AN357" s="8218"/>
      <c r="AO357" s="8219"/>
      <c r="AP357" s="8220"/>
      <c r="AQ357" s="8221"/>
      <c r="AR357" s="8222"/>
      <c r="AS357" s="8223"/>
      <c r="AT357" s="8224"/>
      <c r="AU357" s="8225"/>
      <c r="AV357" s="8226"/>
      <c r="AW357" s="8227"/>
      <c r="AX357" s="8228"/>
      <c r="AY357" s="8229"/>
      <c r="AZ357" s="8230"/>
      <c r="BA357" s="8231"/>
      <c r="BB357" s="8232"/>
      <c r="BC357" s="8233"/>
      <c r="BD357" s="8234"/>
      <c r="BE357" s="8235"/>
      <c r="BF357" s="8236"/>
      <c r="BG357" s="8237"/>
      <c r="BH357" s="8238"/>
      <c r="BI357" s="8239"/>
      <c r="BJ357" s="8240"/>
      <c r="BK357" s="8241"/>
      <c r="BL357" s="8242"/>
      <c r="BM357" s="8243"/>
      <c r="BN357" s="8244"/>
      <c r="BO357" s="8245"/>
      <c r="BP357" s="8246"/>
      <c r="BQ357" s="8247"/>
      <c r="BR357" s="8248"/>
      <c r="BS357" s="8249"/>
      <c r="BT357" s="8250"/>
      <c r="BU357" s="8251"/>
      <c r="BV357" s="8252"/>
      <c r="BW357" s="8253"/>
      <c r="BX357" s="8254"/>
      <c r="BY357" s="8255"/>
      <c r="BZ357" s="8256"/>
      <c r="CA357" s="8257"/>
      <c r="CB357" s="8258"/>
      <c r="CC357" s="8259"/>
      <c r="CD357" s="8260"/>
      <c r="CE357" s="8261"/>
      <c r="CF357" s="8262"/>
      <c r="CG357" s="8263"/>
      <c r="CH357" s="8264"/>
      <c r="CI357" s="8265"/>
      <c r="CJ357" s="8266"/>
      <c r="CK357" s="8267"/>
      <c r="CL357" s="8268"/>
      <c r="CM357" s="8269"/>
      <c r="CN357" s="8270"/>
      <c r="CO357" s="8271"/>
      <c r="CP357" s="8272"/>
      <c r="CQ357" s="3825"/>
      <c r="CR357" s="3581"/>
      <c r="CS357" s="3728"/>
      <c r="CT357" s="3728" t="str">
        <f>IF(T357="","",T357)</f>
        <v>Добавить вид теплоносителя (параметры теплоносителя)</v>
      </c>
      <c r="CU357" s="3728"/>
      <c r="CV357" s="3728"/>
    </row>
    <row s="8273" customFormat="1" customHeight="1" ht="15">
      <c r="A358" s="3716"/>
      <c r="B358" s="3716"/>
      <c r="C358" s="3716"/>
      <c r="D358" s="3716"/>
      <c r="E358" s="3717"/>
      <c r="F358" s="3717"/>
      <c r="G358" s="3717"/>
      <c r="H358" s="3717" t="s">
        <v>104</v>
      </c>
      <c r="I358" s="3730"/>
      <c r="J358" s="3716"/>
      <c r="K358" s="3716"/>
      <c r="L358" s="3719"/>
      <c r="M358" s="3573"/>
      <c r="N358" s="3731"/>
      <c r="O358" s="3731"/>
      <c r="P358" s="3732"/>
      <c r="Q358" s="3732"/>
      <c r="R358" s="3733"/>
      <c r="S358" s="8274"/>
      <c r="T358" s="8275" t="s">
        <v>627</v>
      </c>
      <c r="U358" s="8276"/>
      <c r="V358" s="8277"/>
      <c r="W358" s="8278"/>
      <c r="X358" s="8279"/>
      <c r="Y358" s="8280"/>
      <c r="Z358" s="8281"/>
      <c r="AA358" s="8282"/>
      <c r="AB358" s="8283"/>
      <c r="AC358" s="8284"/>
      <c r="AD358" s="8285"/>
      <c r="AE358" s="8286"/>
      <c r="AF358" s="8287"/>
      <c r="AG358" s="8288"/>
      <c r="AH358" s="8289"/>
      <c r="AI358" s="8290"/>
      <c r="AJ358" s="8291"/>
      <c r="AK358" s="8292"/>
      <c r="AL358" s="8293"/>
      <c r="AM358" s="8294"/>
      <c r="AN358" s="8295"/>
      <c r="AO358" s="8296"/>
      <c r="AP358" s="8297"/>
      <c r="AQ358" s="8298"/>
      <c r="AR358" s="8299"/>
      <c r="AS358" s="8300"/>
      <c r="AT358" s="8301"/>
      <c r="AU358" s="8302"/>
      <c r="AV358" s="8303"/>
      <c r="AW358" s="8304"/>
      <c r="AX358" s="8305"/>
      <c r="AY358" s="8306"/>
      <c r="AZ358" s="8307"/>
      <c r="BA358" s="8308"/>
      <c r="BB358" s="8309"/>
      <c r="BC358" s="8310"/>
      <c r="BD358" s="8311"/>
      <c r="BE358" s="8312"/>
      <c r="BF358" s="8313"/>
      <c r="BG358" s="8314"/>
      <c r="BH358" s="8315"/>
      <c r="BI358" s="8316"/>
      <c r="BJ358" s="8317"/>
      <c r="BK358" s="8318"/>
      <c r="BL358" s="8319"/>
      <c r="BM358" s="8320"/>
      <c r="BN358" s="8321"/>
      <c r="BO358" s="8322"/>
      <c r="BP358" s="8323"/>
      <c r="BQ358" s="8324"/>
      <c r="BR358" s="8325"/>
      <c r="BS358" s="8326"/>
      <c r="BT358" s="8327"/>
      <c r="BU358" s="8328"/>
      <c r="BV358" s="8329"/>
      <c r="BW358" s="8330"/>
      <c r="BX358" s="8331"/>
      <c r="BY358" s="8332"/>
      <c r="BZ358" s="8333"/>
      <c r="CA358" s="8334"/>
      <c r="CB358" s="8335"/>
      <c r="CC358" s="8336"/>
      <c r="CD358" s="8337"/>
      <c r="CE358" s="8338"/>
      <c r="CF358" s="8339"/>
      <c r="CG358" s="8340"/>
      <c r="CH358" s="8341"/>
      <c r="CI358" s="8342"/>
      <c r="CJ358" s="8343"/>
      <c r="CK358" s="8344"/>
      <c r="CL358" s="8345"/>
      <c r="CM358" s="8346"/>
      <c r="CN358" s="8347"/>
      <c r="CO358" s="8348"/>
      <c r="CP358" s="8349"/>
      <c r="CQ358" s="8350"/>
      <c r="CR358" s="3581"/>
      <c r="CS358" s="3728"/>
      <c r="CT358" s="3728" t="str">
        <f>IF(T358="","",T358)</f>
        <v>Добавить группу потребителей</v>
      </c>
      <c r="CU358" s="3728"/>
      <c r="CV358" s="3728"/>
    </row>
    <row s="8351" customFormat="1" customHeight="1" ht="14.25">
      <c r="A359" s="3716"/>
      <c r="B359" s="3716"/>
      <c r="C359" s="3716"/>
      <c r="D359" s="3716"/>
      <c r="E359" s="3717"/>
      <c r="F359" s="3717"/>
      <c r="G359" s="3717"/>
      <c r="H359" s="3718" t="s">
        <v>104</v>
      </c>
      <c r="I359" s="3716"/>
      <c r="J359" s="3716"/>
      <c r="K359" s="3716"/>
      <c r="L359" s="3719"/>
      <c r="M359" s="3720"/>
      <c r="N359" s="3720"/>
      <c r="O359" s="3573"/>
      <c r="P359" s="3905"/>
      <c r="Q359" s="3906"/>
      <c r="R359" s="3907"/>
      <c r="S359" s="3908"/>
      <c r="T359" s="3909"/>
      <c r="U359" s="3569"/>
      <c r="V359" s="3569"/>
      <c r="W359" s="3569"/>
      <c r="X359" s="3569"/>
      <c r="Y359" s="3569"/>
      <c r="Z359" s="3569"/>
      <c r="AA359" s="3569"/>
      <c r="AB359" s="3569"/>
      <c r="AC359" s="3569"/>
      <c r="AD359" s="3569"/>
      <c r="AE359" s="3569"/>
      <c r="AF359" s="3569"/>
      <c r="AG359" s="3569"/>
      <c r="AH359" s="3569"/>
      <c r="AI359" s="3569"/>
      <c r="AJ359" s="3569"/>
      <c r="AK359" s="3569"/>
      <c r="AL359" s="3569"/>
      <c r="AM359" s="3569"/>
      <c r="AN359" s="3569"/>
      <c r="AO359" s="3569"/>
      <c r="AP359" s="3569"/>
      <c r="AQ359" s="3569"/>
      <c r="AR359" s="3569"/>
      <c r="AS359" s="3569"/>
      <c r="AT359" s="3569"/>
      <c r="AU359" s="3569"/>
      <c r="AV359" s="3569"/>
      <c r="AW359" s="3569"/>
      <c r="AX359" s="3569"/>
      <c r="AY359" s="3569"/>
      <c r="AZ359" s="3569"/>
      <c r="BA359" s="3569"/>
      <c r="BB359" s="3569"/>
      <c r="BC359" s="3569"/>
      <c r="BD359" s="3569"/>
      <c r="BE359" s="3569"/>
      <c r="BF359" s="3569"/>
      <c r="BG359" s="3569"/>
      <c r="BH359" s="3569"/>
      <c r="BI359" s="3569"/>
      <c r="BJ359" s="3569"/>
      <c r="BK359" s="3569"/>
      <c r="BL359" s="3569"/>
      <c r="BM359" s="3569"/>
      <c r="BN359" s="3569"/>
      <c r="BO359" s="3569"/>
      <c r="BP359" s="3569"/>
      <c r="BQ359" s="3569"/>
      <c r="BR359" s="3569"/>
      <c r="BS359" s="3569"/>
      <c r="BT359" s="3569"/>
      <c r="BU359" s="3569"/>
      <c r="BV359" s="3569"/>
      <c r="BW359" s="3569"/>
      <c r="BX359" s="3569"/>
      <c r="BY359" s="3569"/>
      <c r="BZ359" s="3569"/>
      <c r="CA359" s="3569"/>
      <c r="CB359" s="3569"/>
      <c r="CC359" s="3569"/>
      <c r="CD359" s="3569"/>
      <c r="CE359" s="3569"/>
      <c r="CF359" s="3569"/>
      <c r="CG359" s="3569"/>
      <c r="CH359" s="3569"/>
      <c r="CI359" s="3569"/>
      <c r="CJ359" s="3569"/>
      <c r="CK359" s="3569"/>
      <c r="CL359" s="3569"/>
      <c r="CM359" s="3569"/>
      <c r="CN359" s="3569"/>
      <c r="CO359" s="3569"/>
      <c r="CP359" s="3569"/>
      <c r="CQ359" s="3910"/>
      <c r="CR359" s="3581"/>
      <c r="CS359" s="3728"/>
      <c r="CT359" s="3728" t="str">
        <f>IF(T359="","",T359)</f>
        <v/>
      </c>
      <c r="CU359" s="3728"/>
      <c r="CV359" s="3728"/>
    </row>
    <row s="8352" customFormat="1" customHeight="1" ht="0.75">
      <c r="A360" s="4239"/>
      <c r="B360" s="4239"/>
      <c r="C360" s="4239"/>
      <c r="D360" s="4239"/>
      <c r="E360" s="3717">
        <v>1</v>
      </c>
      <c r="F360" s="3717"/>
      <c r="G360" s="3718"/>
      <c r="H360" s="4239"/>
      <c r="I360" s="4239"/>
      <c r="J360" s="4239"/>
      <c r="K360" s="4239"/>
      <c r="L360" s="4240"/>
      <c r="M360" s="4241"/>
      <c r="N360" s="4241"/>
      <c r="O360" s="3581"/>
      <c r="P360" s="4242"/>
      <c r="Q360" s="4243"/>
      <c r="R360" s="4242"/>
      <c r="S360" s="4244"/>
      <c r="T360" s="4245" t="s">
        <v>254</v>
      </c>
      <c r="U360" s="3571"/>
      <c r="V360" s="3571"/>
      <c r="W360" s="3571"/>
      <c r="X360" s="3571"/>
      <c r="Y360" s="3571"/>
      <c r="Z360" s="3571"/>
      <c r="AA360" s="3571"/>
      <c r="AB360" s="3571"/>
      <c r="AC360" s="3571"/>
      <c r="AD360" s="3571"/>
      <c r="AE360" s="3571"/>
      <c r="AF360" s="3571"/>
      <c r="AG360" s="3571"/>
      <c r="AH360" s="3571"/>
      <c r="AI360" s="3571"/>
      <c r="AJ360" s="3571"/>
      <c r="AK360" s="3571"/>
      <c r="AL360" s="3571"/>
      <c r="AM360" s="3571"/>
      <c r="AN360" s="3571"/>
      <c r="AO360" s="3571"/>
      <c r="AP360" s="3571"/>
      <c r="AQ360" s="3571"/>
      <c r="AR360" s="3571"/>
      <c r="AS360" s="3571"/>
      <c r="AT360" s="3571"/>
      <c r="AU360" s="3571"/>
      <c r="AV360" s="3571"/>
      <c r="AW360" s="3571"/>
      <c r="AX360" s="3571"/>
      <c r="AY360" s="3571"/>
      <c r="AZ360" s="3571"/>
      <c r="BA360" s="3571"/>
      <c r="BB360" s="3571"/>
      <c r="BC360" s="3571"/>
      <c r="BD360" s="3571"/>
      <c r="BE360" s="3571"/>
      <c r="BF360" s="3571"/>
      <c r="BG360" s="3571"/>
      <c r="BH360" s="3571"/>
      <c r="BI360" s="3571"/>
      <c r="BJ360" s="3571"/>
      <c r="BK360" s="3571"/>
      <c r="BL360" s="3571"/>
      <c r="BM360" s="3571"/>
      <c r="BN360" s="3571"/>
      <c r="BO360" s="3571"/>
      <c r="BP360" s="3571"/>
      <c r="BQ360" s="3571"/>
      <c r="BR360" s="3571"/>
      <c r="BS360" s="3571"/>
      <c r="BT360" s="3571"/>
      <c r="BU360" s="3571"/>
      <c r="BV360" s="3571"/>
      <c r="BW360" s="3571"/>
      <c r="BX360" s="3571"/>
      <c r="BY360" s="3571"/>
      <c r="BZ360" s="3571"/>
      <c r="CA360" s="3571"/>
      <c r="CB360" s="3571"/>
      <c r="CC360" s="3571"/>
      <c r="CD360" s="3571"/>
      <c r="CE360" s="3571"/>
      <c r="CF360" s="3571"/>
      <c r="CG360" s="3571"/>
      <c r="CH360" s="3571"/>
      <c r="CI360" s="3571"/>
      <c r="CJ360" s="3571"/>
      <c r="CK360" s="3571"/>
      <c r="CL360" s="3571"/>
      <c r="CM360" s="3571"/>
      <c r="CN360" s="3571"/>
      <c r="CO360" s="3571"/>
      <c r="CP360" s="3571"/>
      <c r="CQ360" s="3571"/>
      <c r="CR360" s="3581"/>
      <c r="CS360" s="3728"/>
      <c r="CT360" s="3728" t="str">
        <f>IF(T360="","",T360)</f>
        <v>Добавить источник для дифференциации</v>
      </c>
      <c r="CU360" s="3728"/>
      <c r="CV360" s="3728"/>
    </row>
    <row s="8353" customFormat="1" customHeight="1" ht="0.75">
      <c r="A361" s="4239"/>
      <c r="B361" s="4239"/>
      <c r="C361" s="4239"/>
      <c r="D361" s="4239"/>
      <c r="E361" s="3717">
        <v>1</v>
      </c>
      <c r="F361" s="3718"/>
      <c r="G361" s="4239"/>
      <c r="H361" s="4239"/>
      <c r="I361" s="4239"/>
      <c r="J361" s="4239"/>
      <c r="K361" s="4239"/>
      <c r="L361" s="4240"/>
      <c r="M361" s="4247"/>
      <c r="N361" s="4247"/>
      <c r="O361" s="3581"/>
      <c r="P361" s="4242"/>
      <c r="Q361" s="4243"/>
      <c r="R361" s="4242"/>
      <c r="S361" s="4248"/>
      <c r="T361" s="4249" t="s">
        <v>255</v>
      </c>
      <c r="U361" s="3572"/>
      <c r="V361" s="3572"/>
      <c r="W361" s="3572"/>
      <c r="X361" s="3572"/>
      <c r="Y361" s="3572"/>
      <c r="Z361" s="3572"/>
      <c r="AA361" s="3572"/>
      <c r="AB361" s="3572"/>
      <c r="AC361" s="3572"/>
      <c r="AD361" s="3572"/>
      <c r="AE361" s="3572"/>
      <c r="AF361" s="3572"/>
      <c r="AG361" s="3572"/>
      <c r="AH361" s="3572"/>
      <c r="AI361" s="3572"/>
      <c r="AJ361" s="3572"/>
      <c r="AK361" s="3572"/>
      <c r="AL361" s="3572"/>
      <c r="AM361" s="3572"/>
      <c r="AN361" s="3572"/>
      <c r="AO361" s="3572"/>
      <c r="AP361" s="3572"/>
      <c r="AQ361" s="3572"/>
      <c r="AR361" s="3572"/>
      <c r="AS361" s="3572"/>
      <c r="AT361" s="3572"/>
      <c r="AU361" s="3572"/>
      <c r="AV361" s="3572"/>
      <c r="AW361" s="3572"/>
      <c r="AX361" s="3572"/>
      <c r="AY361" s="3572"/>
      <c r="AZ361" s="3572"/>
      <c r="BA361" s="3572"/>
      <c r="BB361" s="3572"/>
      <c r="BC361" s="3572"/>
      <c r="BD361" s="3572"/>
      <c r="BE361" s="3572"/>
      <c r="BF361" s="3572"/>
      <c r="BG361" s="3572"/>
      <c r="BH361" s="3572"/>
      <c r="BI361" s="3572"/>
      <c r="BJ361" s="3572"/>
      <c r="BK361" s="3572"/>
      <c r="BL361" s="3572"/>
      <c r="BM361" s="3572"/>
      <c r="BN361" s="3572"/>
      <c r="BO361" s="3572"/>
      <c r="BP361" s="3572"/>
      <c r="BQ361" s="3572"/>
      <c r="BR361" s="3572"/>
      <c r="BS361" s="3572"/>
      <c r="BT361" s="3572"/>
      <c r="BU361" s="3572"/>
      <c r="BV361" s="3572"/>
      <c r="BW361" s="3572"/>
      <c r="BX361" s="3572"/>
      <c r="BY361" s="3572"/>
      <c r="BZ361" s="3572"/>
      <c r="CA361" s="3572"/>
      <c r="CB361" s="3572"/>
      <c r="CC361" s="3572"/>
      <c r="CD361" s="3572"/>
      <c r="CE361" s="3572"/>
      <c r="CF361" s="3572"/>
      <c r="CG361" s="3572"/>
      <c r="CH361" s="3572"/>
      <c r="CI361" s="3572"/>
      <c r="CJ361" s="3572"/>
      <c r="CK361" s="3572"/>
      <c r="CL361" s="3572"/>
      <c r="CM361" s="3572"/>
      <c r="CN361" s="3572"/>
      <c r="CO361" s="3572"/>
      <c r="CP361" s="3572"/>
      <c r="CQ361" s="3572"/>
      <c r="CR361" s="3581"/>
      <c r="CS361" s="3728"/>
      <c r="CT361" s="3728" t="str">
        <f>IF(T361="","",T361)</f>
        <v>Добавить централизованную систему для дифференциации</v>
      </c>
      <c r="CU361" s="3728"/>
      <c r="CV361" s="3728"/>
    </row>
    <row s="8354" customFormat="1" customHeight="1" ht="21">
      <c r="A362" s="3716"/>
      <c r="B362" s="3716" t="s">
        <v>337</v>
      </c>
      <c r="C362" s="3716"/>
      <c r="D362" s="3716"/>
      <c r="E362" s="3717"/>
      <c r="F362" s="3718" t="s">
        <v>104</v>
      </c>
      <c r="G362" s="3716"/>
      <c r="H362" s="3716"/>
      <c r="I362" s="3716"/>
      <c r="J362" s="3716"/>
      <c r="K362" s="3716"/>
      <c r="L362" s="3719"/>
      <c r="M362" s="3720"/>
      <c r="N362" s="3720"/>
      <c r="O362" s="3720"/>
      <c r="P362" s="4073"/>
      <c r="Q362" s="3722"/>
      <c r="R362" s="3723"/>
      <c r="S362" s="3724" t="str">
        <f>INDEX(PT_DIFFERENTIATION_NUM_TER,MATCH(B362,PT_DIFFERENTIATION_TER_ID,0))</f>
        <v>2.2</v>
      </c>
      <c r="T362" s="4074" t="s">
        <v>612</v>
      </c>
      <c r="U362" s="3726"/>
      <c r="V362" s="3432"/>
      <c r="W362" s="3433"/>
      <c r="X362" s="3433"/>
      <c r="Y362" s="3433"/>
      <c r="Z362" s="3433"/>
      <c r="AA362" s="3433"/>
      <c r="AB362" s="3433"/>
      <c r="AC362" s="3434"/>
      <c r="AD362" s="3432" t="str">
        <f>INDEX(PT_DIFFERENTIATION_TER,MATCH(B362,PT_DIFFERENTIATION_TER_ID,0))</f>
        <v>Территория 2</v>
      </c>
      <c r="AE362" s="3433"/>
      <c r="AF362" s="3433"/>
      <c r="AG362" s="3433"/>
      <c r="AH362" s="3433"/>
      <c r="AI362" s="3433"/>
      <c r="AJ362" s="3433"/>
      <c r="AK362" s="3433"/>
      <c r="AL362" s="3432"/>
      <c r="AM362" s="3433"/>
      <c r="AN362" s="3433"/>
      <c r="AO362" s="3433"/>
      <c r="AP362" s="3433"/>
      <c r="AQ362" s="3433"/>
      <c r="AR362" s="3433"/>
      <c r="AS362" s="3434"/>
      <c r="AT362" s="3432"/>
      <c r="AU362" s="3433"/>
      <c r="AV362" s="3433"/>
      <c r="AW362" s="3433"/>
      <c r="AX362" s="3433"/>
      <c r="AY362" s="3433"/>
      <c r="AZ362" s="3433"/>
      <c r="BA362" s="3434"/>
      <c r="BB362" s="3432"/>
      <c r="BC362" s="3433"/>
      <c r="BD362" s="3433"/>
      <c r="BE362" s="3433"/>
      <c r="BF362" s="3433"/>
      <c r="BG362" s="3433"/>
      <c r="BH362" s="3433"/>
      <c r="BI362" s="3434"/>
      <c r="BJ362" s="3432"/>
      <c r="BK362" s="3433"/>
      <c r="BL362" s="3433"/>
      <c r="BM362" s="3433"/>
      <c r="BN362" s="3433"/>
      <c r="BO362" s="3433"/>
      <c r="BP362" s="3433"/>
      <c r="BQ362" s="3434"/>
      <c r="BR362" s="3432"/>
      <c r="BS362" s="3433"/>
      <c r="BT362" s="3433"/>
      <c r="BU362" s="3433"/>
      <c r="BV362" s="3433"/>
      <c r="BW362" s="3433"/>
      <c r="BX362" s="3433"/>
      <c r="BY362" s="3434"/>
      <c r="BZ362" s="3432"/>
      <c r="CA362" s="3433"/>
      <c r="CB362" s="3433"/>
      <c r="CC362" s="3433"/>
      <c r="CD362" s="3433"/>
      <c r="CE362" s="3433"/>
      <c r="CF362" s="3433"/>
      <c r="CG362" s="3434"/>
      <c r="CH362" s="3432"/>
      <c r="CI362" s="3433"/>
      <c r="CJ362" s="3433"/>
      <c r="CK362" s="3433"/>
      <c r="CL362" s="3433"/>
      <c r="CM362" s="3433"/>
      <c r="CN362" s="3433"/>
      <c r="CO362" s="3434"/>
      <c r="CP362" s="3434"/>
      <c r="CQ362" s="3727" t="s">
        <v>613</v>
      </c>
      <c r="CR362" s="3581"/>
      <c r="CS362" s="3728"/>
      <c r="CT362" s="3728" t="str">
        <f>IF(T362="","",T362)</f>
        <v>Территория действия тарифа</v>
      </c>
      <c r="CU362" s="3728"/>
      <c r="CV362" s="3728"/>
    </row>
    <row s="8355" customFormat="1" customHeight="1" ht="23.25">
      <c r="A363" s="3716"/>
      <c r="B363" s="3716"/>
      <c r="C363" s="3716" t="s">
        <v>338</v>
      </c>
      <c r="D363" s="3716"/>
      <c r="E363" s="3717"/>
      <c r="F363" s="3717">
        <v>1</v>
      </c>
      <c r="G363" s="3718">
        <v>1</v>
      </c>
      <c r="H363" s="3716"/>
      <c r="I363" s="3716"/>
      <c r="J363" s="3716"/>
      <c r="K363" s="3716"/>
      <c r="L363" s="3719"/>
      <c r="M363" s="3720"/>
      <c r="N363" s="3720"/>
      <c r="O363" s="3720"/>
      <c r="P363" s="3721"/>
      <c r="Q363" s="3722"/>
      <c r="R363" s="3723"/>
      <c r="S363" s="3724" t="str">
        <f>INDEX(PT_DIFFERENTIATION_NUM_CS,MATCH(C363,PT_DIFFERENTIATION_CS_ID,0))</f>
        <v>2.2.1</v>
      </c>
      <c r="T363" s="4076" t="s">
        <v>614</v>
      </c>
      <c r="U363" s="3726"/>
      <c r="V363" s="3432"/>
      <c r="W363" s="3433"/>
      <c r="X363" s="3433"/>
      <c r="Y363" s="3433"/>
      <c r="Z363" s="3433"/>
      <c r="AA363" s="3433"/>
      <c r="AB363" s="3433"/>
      <c r="AC363" s="3434"/>
      <c r="AD363" s="3432" t="str">
        <f>INDEX(PT_DIFFERENTIATION_CS,MATCH(C363,PT_DIFFERENTIATION_CS_ID,0))</f>
        <v>без дифференциации</v>
      </c>
      <c r="AE363" s="3433"/>
      <c r="AF363" s="3433"/>
      <c r="AG363" s="3433"/>
      <c r="AH363" s="3433"/>
      <c r="AI363" s="3433"/>
      <c r="AJ363" s="3433"/>
      <c r="AK363" s="3433"/>
      <c r="AL363" s="3432"/>
      <c r="AM363" s="3433"/>
      <c r="AN363" s="3433"/>
      <c r="AO363" s="3433"/>
      <c r="AP363" s="3433"/>
      <c r="AQ363" s="3433"/>
      <c r="AR363" s="3433"/>
      <c r="AS363" s="3434"/>
      <c r="AT363" s="3432"/>
      <c r="AU363" s="3433"/>
      <c r="AV363" s="3433"/>
      <c r="AW363" s="3433"/>
      <c r="AX363" s="3433"/>
      <c r="AY363" s="3433"/>
      <c r="AZ363" s="3433"/>
      <c r="BA363" s="3434"/>
      <c r="BB363" s="3432"/>
      <c r="BC363" s="3433"/>
      <c r="BD363" s="3433"/>
      <c r="BE363" s="3433"/>
      <c r="BF363" s="3433"/>
      <c r="BG363" s="3433"/>
      <c r="BH363" s="3433"/>
      <c r="BI363" s="3434"/>
      <c r="BJ363" s="3432"/>
      <c r="BK363" s="3433"/>
      <c r="BL363" s="3433"/>
      <c r="BM363" s="3433"/>
      <c r="BN363" s="3433"/>
      <c r="BO363" s="3433"/>
      <c r="BP363" s="3433"/>
      <c r="BQ363" s="3434"/>
      <c r="BR363" s="3432"/>
      <c r="BS363" s="3433"/>
      <c r="BT363" s="3433"/>
      <c r="BU363" s="3433"/>
      <c r="BV363" s="3433"/>
      <c r="BW363" s="3433"/>
      <c r="BX363" s="3433"/>
      <c r="BY363" s="3434"/>
      <c r="BZ363" s="3432"/>
      <c r="CA363" s="3433"/>
      <c r="CB363" s="3433"/>
      <c r="CC363" s="3433"/>
      <c r="CD363" s="3433"/>
      <c r="CE363" s="3433"/>
      <c r="CF363" s="3433"/>
      <c r="CG363" s="3434"/>
      <c r="CH363" s="3432"/>
      <c r="CI363" s="3433"/>
      <c r="CJ363" s="3433"/>
      <c r="CK363" s="3433"/>
      <c r="CL363" s="3433"/>
      <c r="CM363" s="3433"/>
      <c r="CN363" s="3433"/>
      <c r="CO363" s="3434"/>
      <c r="CP363" s="3434"/>
      <c r="CQ363" s="3727" t="s">
        <v>615</v>
      </c>
      <c r="CR363" s="3581"/>
      <c r="CS363" s="3728"/>
      <c r="CT363" s="3728" t="str">
        <f>IF(T363="","",T363)</f>
        <v>Наименование системы теплоснабжения </v>
      </c>
      <c r="CU363" s="3728"/>
      <c r="CV363" s="3728"/>
    </row>
    <row s="8356" customFormat="1" customHeight="1" ht="21">
      <c r="A364" s="3716"/>
      <c r="B364" s="3716"/>
      <c r="C364" s="3716"/>
      <c r="D364" s="3716" t="s">
        <v>339</v>
      </c>
      <c r="E364" s="3717"/>
      <c r="F364" s="3717">
        <v>1</v>
      </c>
      <c r="G364" s="3717"/>
      <c r="H364" s="3718">
        <v>1</v>
      </c>
      <c r="I364" s="3716"/>
      <c r="J364" s="3716"/>
      <c r="K364" s="3716"/>
      <c r="L364" s="3719"/>
      <c r="M364" s="3720"/>
      <c r="N364" s="3720"/>
      <c r="O364" s="3720"/>
      <c r="P364" s="3721"/>
      <c r="Q364" s="3722"/>
      <c r="R364" s="3723"/>
      <c r="S364" s="3724" t="str">
        <f>INDEX(PT_DIFFERENTIATION_NUM_IST_TE,MATCH(D364,PT_DIFFERENTIATION_IST_TE_ID,0))</f>
        <v>2.2.1.1</v>
      </c>
      <c r="T364" s="3725" t="s">
        <v>616</v>
      </c>
      <c r="U364" s="3726"/>
      <c r="V364" s="3432"/>
      <c r="W364" s="3433"/>
      <c r="X364" s="3433"/>
      <c r="Y364" s="3433"/>
      <c r="Z364" s="3433"/>
      <c r="AA364" s="3433"/>
      <c r="AB364" s="3433"/>
      <c r="AC364" s="3434"/>
      <c r="AD364" s="3432" t="str">
        <f>INDEX(PT_DIFFERENTIATION_IST_TE,MATCH(D364,PT_DIFFERENTIATION_IST_TE_ID,0))</f>
        <v>без дифференциации</v>
      </c>
      <c r="AE364" s="3433"/>
      <c r="AF364" s="3433"/>
      <c r="AG364" s="3433"/>
      <c r="AH364" s="3433"/>
      <c r="AI364" s="3433"/>
      <c r="AJ364" s="3433"/>
      <c r="AK364" s="3433"/>
      <c r="AL364" s="3432"/>
      <c r="AM364" s="3433"/>
      <c r="AN364" s="3433"/>
      <c r="AO364" s="3433"/>
      <c r="AP364" s="3433"/>
      <c r="AQ364" s="3433"/>
      <c r="AR364" s="3433"/>
      <c r="AS364" s="3434"/>
      <c r="AT364" s="3432"/>
      <c r="AU364" s="3433"/>
      <c r="AV364" s="3433"/>
      <c r="AW364" s="3433"/>
      <c r="AX364" s="3433"/>
      <c r="AY364" s="3433"/>
      <c r="AZ364" s="3433"/>
      <c r="BA364" s="3434"/>
      <c r="BB364" s="3432"/>
      <c r="BC364" s="3433"/>
      <c r="BD364" s="3433"/>
      <c r="BE364" s="3433"/>
      <c r="BF364" s="3433"/>
      <c r="BG364" s="3433"/>
      <c r="BH364" s="3433"/>
      <c r="BI364" s="3434"/>
      <c r="BJ364" s="3432"/>
      <c r="BK364" s="3433"/>
      <c r="BL364" s="3433"/>
      <c r="BM364" s="3433"/>
      <c r="BN364" s="3433"/>
      <c r="BO364" s="3433"/>
      <c r="BP364" s="3433"/>
      <c r="BQ364" s="3434"/>
      <c r="BR364" s="3432"/>
      <c r="BS364" s="3433"/>
      <c r="BT364" s="3433"/>
      <c r="BU364" s="3433"/>
      <c r="BV364" s="3433"/>
      <c r="BW364" s="3433"/>
      <c r="BX364" s="3433"/>
      <c r="BY364" s="3434"/>
      <c r="BZ364" s="3432"/>
      <c r="CA364" s="3433"/>
      <c r="CB364" s="3433"/>
      <c r="CC364" s="3433"/>
      <c r="CD364" s="3433"/>
      <c r="CE364" s="3433"/>
      <c r="CF364" s="3433"/>
      <c r="CG364" s="3434"/>
      <c r="CH364" s="3432"/>
      <c r="CI364" s="3433"/>
      <c r="CJ364" s="3433"/>
      <c r="CK364" s="3433"/>
      <c r="CL364" s="3433"/>
      <c r="CM364" s="3433"/>
      <c r="CN364" s="3433"/>
      <c r="CO364" s="3434"/>
      <c r="CP364" s="3434"/>
      <c r="CQ364" s="3727" t="s">
        <v>617</v>
      </c>
      <c r="CR364" s="3581"/>
      <c r="CS364" s="3728"/>
      <c r="CT364" s="3728" t="str">
        <f>IF(T364="","",T364)</f>
        <v>Источник тепловой энергии  </v>
      </c>
      <c r="CU364" s="3728"/>
      <c r="CV364" s="3728"/>
    </row>
    <row s="8357" customFormat="1" customHeight="1" ht="14.25">
      <c r="A365" s="3716"/>
      <c r="B365" s="3716"/>
      <c r="C365" s="3716"/>
      <c r="D365" s="3716"/>
      <c r="E365" s="3717"/>
      <c r="F365" s="3717">
        <v>1</v>
      </c>
      <c r="G365" s="3717"/>
      <c r="H365" s="3717"/>
      <c r="I365" s="3730" t="str">
        <f>S364&amp;".1"</f>
        <v>2.2.1.1.1</v>
      </c>
      <c r="J365" s="3716"/>
      <c r="K365" s="3716"/>
      <c r="L365" s="3719" t="s">
        <v>618</v>
      </c>
      <c r="M365" s="3573"/>
      <c r="N365" s="3731"/>
      <c r="O365" s="3731"/>
      <c r="P365" s="3732">
        <v>1</v>
      </c>
      <c r="Q365" s="3732"/>
      <c r="R365" s="3733"/>
      <c r="S365" s="3734"/>
      <c r="T365" s="3735"/>
      <c r="U365" s="3736"/>
      <c r="V365" s="3441"/>
      <c r="W365" s="3442"/>
      <c r="X365" s="3442"/>
      <c r="Y365" s="3442"/>
      <c r="Z365" s="3442"/>
      <c r="AA365" s="3442"/>
      <c r="AB365" s="3442"/>
      <c r="AC365" s="3443"/>
      <c r="AD365" s="3441"/>
      <c r="AE365" s="3442"/>
      <c r="AF365" s="3442"/>
      <c r="AG365" s="3442"/>
      <c r="AH365" s="3442"/>
      <c r="AI365" s="3442"/>
      <c r="AJ365" s="3442"/>
      <c r="AK365" s="3442"/>
      <c r="AL365" s="3441"/>
      <c r="AM365" s="3442"/>
      <c r="AN365" s="3442"/>
      <c r="AO365" s="3442"/>
      <c r="AP365" s="3442"/>
      <c r="AQ365" s="3442"/>
      <c r="AR365" s="3442"/>
      <c r="AS365" s="3443"/>
      <c r="AT365" s="3441"/>
      <c r="AU365" s="3442"/>
      <c r="AV365" s="3442"/>
      <c r="AW365" s="3442"/>
      <c r="AX365" s="3442"/>
      <c r="AY365" s="3442"/>
      <c r="AZ365" s="3442"/>
      <c r="BA365" s="3443"/>
      <c r="BB365" s="3441"/>
      <c r="BC365" s="3442"/>
      <c r="BD365" s="3442"/>
      <c r="BE365" s="3442"/>
      <c r="BF365" s="3442"/>
      <c r="BG365" s="3442"/>
      <c r="BH365" s="3442"/>
      <c r="BI365" s="3443"/>
      <c r="BJ365" s="3441"/>
      <c r="BK365" s="3442"/>
      <c r="BL365" s="3442"/>
      <c r="BM365" s="3442"/>
      <c r="BN365" s="3442"/>
      <c r="BO365" s="3442"/>
      <c r="BP365" s="3442"/>
      <c r="BQ365" s="3443"/>
      <c r="BR365" s="3441"/>
      <c r="BS365" s="3442"/>
      <c r="BT365" s="3442"/>
      <c r="BU365" s="3442"/>
      <c r="BV365" s="3442"/>
      <c r="BW365" s="3442"/>
      <c r="BX365" s="3442"/>
      <c r="BY365" s="3443"/>
      <c r="BZ365" s="3441"/>
      <c r="CA365" s="3442"/>
      <c r="CB365" s="3442"/>
      <c r="CC365" s="3442"/>
      <c r="CD365" s="3442"/>
      <c r="CE365" s="3442"/>
      <c r="CF365" s="3442"/>
      <c r="CG365" s="3443"/>
      <c r="CH365" s="3441"/>
      <c r="CI365" s="3442"/>
      <c r="CJ365" s="3442"/>
      <c r="CK365" s="3442"/>
      <c r="CL365" s="3442"/>
      <c r="CM365" s="3442"/>
      <c r="CN365" s="3442"/>
      <c r="CO365" s="3443"/>
      <c r="CP365" s="3443"/>
      <c r="CQ365" s="3737"/>
      <c r="CR365" s="3581"/>
      <c r="CS365" s="3728"/>
      <c r="CT365" s="3728" t="str">
        <f>IF(T365="","",T365)</f>
        <v/>
      </c>
      <c r="CU365" s="3728"/>
      <c r="CV365" s="3728"/>
    </row>
    <row s="8358" customFormat="1" customHeight="1" ht="21">
      <c r="A366" s="3716"/>
      <c r="B366" s="3716"/>
      <c r="C366" s="3716"/>
      <c r="D366" s="3716"/>
      <c r="E366" s="3717"/>
      <c r="F366" s="3717">
        <v>1</v>
      </c>
      <c r="G366" s="3717"/>
      <c r="H366" s="3717"/>
      <c r="I366" s="3739"/>
      <c r="J366" s="3730" t="str">
        <f>I365&amp;".1"</f>
        <v>2.2.1.1.1.1</v>
      </c>
      <c r="K366" s="3716"/>
      <c r="L366" s="3719" t="s">
        <v>621</v>
      </c>
      <c r="M366" s="3573"/>
      <c r="N366" s="3573"/>
      <c r="O366" s="3731"/>
      <c r="P366" s="3732"/>
      <c r="Q366" s="3732">
        <v>1</v>
      </c>
      <c r="R366" s="3740"/>
      <c r="S366" s="3724" t="str">
        <f>$J366</f>
        <v>2.2.1.1.1.1</v>
      </c>
      <c r="T366" s="3741" t="s">
        <v>622</v>
      </c>
      <c r="U366" s="3726"/>
      <c r="V366" s="3445"/>
      <c r="W366" s="3446"/>
      <c r="X366" s="3446"/>
      <c r="Y366" s="3446"/>
      <c r="Z366" s="3446"/>
      <c r="AA366" s="3446"/>
      <c r="AB366" s="3446"/>
      <c r="AC366" s="3447"/>
      <c r="AD366" s="3445" t="s">
        <v>665</v>
      </c>
      <c r="AE366" s="3446"/>
      <c r="AF366" s="3446"/>
      <c r="AG366" s="3446"/>
      <c r="AH366" s="3446"/>
      <c r="AI366" s="3446"/>
      <c r="AJ366" s="3446"/>
      <c r="AK366" s="3446"/>
      <c r="AL366" s="3445"/>
      <c r="AM366" s="3446"/>
      <c r="AN366" s="3446"/>
      <c r="AO366" s="3446"/>
      <c r="AP366" s="3446"/>
      <c r="AQ366" s="3446"/>
      <c r="AR366" s="3446"/>
      <c r="AS366" s="3447"/>
      <c r="AT366" s="3445"/>
      <c r="AU366" s="3446"/>
      <c r="AV366" s="3446"/>
      <c r="AW366" s="3446"/>
      <c r="AX366" s="3446"/>
      <c r="AY366" s="3446"/>
      <c r="AZ366" s="3446"/>
      <c r="BA366" s="3447"/>
      <c r="BB366" s="3445"/>
      <c r="BC366" s="3446"/>
      <c r="BD366" s="3446"/>
      <c r="BE366" s="3446"/>
      <c r="BF366" s="3446"/>
      <c r="BG366" s="3446"/>
      <c r="BH366" s="3446"/>
      <c r="BI366" s="3447"/>
      <c r="BJ366" s="3445"/>
      <c r="BK366" s="3446"/>
      <c r="BL366" s="3446"/>
      <c r="BM366" s="3446"/>
      <c r="BN366" s="3446"/>
      <c r="BO366" s="3446"/>
      <c r="BP366" s="3446"/>
      <c r="BQ366" s="3447"/>
      <c r="BR366" s="3445"/>
      <c r="BS366" s="3446"/>
      <c r="BT366" s="3446"/>
      <c r="BU366" s="3446"/>
      <c r="BV366" s="3446"/>
      <c r="BW366" s="3446"/>
      <c r="BX366" s="3446"/>
      <c r="BY366" s="3447"/>
      <c r="BZ366" s="3445"/>
      <c r="CA366" s="3446"/>
      <c r="CB366" s="3446"/>
      <c r="CC366" s="3446"/>
      <c r="CD366" s="3446"/>
      <c r="CE366" s="3446"/>
      <c r="CF366" s="3446"/>
      <c r="CG366" s="3447"/>
      <c r="CH366" s="3445"/>
      <c r="CI366" s="3446"/>
      <c r="CJ366" s="3446"/>
      <c r="CK366" s="3446"/>
      <c r="CL366" s="3446"/>
      <c r="CM366" s="3446"/>
      <c r="CN366" s="3446"/>
      <c r="CO366" s="3447"/>
      <c r="CP366" s="3447"/>
      <c r="CQ366" s="3727" t="s">
        <v>623</v>
      </c>
      <c r="CR366" s="3581"/>
      <c r="CS366" s="3728"/>
      <c r="CT366" s="3728" t="str">
        <f>IF(T366="","",T366)</f>
        <v>Группа потребителей</v>
      </c>
      <c r="CU366" s="3728"/>
      <c r="CV366" s="3728"/>
    </row>
    <row s="8359" customFormat="1" customHeight="1" ht="21">
      <c r="A367" s="3716"/>
      <c r="B367" s="3716"/>
      <c r="C367" s="3716"/>
      <c r="D367" s="3716"/>
      <c r="E367" s="3717"/>
      <c r="F367" s="3717">
        <v>1</v>
      </c>
      <c r="G367" s="3717"/>
      <c r="H367" s="3717"/>
      <c r="I367" s="3739"/>
      <c r="J367" s="3739"/>
      <c r="K367" s="3730" t="str">
        <f>J366&amp;".1"</f>
        <v>2.2.1.1.1.1.1</v>
      </c>
      <c r="L367" s="3719" t="s">
        <v>624</v>
      </c>
      <c r="M367" s="3573"/>
      <c r="N367" s="3573"/>
      <c r="O367" s="3573"/>
      <c r="P367" s="3732"/>
      <c r="Q367" s="3732"/>
      <c r="R367" s="3740">
        <v>1</v>
      </c>
      <c r="S367" s="3724" t="str">
        <f>$K367</f>
        <v>2.2.1.1.1.1.1</v>
      </c>
      <c r="T367" s="3743" t="s">
        <v>663</v>
      </c>
      <c r="U367" s="3726"/>
      <c r="V367" s="3448"/>
      <c r="W367" s="3449"/>
      <c r="X367" s="3448"/>
      <c r="Y367" s="3450"/>
      <c r="Z367" s="3451"/>
      <c r="AA367" s="2872" t="s">
        <v>63</v>
      </c>
      <c r="AB367" s="3451"/>
      <c r="AC367" s="2872" t="s">
        <v>63</v>
      </c>
      <c r="AD367" s="3448">
        <v>32.92</v>
      </c>
      <c r="AE367" s="3449"/>
      <c r="AF367" s="3448"/>
      <c r="AG367" s="3450"/>
      <c r="AH367" s="3451">
        <v>44197</v>
      </c>
      <c r="AI367" s="2872" t="s">
        <v>63</v>
      </c>
      <c r="AJ367" s="3451">
        <v>44377</v>
      </c>
      <c r="AK367" s="2872" t="s">
        <v>63</v>
      </c>
      <c r="AL367" s="3448">
        <v>36.2</v>
      </c>
      <c r="AM367" s="3449"/>
      <c r="AN367" s="3448"/>
      <c r="AO367" s="3450"/>
      <c r="AP367" s="3451">
        <v>44378</v>
      </c>
      <c r="AQ367" s="2872" t="s">
        <v>63</v>
      </c>
      <c r="AR367" s="3451">
        <v>44561</v>
      </c>
      <c r="AS367" s="2872" t="s">
        <v>63</v>
      </c>
      <c r="AT367" s="3448">
        <v>36.2</v>
      </c>
      <c r="AU367" s="3449"/>
      <c r="AV367" s="3448"/>
      <c r="AW367" s="3450"/>
      <c r="AX367" s="3451">
        <v>44562</v>
      </c>
      <c r="AY367" s="2872" t="s">
        <v>63</v>
      </c>
      <c r="AZ367" s="3451">
        <v>44601</v>
      </c>
      <c r="BA367" s="2872" t="s">
        <v>63</v>
      </c>
      <c r="BB367" s="3448">
        <v>36.2</v>
      </c>
      <c r="BC367" s="3449"/>
      <c r="BD367" s="3448"/>
      <c r="BE367" s="3450"/>
      <c r="BF367" s="3451">
        <v>44602</v>
      </c>
      <c r="BG367" s="2872" t="s">
        <v>63</v>
      </c>
      <c r="BH367" s="3451">
        <v>44742</v>
      </c>
      <c r="BI367" s="2872" t="s">
        <v>63</v>
      </c>
      <c r="BJ367" s="3448">
        <v>39.1</v>
      </c>
      <c r="BK367" s="3449"/>
      <c r="BL367" s="3448"/>
      <c r="BM367" s="3450"/>
      <c r="BN367" s="3451">
        <v>44743</v>
      </c>
      <c r="BO367" s="2872" t="s">
        <v>63</v>
      </c>
      <c r="BP367" s="3451">
        <v>44804</v>
      </c>
      <c r="BQ367" s="2872" t="s">
        <v>63</v>
      </c>
      <c r="BR367" s="3448">
        <v>39.1</v>
      </c>
      <c r="BS367" s="3449"/>
      <c r="BT367" s="3448"/>
      <c r="BU367" s="3450"/>
      <c r="BV367" s="3451">
        <v>44805</v>
      </c>
      <c r="BW367" s="2872" t="s">
        <v>63</v>
      </c>
      <c r="BX367" s="3451">
        <v>44895</v>
      </c>
      <c r="BY367" s="2872" t="s">
        <v>63</v>
      </c>
      <c r="BZ367" s="3448">
        <v>41.45</v>
      </c>
      <c r="CA367" s="3449"/>
      <c r="CB367" s="3448"/>
      <c r="CC367" s="3450"/>
      <c r="CD367" s="3451">
        <v>44896</v>
      </c>
      <c r="CE367" s="2872" t="s">
        <v>63</v>
      </c>
      <c r="CF367" s="3451">
        <v>45174</v>
      </c>
      <c r="CG367" s="2872" t="s">
        <v>63</v>
      </c>
      <c r="CH367" s="3448">
        <v>41.45</v>
      </c>
      <c r="CI367" s="3449"/>
      <c r="CJ367" s="3448"/>
      <c r="CK367" s="3450"/>
      <c r="CL367" s="3451">
        <v>45175</v>
      </c>
      <c r="CM367" s="2872" t="s">
        <v>63</v>
      </c>
      <c r="CN367" s="3451">
        <v>45291</v>
      </c>
      <c r="CO367" s="2872" t="s">
        <v>63</v>
      </c>
      <c r="CP367" s="3449"/>
      <c r="CQ367" s="3744" t="s">
        <v>625</v>
      </c>
      <c r="CR367" s="3581">
        <f>STRCHECKDATE(V368:CP368)</f>
      </c>
      <c r="CS367" s="3728"/>
      <c r="CT367" s="3728" t="str">
        <f>IF(T367="","",T367)</f>
        <v>вода</v>
      </c>
      <c r="CU367" s="3728"/>
      <c r="CV367" s="3728"/>
    </row>
    <row s="8360" customFormat="1" customHeight="1" ht="0.75">
      <c r="A368" s="3716"/>
      <c r="B368" s="3716"/>
      <c r="C368" s="3716"/>
      <c r="D368" s="3716"/>
      <c r="E368" s="3717"/>
      <c r="F368" s="3717">
        <v>1</v>
      </c>
      <c r="G368" s="3717"/>
      <c r="H368" s="3717"/>
      <c r="I368" s="3739"/>
      <c r="J368" s="3739"/>
      <c r="K368" s="3730"/>
      <c r="L368" s="3719"/>
      <c r="M368" s="3573"/>
      <c r="N368" s="3573"/>
      <c r="O368" s="3573"/>
      <c r="P368" s="3732"/>
      <c r="Q368" s="3732"/>
      <c r="R368" s="3740"/>
      <c r="S368" s="3746"/>
      <c r="T368" s="3726"/>
      <c r="U368" s="3726"/>
      <c r="V368" s="3449"/>
      <c r="W368" s="3449"/>
      <c r="X368" s="3449"/>
      <c r="Y368" s="3452" t="str">
        <f>Z367&amp;"-"&amp;AB367</f>
        <v>-</v>
      </c>
      <c r="Z368" s="3453"/>
      <c r="AA368" s="2872"/>
      <c r="AB368" s="3453"/>
      <c r="AC368" s="2872"/>
      <c r="AD368" s="3449"/>
      <c r="AE368" s="3449"/>
      <c r="AF368" s="3449"/>
      <c r="AG368" s="3452" t="str">
        <f>AH367&amp;"-"&amp;AJ367</f>
        <v>44197-44377</v>
      </c>
      <c r="AH368" s="3453"/>
      <c r="AI368" s="2872"/>
      <c r="AJ368" s="3453"/>
      <c r="AK368" s="2872"/>
      <c r="AL368" s="3449"/>
      <c r="AM368" s="3449"/>
      <c r="AN368" s="3449"/>
      <c r="AO368" s="3452" t="str">
        <f>AP367&amp;"-"&amp;AR367</f>
        <v>44378-44561</v>
      </c>
      <c r="AP368" s="3453"/>
      <c r="AQ368" s="2872"/>
      <c r="AR368" s="3453"/>
      <c r="AS368" s="2872"/>
      <c r="AT368" s="3449"/>
      <c r="AU368" s="3449"/>
      <c r="AV368" s="3449"/>
      <c r="AW368" s="3452" t="str">
        <f>AX367&amp;"-"&amp;AZ367</f>
        <v>44562-44601</v>
      </c>
      <c r="AX368" s="3453"/>
      <c r="AY368" s="2872"/>
      <c r="AZ368" s="3453"/>
      <c r="BA368" s="2872"/>
      <c r="BB368" s="3449"/>
      <c r="BC368" s="3449"/>
      <c r="BD368" s="3449"/>
      <c r="BE368" s="3452" t="str">
        <f>BF367&amp;"-"&amp;BH367</f>
        <v>44602-44742</v>
      </c>
      <c r="BF368" s="3453"/>
      <c r="BG368" s="2872"/>
      <c r="BH368" s="3453"/>
      <c r="BI368" s="2872"/>
      <c r="BJ368" s="3449"/>
      <c r="BK368" s="3449"/>
      <c r="BL368" s="3449"/>
      <c r="BM368" s="3452" t="str">
        <f>BN367&amp;"-"&amp;BP367</f>
        <v>44743-44804</v>
      </c>
      <c r="BN368" s="3453"/>
      <c r="BO368" s="2872"/>
      <c r="BP368" s="3453"/>
      <c r="BQ368" s="2872"/>
      <c r="BR368" s="3449"/>
      <c r="BS368" s="3449"/>
      <c r="BT368" s="3449"/>
      <c r="BU368" s="3452" t="str">
        <f>BV367&amp;"-"&amp;BX367</f>
        <v>44805-44895</v>
      </c>
      <c r="BV368" s="3453"/>
      <c r="BW368" s="2872"/>
      <c r="BX368" s="3453"/>
      <c r="BY368" s="2872"/>
      <c r="BZ368" s="3449"/>
      <c r="CA368" s="3449"/>
      <c r="CB368" s="3449"/>
      <c r="CC368" s="3452" t="str">
        <f>CD367&amp;"-"&amp;CF367</f>
        <v>44896-45174</v>
      </c>
      <c r="CD368" s="3453"/>
      <c r="CE368" s="2872"/>
      <c r="CF368" s="3453"/>
      <c r="CG368" s="2872"/>
      <c r="CH368" s="3449"/>
      <c r="CI368" s="3449"/>
      <c r="CJ368" s="3449"/>
      <c r="CK368" s="3452" t="str">
        <f>CL367&amp;"-"&amp;CN367</f>
        <v>45175-45291</v>
      </c>
      <c r="CL368" s="3453"/>
      <c r="CM368" s="2872"/>
      <c r="CN368" s="3453"/>
      <c r="CO368" s="2872"/>
      <c r="CP368" s="3449"/>
      <c r="CQ368" s="3747"/>
      <c r="CR368" s="3581"/>
      <c r="CS368" s="3728"/>
      <c r="CT368" s="3728" t="str">
        <f>IF(T368="","",T368)</f>
        <v/>
      </c>
      <c r="CU368" s="3728"/>
      <c r="CV368" s="3728"/>
    </row>
    <row s="8361" customFormat="1" customHeight="1" ht="15">
      <c r="A369" s="3716"/>
      <c r="B369" s="3716"/>
      <c r="C369" s="3716"/>
      <c r="D369" s="3716"/>
      <c r="E369" s="3717"/>
      <c r="F369" s="3717">
        <v>1</v>
      </c>
      <c r="G369" s="3717"/>
      <c r="H369" s="3717"/>
      <c r="I369" s="3739"/>
      <c r="J369" s="3730"/>
      <c r="K369" s="3716"/>
      <c r="L369" s="3719"/>
      <c r="M369" s="3573"/>
      <c r="N369" s="3573"/>
      <c r="O369" s="3731"/>
      <c r="P369" s="3732"/>
      <c r="Q369" s="3732"/>
      <c r="R369" s="3733"/>
      <c r="S369" s="8362"/>
      <c r="T369" s="8363" t="s">
        <v>626</v>
      </c>
      <c r="U369" s="8364"/>
      <c r="V369" s="8365"/>
      <c r="W369" s="8366"/>
      <c r="X369" s="8367"/>
      <c r="Y369" s="8368"/>
      <c r="Z369" s="8369"/>
      <c r="AA369" s="8370"/>
      <c r="AB369" s="8371"/>
      <c r="AC369" s="8372"/>
      <c r="AD369" s="8373"/>
      <c r="AE369" s="8374"/>
      <c r="AF369" s="8375"/>
      <c r="AG369" s="8376"/>
      <c r="AH369" s="8377"/>
      <c r="AI369" s="8378"/>
      <c r="AJ369" s="8379"/>
      <c r="AK369" s="8380"/>
      <c r="AL369" s="8381"/>
      <c r="AM369" s="8382"/>
      <c r="AN369" s="8383"/>
      <c r="AO369" s="8384"/>
      <c r="AP369" s="8385"/>
      <c r="AQ369" s="8386"/>
      <c r="AR369" s="8387"/>
      <c r="AS369" s="8388"/>
      <c r="AT369" s="8389"/>
      <c r="AU369" s="8390"/>
      <c r="AV369" s="8391"/>
      <c r="AW369" s="8392"/>
      <c r="AX369" s="8393"/>
      <c r="AY369" s="8394"/>
      <c r="AZ369" s="8395"/>
      <c r="BA369" s="8396"/>
      <c r="BB369" s="8397"/>
      <c r="BC369" s="8398"/>
      <c r="BD369" s="8399"/>
      <c r="BE369" s="8400"/>
      <c r="BF369" s="8401"/>
      <c r="BG369" s="8402"/>
      <c r="BH369" s="8403"/>
      <c r="BI369" s="8404"/>
      <c r="BJ369" s="8405"/>
      <c r="BK369" s="8406"/>
      <c r="BL369" s="8407"/>
      <c r="BM369" s="8408"/>
      <c r="BN369" s="8409"/>
      <c r="BO369" s="8410"/>
      <c r="BP369" s="8411"/>
      <c r="BQ369" s="8412"/>
      <c r="BR369" s="8413"/>
      <c r="BS369" s="8414"/>
      <c r="BT369" s="8415"/>
      <c r="BU369" s="8416"/>
      <c r="BV369" s="8417"/>
      <c r="BW369" s="8418"/>
      <c r="BX369" s="8419"/>
      <c r="BY369" s="8420"/>
      <c r="BZ369" s="8421"/>
      <c r="CA369" s="8422"/>
      <c r="CB369" s="8423"/>
      <c r="CC369" s="8424"/>
      <c r="CD369" s="8425"/>
      <c r="CE369" s="8426"/>
      <c r="CF369" s="8427"/>
      <c r="CG369" s="8428"/>
      <c r="CH369" s="8429"/>
      <c r="CI369" s="8430"/>
      <c r="CJ369" s="8431"/>
      <c r="CK369" s="8432"/>
      <c r="CL369" s="8433"/>
      <c r="CM369" s="8434"/>
      <c r="CN369" s="8435"/>
      <c r="CO369" s="8436"/>
      <c r="CP369" s="8437"/>
      <c r="CQ369" s="3825"/>
      <c r="CR369" s="3581"/>
      <c r="CS369" s="3728"/>
      <c r="CT369" s="3728" t="str">
        <f>IF(T369="","",T369)</f>
        <v>Добавить вид теплоносителя (параметры теплоносителя)</v>
      </c>
      <c r="CU369" s="3728"/>
      <c r="CV369" s="3728"/>
    </row>
    <row s="8438" customFormat="1" customHeight="1" ht="15">
      <c r="A370" s="3716"/>
      <c r="B370" s="3716"/>
      <c r="C370" s="3716"/>
      <c r="D370" s="3716"/>
      <c r="E370" s="3717"/>
      <c r="F370" s="3717">
        <v>1</v>
      </c>
      <c r="G370" s="3717"/>
      <c r="H370" s="3717"/>
      <c r="I370" s="3730"/>
      <c r="J370" s="3716"/>
      <c r="K370" s="3716"/>
      <c r="L370" s="3719"/>
      <c r="M370" s="3573"/>
      <c r="N370" s="3731"/>
      <c r="O370" s="3731"/>
      <c r="P370" s="3732"/>
      <c r="Q370" s="3732"/>
      <c r="R370" s="3733"/>
      <c r="S370" s="8439"/>
      <c r="T370" s="8440" t="s">
        <v>627</v>
      </c>
      <c r="U370" s="8441"/>
      <c r="V370" s="8442"/>
      <c r="W370" s="8443"/>
      <c r="X370" s="8444"/>
      <c r="Y370" s="8445"/>
      <c r="Z370" s="8446"/>
      <c r="AA370" s="8447"/>
      <c r="AB370" s="8448"/>
      <c r="AC370" s="8449"/>
      <c r="AD370" s="8450"/>
      <c r="AE370" s="8451"/>
      <c r="AF370" s="8452"/>
      <c r="AG370" s="8453"/>
      <c r="AH370" s="8454"/>
      <c r="AI370" s="8455"/>
      <c r="AJ370" s="8456"/>
      <c r="AK370" s="8457"/>
      <c r="AL370" s="8458"/>
      <c r="AM370" s="8459"/>
      <c r="AN370" s="8460"/>
      <c r="AO370" s="8461"/>
      <c r="AP370" s="8462"/>
      <c r="AQ370" s="8463"/>
      <c r="AR370" s="8464"/>
      <c r="AS370" s="8465"/>
      <c r="AT370" s="8466"/>
      <c r="AU370" s="8467"/>
      <c r="AV370" s="8468"/>
      <c r="AW370" s="8469"/>
      <c r="AX370" s="8470"/>
      <c r="AY370" s="8471"/>
      <c r="AZ370" s="8472"/>
      <c r="BA370" s="8473"/>
      <c r="BB370" s="8474"/>
      <c r="BC370" s="8475"/>
      <c r="BD370" s="8476"/>
      <c r="BE370" s="8477"/>
      <c r="BF370" s="8478"/>
      <c r="BG370" s="8479"/>
      <c r="BH370" s="8480"/>
      <c r="BI370" s="8481"/>
      <c r="BJ370" s="8482"/>
      <c r="BK370" s="8483"/>
      <c r="BL370" s="8484"/>
      <c r="BM370" s="8485"/>
      <c r="BN370" s="8486"/>
      <c r="BO370" s="8487"/>
      <c r="BP370" s="8488"/>
      <c r="BQ370" s="8489"/>
      <c r="BR370" s="8490"/>
      <c r="BS370" s="8491"/>
      <c r="BT370" s="8492"/>
      <c r="BU370" s="8493"/>
      <c r="BV370" s="8494"/>
      <c r="BW370" s="8495"/>
      <c r="BX370" s="8496"/>
      <c r="BY370" s="8497"/>
      <c r="BZ370" s="8498"/>
      <c r="CA370" s="8499"/>
      <c r="CB370" s="8500"/>
      <c r="CC370" s="8501"/>
      <c r="CD370" s="8502"/>
      <c r="CE370" s="8503"/>
      <c r="CF370" s="8504"/>
      <c r="CG370" s="8505"/>
      <c r="CH370" s="8506"/>
      <c r="CI370" s="8507"/>
      <c r="CJ370" s="8508"/>
      <c r="CK370" s="8509"/>
      <c r="CL370" s="8510"/>
      <c r="CM370" s="8511"/>
      <c r="CN370" s="8512"/>
      <c r="CO370" s="8513"/>
      <c r="CP370" s="8514"/>
      <c r="CQ370" s="8515"/>
      <c r="CR370" s="3581"/>
      <c r="CS370" s="3728"/>
      <c r="CT370" s="3728" t="str">
        <f>IF(T370="","",T370)</f>
        <v>Добавить группу потребителей</v>
      </c>
      <c r="CU370" s="3728"/>
      <c r="CV370" s="3728"/>
    </row>
    <row s="8516" customFormat="1" customHeight="1" ht="14.25">
      <c r="A371" s="3716"/>
      <c r="B371" s="3716"/>
      <c r="C371" s="3716"/>
      <c r="D371" s="3716"/>
      <c r="E371" s="3717"/>
      <c r="F371" s="3717">
        <v>1</v>
      </c>
      <c r="G371" s="3717"/>
      <c r="H371" s="3718"/>
      <c r="I371" s="3716"/>
      <c r="J371" s="3716"/>
      <c r="K371" s="3716"/>
      <c r="L371" s="3719"/>
      <c r="M371" s="3720"/>
      <c r="N371" s="3720"/>
      <c r="O371" s="3573"/>
      <c r="P371" s="3905"/>
      <c r="Q371" s="3906"/>
      <c r="R371" s="3907"/>
      <c r="S371" s="3908"/>
      <c r="T371" s="3909"/>
      <c r="U371" s="3569"/>
      <c r="V371" s="3569"/>
      <c r="W371" s="3569"/>
      <c r="X371" s="3569"/>
      <c r="Y371" s="3569"/>
      <c r="Z371" s="3569"/>
      <c r="AA371" s="3569"/>
      <c r="AB371" s="3569"/>
      <c r="AC371" s="3569"/>
      <c r="AD371" s="3569"/>
      <c r="AE371" s="3569"/>
      <c r="AF371" s="3569"/>
      <c r="AG371" s="3569"/>
      <c r="AH371" s="3569"/>
      <c r="AI371" s="3569"/>
      <c r="AJ371" s="3569"/>
      <c r="AK371" s="3569"/>
      <c r="AL371" s="3569"/>
      <c r="AM371" s="3569"/>
      <c r="AN371" s="3569"/>
      <c r="AO371" s="3569"/>
      <c r="AP371" s="3569"/>
      <c r="AQ371" s="3569"/>
      <c r="AR371" s="3569"/>
      <c r="AS371" s="3569"/>
      <c r="AT371" s="3569"/>
      <c r="AU371" s="3569"/>
      <c r="AV371" s="3569"/>
      <c r="AW371" s="3569"/>
      <c r="AX371" s="3569"/>
      <c r="AY371" s="3569"/>
      <c r="AZ371" s="3569"/>
      <c r="BA371" s="3569"/>
      <c r="BB371" s="3569"/>
      <c r="BC371" s="3569"/>
      <c r="BD371" s="3569"/>
      <c r="BE371" s="3569"/>
      <c r="BF371" s="3569"/>
      <c r="BG371" s="3569"/>
      <c r="BH371" s="3569"/>
      <c r="BI371" s="3569"/>
      <c r="BJ371" s="3569"/>
      <c r="BK371" s="3569"/>
      <c r="BL371" s="3569"/>
      <c r="BM371" s="3569"/>
      <c r="BN371" s="3569"/>
      <c r="BO371" s="3569"/>
      <c r="BP371" s="3569"/>
      <c r="BQ371" s="3569"/>
      <c r="BR371" s="3569"/>
      <c r="BS371" s="3569"/>
      <c r="BT371" s="3569"/>
      <c r="BU371" s="3569"/>
      <c r="BV371" s="3569"/>
      <c r="BW371" s="3569"/>
      <c r="BX371" s="3569"/>
      <c r="BY371" s="3569"/>
      <c r="BZ371" s="3569"/>
      <c r="CA371" s="3569"/>
      <c r="CB371" s="3569"/>
      <c r="CC371" s="3569"/>
      <c r="CD371" s="3569"/>
      <c r="CE371" s="3569"/>
      <c r="CF371" s="3569"/>
      <c r="CG371" s="3569"/>
      <c r="CH371" s="3569"/>
      <c r="CI371" s="3569"/>
      <c r="CJ371" s="3569"/>
      <c r="CK371" s="3569"/>
      <c r="CL371" s="3569"/>
      <c r="CM371" s="3569"/>
      <c r="CN371" s="3569"/>
      <c r="CO371" s="3569"/>
      <c r="CP371" s="3569"/>
      <c r="CQ371" s="3910"/>
      <c r="CR371" s="3581"/>
      <c r="CS371" s="3728"/>
      <c r="CT371" s="3728" t="str">
        <f>IF(T371="","",T371)</f>
        <v/>
      </c>
      <c r="CU371" s="3728"/>
      <c r="CV371" s="3728"/>
    </row>
    <row s="8517" customFormat="1" customHeight="1" ht="0.75">
      <c r="A372" s="4239"/>
      <c r="B372" s="4239"/>
      <c r="C372" s="4239"/>
      <c r="D372" s="4239"/>
      <c r="E372" s="3717"/>
      <c r="F372" s="3717">
        <v>1</v>
      </c>
      <c r="G372" s="3718"/>
      <c r="H372" s="4239"/>
      <c r="I372" s="4239"/>
      <c r="J372" s="4239"/>
      <c r="K372" s="4239"/>
      <c r="L372" s="4240"/>
      <c r="M372" s="4241"/>
      <c r="N372" s="4241"/>
      <c r="O372" s="3581"/>
      <c r="P372" s="4242"/>
      <c r="Q372" s="4243"/>
      <c r="R372" s="4242"/>
      <c r="S372" s="4244"/>
      <c r="T372" s="4245" t="s">
        <v>254</v>
      </c>
      <c r="U372" s="3571"/>
      <c r="V372" s="3571"/>
      <c r="W372" s="3571"/>
      <c r="X372" s="3571"/>
      <c r="Y372" s="3571"/>
      <c r="Z372" s="3571"/>
      <c r="AA372" s="3571"/>
      <c r="AB372" s="3571"/>
      <c r="AC372" s="3571"/>
      <c r="AD372" s="3571"/>
      <c r="AE372" s="3571"/>
      <c r="AF372" s="3571"/>
      <c r="AG372" s="3571"/>
      <c r="AH372" s="3571"/>
      <c r="AI372" s="3571"/>
      <c r="AJ372" s="3571"/>
      <c r="AK372" s="3571"/>
      <c r="AL372" s="3571"/>
      <c r="AM372" s="3571"/>
      <c r="AN372" s="3571"/>
      <c r="AO372" s="3571"/>
      <c r="AP372" s="3571"/>
      <c r="AQ372" s="3571"/>
      <c r="AR372" s="3571"/>
      <c r="AS372" s="3571"/>
      <c r="AT372" s="3571"/>
      <c r="AU372" s="3571"/>
      <c r="AV372" s="3571"/>
      <c r="AW372" s="3571"/>
      <c r="AX372" s="3571"/>
      <c r="AY372" s="3571"/>
      <c r="AZ372" s="3571"/>
      <c r="BA372" s="3571"/>
      <c r="BB372" s="3571"/>
      <c r="BC372" s="3571"/>
      <c r="BD372" s="3571"/>
      <c r="BE372" s="3571"/>
      <c r="BF372" s="3571"/>
      <c r="BG372" s="3571"/>
      <c r="BH372" s="3571"/>
      <c r="BI372" s="3571"/>
      <c r="BJ372" s="3571"/>
      <c r="BK372" s="3571"/>
      <c r="BL372" s="3571"/>
      <c r="BM372" s="3571"/>
      <c r="BN372" s="3571"/>
      <c r="BO372" s="3571"/>
      <c r="BP372" s="3571"/>
      <c r="BQ372" s="3571"/>
      <c r="BR372" s="3571"/>
      <c r="BS372" s="3571"/>
      <c r="BT372" s="3571"/>
      <c r="BU372" s="3571"/>
      <c r="BV372" s="3571"/>
      <c r="BW372" s="3571"/>
      <c r="BX372" s="3571"/>
      <c r="BY372" s="3571"/>
      <c r="BZ372" s="3571"/>
      <c r="CA372" s="3571"/>
      <c r="CB372" s="3571"/>
      <c r="CC372" s="3571"/>
      <c r="CD372" s="3571"/>
      <c r="CE372" s="3571"/>
      <c r="CF372" s="3571"/>
      <c r="CG372" s="3571"/>
      <c r="CH372" s="3571"/>
      <c r="CI372" s="3571"/>
      <c r="CJ372" s="3571"/>
      <c r="CK372" s="3571"/>
      <c r="CL372" s="3571"/>
      <c r="CM372" s="3571"/>
      <c r="CN372" s="3571"/>
      <c r="CO372" s="3571"/>
      <c r="CP372" s="3571"/>
      <c r="CQ372" s="3571"/>
      <c r="CR372" s="3581"/>
      <c r="CS372" s="3728"/>
      <c r="CT372" s="3728" t="str">
        <f>IF(T372="","",T372)</f>
        <v>Добавить источник для дифференциации</v>
      </c>
      <c r="CU372" s="3728"/>
      <c r="CV372" s="3728"/>
    </row>
    <row s="8518" customFormat="1" customHeight="1" ht="0.75">
      <c r="A373" s="4239"/>
      <c r="B373" s="4239"/>
      <c r="C373" s="4239"/>
      <c r="D373" s="4239"/>
      <c r="E373" s="3717"/>
      <c r="F373" s="3718">
        <v>1</v>
      </c>
      <c r="G373" s="4239"/>
      <c r="H373" s="4239"/>
      <c r="I373" s="4239"/>
      <c r="J373" s="4239"/>
      <c r="K373" s="4239"/>
      <c r="L373" s="4240"/>
      <c r="M373" s="4247"/>
      <c r="N373" s="4247"/>
      <c r="O373" s="3581"/>
      <c r="P373" s="4242"/>
      <c r="Q373" s="4243"/>
      <c r="R373" s="4242"/>
      <c r="S373" s="4248"/>
      <c r="T373" s="4249" t="s">
        <v>255</v>
      </c>
      <c r="U373" s="3572"/>
      <c r="V373" s="3572"/>
      <c r="W373" s="3572"/>
      <c r="X373" s="3572"/>
      <c r="Y373" s="3572"/>
      <c r="Z373" s="3572"/>
      <c r="AA373" s="3572"/>
      <c r="AB373" s="3572"/>
      <c r="AC373" s="3572"/>
      <c r="AD373" s="3572"/>
      <c r="AE373" s="3572"/>
      <c r="AF373" s="3572"/>
      <c r="AG373" s="3572"/>
      <c r="AH373" s="3572"/>
      <c r="AI373" s="3572"/>
      <c r="AJ373" s="3572"/>
      <c r="AK373" s="3572"/>
      <c r="AL373" s="3572"/>
      <c r="AM373" s="3572"/>
      <c r="AN373" s="3572"/>
      <c r="AO373" s="3572"/>
      <c r="AP373" s="3572"/>
      <c r="AQ373" s="3572"/>
      <c r="AR373" s="3572"/>
      <c r="AS373" s="3572"/>
      <c r="AT373" s="3572"/>
      <c r="AU373" s="3572"/>
      <c r="AV373" s="3572"/>
      <c r="AW373" s="3572"/>
      <c r="AX373" s="3572"/>
      <c r="AY373" s="3572"/>
      <c r="AZ373" s="3572"/>
      <c r="BA373" s="3572"/>
      <c r="BB373" s="3572"/>
      <c r="BC373" s="3572"/>
      <c r="BD373" s="3572"/>
      <c r="BE373" s="3572"/>
      <c r="BF373" s="3572"/>
      <c r="BG373" s="3572"/>
      <c r="BH373" s="3572"/>
      <c r="BI373" s="3572"/>
      <c r="BJ373" s="3572"/>
      <c r="BK373" s="3572"/>
      <c r="BL373" s="3572"/>
      <c r="BM373" s="3572"/>
      <c r="BN373" s="3572"/>
      <c r="BO373" s="3572"/>
      <c r="BP373" s="3572"/>
      <c r="BQ373" s="3572"/>
      <c r="BR373" s="3572"/>
      <c r="BS373" s="3572"/>
      <c r="BT373" s="3572"/>
      <c r="BU373" s="3572"/>
      <c r="BV373" s="3572"/>
      <c r="BW373" s="3572"/>
      <c r="BX373" s="3572"/>
      <c r="BY373" s="3572"/>
      <c r="BZ373" s="3572"/>
      <c r="CA373" s="3572"/>
      <c r="CB373" s="3572"/>
      <c r="CC373" s="3572"/>
      <c r="CD373" s="3572"/>
      <c r="CE373" s="3572"/>
      <c r="CF373" s="3572"/>
      <c r="CG373" s="3572"/>
      <c r="CH373" s="3572"/>
      <c r="CI373" s="3572"/>
      <c r="CJ373" s="3572"/>
      <c r="CK373" s="3572"/>
      <c r="CL373" s="3572"/>
      <c r="CM373" s="3572"/>
      <c r="CN373" s="3572"/>
      <c r="CO373" s="3572"/>
      <c r="CP373" s="3572"/>
      <c r="CQ373" s="3572"/>
      <c r="CR373" s="3581"/>
      <c r="CS373" s="3728"/>
      <c r="CT373" s="3728" t="str">
        <f>IF(T373="","",T373)</f>
        <v>Добавить централизованную систему для дифференциации</v>
      </c>
      <c r="CU373" s="3728"/>
      <c r="CV373" s="3728"/>
    </row>
    <row s="8519" customFormat="1" customHeight="1" ht="21">
      <c r="A374" s="3716"/>
      <c r="B374" s="3716" t="s">
        <v>340</v>
      </c>
      <c r="C374" s="3716"/>
      <c r="D374" s="3716"/>
      <c r="E374" s="3717"/>
      <c r="F374" s="3718" t="s">
        <v>91</v>
      </c>
      <c r="G374" s="3716"/>
      <c r="H374" s="3716"/>
      <c r="I374" s="3716"/>
      <c r="J374" s="3716"/>
      <c r="K374" s="3716"/>
      <c r="L374" s="3719"/>
      <c r="M374" s="3720"/>
      <c r="N374" s="3720"/>
      <c r="O374" s="3720"/>
      <c r="P374" s="4073"/>
      <c r="Q374" s="3722"/>
      <c r="R374" s="3723"/>
      <c r="S374" s="3724" t="str">
        <f>INDEX(PT_DIFFERENTIATION_NUM_TER,MATCH(B374,PT_DIFFERENTIATION_TER_ID,0))</f>
        <v>2.3</v>
      </c>
      <c r="T374" s="4074" t="s">
        <v>612</v>
      </c>
      <c r="U374" s="3726"/>
      <c r="V374" s="3432"/>
      <c r="W374" s="3433"/>
      <c r="X374" s="3433"/>
      <c r="Y374" s="3433"/>
      <c r="Z374" s="3433"/>
      <c r="AA374" s="3433"/>
      <c r="AB374" s="3433"/>
      <c r="AC374" s="3434"/>
      <c r="AD374" s="3432" t="str">
        <f>INDEX(PT_DIFFERENTIATION_TER,MATCH(B374,PT_DIFFERENTIATION_TER_ID,0))</f>
        <v>Территория 3</v>
      </c>
      <c r="AE374" s="3433"/>
      <c r="AF374" s="3433"/>
      <c r="AG374" s="3433"/>
      <c r="AH374" s="3433"/>
      <c r="AI374" s="3433"/>
      <c r="AJ374" s="3433"/>
      <c r="AK374" s="3433"/>
      <c r="AL374" s="3432"/>
      <c r="AM374" s="3433"/>
      <c r="AN374" s="3433"/>
      <c r="AO374" s="3433"/>
      <c r="AP374" s="3433"/>
      <c r="AQ374" s="3433"/>
      <c r="AR374" s="3433"/>
      <c r="AS374" s="3434"/>
      <c r="AT374" s="3432"/>
      <c r="AU374" s="3433"/>
      <c r="AV374" s="3433"/>
      <c r="AW374" s="3433"/>
      <c r="AX374" s="3433"/>
      <c r="AY374" s="3433"/>
      <c r="AZ374" s="3433"/>
      <c r="BA374" s="3434"/>
      <c r="BB374" s="3432"/>
      <c r="BC374" s="3433"/>
      <c r="BD374" s="3433"/>
      <c r="BE374" s="3433"/>
      <c r="BF374" s="3433"/>
      <c r="BG374" s="3433"/>
      <c r="BH374" s="3433"/>
      <c r="BI374" s="3434"/>
      <c r="BJ374" s="3432"/>
      <c r="BK374" s="3433"/>
      <c r="BL374" s="3433"/>
      <c r="BM374" s="3433"/>
      <c r="BN374" s="3433"/>
      <c r="BO374" s="3433"/>
      <c r="BP374" s="3433"/>
      <c r="BQ374" s="3434"/>
      <c r="BR374" s="3432"/>
      <c r="BS374" s="3433"/>
      <c r="BT374" s="3433"/>
      <c r="BU374" s="3433"/>
      <c r="BV374" s="3433"/>
      <c r="BW374" s="3433"/>
      <c r="BX374" s="3433"/>
      <c r="BY374" s="3434"/>
      <c r="BZ374" s="3432"/>
      <c r="CA374" s="3433"/>
      <c r="CB374" s="3433"/>
      <c r="CC374" s="3433"/>
      <c r="CD374" s="3433"/>
      <c r="CE374" s="3433"/>
      <c r="CF374" s="3433"/>
      <c r="CG374" s="3434"/>
      <c r="CH374" s="3432"/>
      <c r="CI374" s="3433"/>
      <c r="CJ374" s="3433"/>
      <c r="CK374" s="3433"/>
      <c r="CL374" s="3433"/>
      <c r="CM374" s="3433"/>
      <c r="CN374" s="3433"/>
      <c r="CO374" s="3434"/>
      <c r="CP374" s="3434"/>
      <c r="CQ374" s="3727" t="s">
        <v>613</v>
      </c>
      <c r="CR374" s="3581"/>
      <c r="CS374" s="3728"/>
      <c r="CT374" s="3728" t="str">
        <f>IF(T374="","",T374)</f>
        <v>Территория действия тарифа</v>
      </c>
      <c r="CU374" s="3728"/>
      <c r="CV374" s="3728"/>
    </row>
    <row s="8520" customFormat="1" customHeight="1" ht="23.25">
      <c r="A375" s="3716"/>
      <c r="B375" s="3716"/>
      <c r="C375" s="3716" t="s">
        <v>341</v>
      </c>
      <c r="D375" s="3716"/>
      <c r="E375" s="3717"/>
      <c r="F375" s="3717" t="s">
        <v>104</v>
      </c>
      <c r="G375" s="3718">
        <v>1</v>
      </c>
      <c r="H375" s="3716"/>
      <c r="I375" s="3716"/>
      <c r="J375" s="3716"/>
      <c r="K375" s="3716"/>
      <c r="L375" s="3719"/>
      <c r="M375" s="3720"/>
      <c r="N375" s="3720"/>
      <c r="O375" s="3720"/>
      <c r="P375" s="3721"/>
      <c r="Q375" s="3722"/>
      <c r="R375" s="3723"/>
      <c r="S375" s="3724" t="str">
        <f>INDEX(PT_DIFFERENTIATION_NUM_CS,MATCH(C375,PT_DIFFERENTIATION_CS_ID,0))</f>
        <v>2.3.1</v>
      </c>
      <c r="T375" s="4076" t="s">
        <v>614</v>
      </c>
      <c r="U375" s="3726"/>
      <c r="V375" s="3432"/>
      <c r="W375" s="3433"/>
      <c r="X375" s="3433"/>
      <c r="Y375" s="3433"/>
      <c r="Z375" s="3433"/>
      <c r="AA375" s="3433"/>
      <c r="AB375" s="3433"/>
      <c r="AC375" s="3434"/>
      <c r="AD375" s="3432" t="str">
        <f>INDEX(PT_DIFFERENTIATION_CS,MATCH(C375,PT_DIFFERENTIATION_CS_ID,0))</f>
        <v>без дифференциации</v>
      </c>
      <c r="AE375" s="3433"/>
      <c r="AF375" s="3433"/>
      <c r="AG375" s="3433"/>
      <c r="AH375" s="3433"/>
      <c r="AI375" s="3433"/>
      <c r="AJ375" s="3433"/>
      <c r="AK375" s="3433"/>
      <c r="AL375" s="3432"/>
      <c r="AM375" s="3433"/>
      <c r="AN375" s="3433"/>
      <c r="AO375" s="3433"/>
      <c r="AP375" s="3433"/>
      <c r="AQ375" s="3433"/>
      <c r="AR375" s="3433"/>
      <c r="AS375" s="3434"/>
      <c r="AT375" s="3432"/>
      <c r="AU375" s="3433"/>
      <c r="AV375" s="3433"/>
      <c r="AW375" s="3433"/>
      <c r="AX375" s="3433"/>
      <c r="AY375" s="3433"/>
      <c r="AZ375" s="3433"/>
      <c r="BA375" s="3434"/>
      <c r="BB375" s="3432"/>
      <c r="BC375" s="3433"/>
      <c r="BD375" s="3433"/>
      <c r="BE375" s="3433"/>
      <c r="BF375" s="3433"/>
      <c r="BG375" s="3433"/>
      <c r="BH375" s="3433"/>
      <c r="BI375" s="3434"/>
      <c r="BJ375" s="3432"/>
      <c r="BK375" s="3433"/>
      <c r="BL375" s="3433"/>
      <c r="BM375" s="3433"/>
      <c r="BN375" s="3433"/>
      <c r="BO375" s="3433"/>
      <c r="BP375" s="3433"/>
      <c r="BQ375" s="3434"/>
      <c r="BR375" s="3432"/>
      <c r="BS375" s="3433"/>
      <c r="BT375" s="3433"/>
      <c r="BU375" s="3433"/>
      <c r="BV375" s="3433"/>
      <c r="BW375" s="3433"/>
      <c r="BX375" s="3433"/>
      <c r="BY375" s="3434"/>
      <c r="BZ375" s="3432"/>
      <c r="CA375" s="3433"/>
      <c r="CB375" s="3433"/>
      <c r="CC375" s="3433"/>
      <c r="CD375" s="3433"/>
      <c r="CE375" s="3433"/>
      <c r="CF375" s="3433"/>
      <c r="CG375" s="3434"/>
      <c r="CH375" s="3432"/>
      <c r="CI375" s="3433"/>
      <c r="CJ375" s="3433"/>
      <c r="CK375" s="3433"/>
      <c r="CL375" s="3433"/>
      <c r="CM375" s="3433"/>
      <c r="CN375" s="3433"/>
      <c r="CO375" s="3434"/>
      <c r="CP375" s="3434"/>
      <c r="CQ375" s="3727" t="s">
        <v>615</v>
      </c>
      <c r="CR375" s="3581"/>
      <c r="CS375" s="3728"/>
      <c r="CT375" s="3728" t="str">
        <f>IF(T375="","",T375)</f>
        <v>Наименование системы теплоснабжения </v>
      </c>
      <c r="CU375" s="3728"/>
      <c r="CV375" s="3728"/>
    </row>
    <row s="8521" customFormat="1" customHeight="1" ht="21">
      <c r="A376" s="3716"/>
      <c r="B376" s="3716"/>
      <c r="C376" s="3716"/>
      <c r="D376" s="3716" t="s">
        <v>342</v>
      </c>
      <c r="E376" s="3717"/>
      <c r="F376" s="3717" t="s">
        <v>104</v>
      </c>
      <c r="G376" s="3717"/>
      <c r="H376" s="3718">
        <v>1</v>
      </c>
      <c r="I376" s="3716"/>
      <c r="J376" s="3716"/>
      <c r="K376" s="3716"/>
      <c r="L376" s="3719"/>
      <c r="M376" s="3720"/>
      <c r="N376" s="3720"/>
      <c r="O376" s="3720"/>
      <c r="P376" s="3721"/>
      <c r="Q376" s="3722"/>
      <c r="R376" s="3723"/>
      <c r="S376" s="3724" t="str">
        <f>INDEX(PT_DIFFERENTIATION_NUM_IST_TE,MATCH(D376,PT_DIFFERENTIATION_IST_TE_ID,0))</f>
        <v>2.3.1.1</v>
      </c>
      <c r="T376" s="3725" t="s">
        <v>616</v>
      </c>
      <c r="U376" s="3726"/>
      <c r="V376" s="3432"/>
      <c r="W376" s="3433"/>
      <c r="X376" s="3433"/>
      <c r="Y376" s="3433"/>
      <c r="Z376" s="3433"/>
      <c r="AA376" s="3433"/>
      <c r="AB376" s="3433"/>
      <c r="AC376" s="3434"/>
      <c r="AD376" s="3432" t="str">
        <f>INDEX(PT_DIFFERENTIATION_IST_TE,MATCH(D376,PT_DIFFERENTIATION_IST_TE_ID,0))</f>
        <v>без дифференциации</v>
      </c>
      <c r="AE376" s="3433"/>
      <c r="AF376" s="3433"/>
      <c r="AG376" s="3433"/>
      <c r="AH376" s="3433"/>
      <c r="AI376" s="3433"/>
      <c r="AJ376" s="3433"/>
      <c r="AK376" s="3433"/>
      <c r="AL376" s="3432"/>
      <c r="AM376" s="3433"/>
      <c r="AN376" s="3433"/>
      <c r="AO376" s="3433"/>
      <c r="AP376" s="3433"/>
      <c r="AQ376" s="3433"/>
      <c r="AR376" s="3433"/>
      <c r="AS376" s="3434"/>
      <c r="AT376" s="3432"/>
      <c r="AU376" s="3433"/>
      <c r="AV376" s="3433"/>
      <c r="AW376" s="3433"/>
      <c r="AX376" s="3433"/>
      <c r="AY376" s="3433"/>
      <c r="AZ376" s="3433"/>
      <c r="BA376" s="3434"/>
      <c r="BB376" s="3432"/>
      <c r="BC376" s="3433"/>
      <c r="BD376" s="3433"/>
      <c r="BE376" s="3433"/>
      <c r="BF376" s="3433"/>
      <c r="BG376" s="3433"/>
      <c r="BH376" s="3433"/>
      <c r="BI376" s="3434"/>
      <c r="BJ376" s="3432"/>
      <c r="BK376" s="3433"/>
      <c r="BL376" s="3433"/>
      <c r="BM376" s="3433"/>
      <c r="BN376" s="3433"/>
      <c r="BO376" s="3433"/>
      <c r="BP376" s="3433"/>
      <c r="BQ376" s="3434"/>
      <c r="BR376" s="3432"/>
      <c r="BS376" s="3433"/>
      <c r="BT376" s="3433"/>
      <c r="BU376" s="3433"/>
      <c r="BV376" s="3433"/>
      <c r="BW376" s="3433"/>
      <c r="BX376" s="3433"/>
      <c r="BY376" s="3434"/>
      <c r="BZ376" s="3432"/>
      <c r="CA376" s="3433"/>
      <c r="CB376" s="3433"/>
      <c r="CC376" s="3433"/>
      <c r="CD376" s="3433"/>
      <c r="CE376" s="3433"/>
      <c r="CF376" s="3433"/>
      <c r="CG376" s="3434"/>
      <c r="CH376" s="3432"/>
      <c r="CI376" s="3433"/>
      <c r="CJ376" s="3433"/>
      <c r="CK376" s="3433"/>
      <c r="CL376" s="3433"/>
      <c r="CM376" s="3433"/>
      <c r="CN376" s="3433"/>
      <c r="CO376" s="3434"/>
      <c r="CP376" s="3434"/>
      <c r="CQ376" s="3727" t="s">
        <v>617</v>
      </c>
      <c r="CR376" s="3581"/>
      <c r="CS376" s="3728"/>
      <c r="CT376" s="3728" t="str">
        <f>IF(T376="","",T376)</f>
        <v>Источник тепловой энергии  </v>
      </c>
      <c r="CU376" s="3728"/>
      <c r="CV376" s="3728"/>
    </row>
    <row s="8522" customFormat="1" customHeight="1" ht="14.25">
      <c r="A377" s="3716"/>
      <c r="B377" s="3716"/>
      <c r="C377" s="3716"/>
      <c r="D377" s="3716"/>
      <c r="E377" s="3717"/>
      <c r="F377" s="3717" t="s">
        <v>104</v>
      </c>
      <c r="G377" s="3717"/>
      <c r="H377" s="3717"/>
      <c r="I377" s="3730" t="str">
        <f>S376&amp;".1"</f>
        <v>2.3.1.1.1</v>
      </c>
      <c r="J377" s="3716"/>
      <c r="K377" s="3716"/>
      <c r="L377" s="3719" t="s">
        <v>618</v>
      </c>
      <c r="M377" s="3573"/>
      <c r="N377" s="3731"/>
      <c r="O377" s="3731"/>
      <c r="P377" s="3732">
        <v>1</v>
      </c>
      <c r="Q377" s="3732"/>
      <c r="R377" s="3733"/>
      <c r="S377" s="3734"/>
      <c r="T377" s="3735"/>
      <c r="U377" s="3736"/>
      <c r="V377" s="3441"/>
      <c r="W377" s="3442"/>
      <c r="X377" s="3442"/>
      <c r="Y377" s="3442"/>
      <c r="Z377" s="3442"/>
      <c r="AA377" s="3442"/>
      <c r="AB377" s="3442"/>
      <c r="AC377" s="3443"/>
      <c r="AD377" s="3441"/>
      <c r="AE377" s="3442"/>
      <c r="AF377" s="3442"/>
      <c r="AG377" s="3442"/>
      <c r="AH377" s="3442"/>
      <c r="AI377" s="3442"/>
      <c r="AJ377" s="3442"/>
      <c r="AK377" s="3442"/>
      <c r="AL377" s="3441"/>
      <c r="AM377" s="3442"/>
      <c r="AN377" s="3442"/>
      <c r="AO377" s="3442"/>
      <c r="AP377" s="3442"/>
      <c r="AQ377" s="3442"/>
      <c r="AR377" s="3442"/>
      <c r="AS377" s="3443"/>
      <c r="AT377" s="3441"/>
      <c r="AU377" s="3442"/>
      <c r="AV377" s="3442"/>
      <c r="AW377" s="3442"/>
      <c r="AX377" s="3442"/>
      <c r="AY377" s="3442"/>
      <c r="AZ377" s="3442"/>
      <c r="BA377" s="3443"/>
      <c r="BB377" s="3441"/>
      <c r="BC377" s="3442"/>
      <c r="BD377" s="3442"/>
      <c r="BE377" s="3442"/>
      <c r="BF377" s="3442"/>
      <c r="BG377" s="3442"/>
      <c r="BH377" s="3442"/>
      <c r="BI377" s="3443"/>
      <c r="BJ377" s="3441"/>
      <c r="BK377" s="3442"/>
      <c r="BL377" s="3442"/>
      <c r="BM377" s="3442"/>
      <c r="BN377" s="3442"/>
      <c r="BO377" s="3442"/>
      <c r="BP377" s="3442"/>
      <c r="BQ377" s="3443"/>
      <c r="BR377" s="3441"/>
      <c r="BS377" s="3442"/>
      <c r="BT377" s="3442"/>
      <c r="BU377" s="3442"/>
      <c r="BV377" s="3442"/>
      <c r="BW377" s="3442"/>
      <c r="BX377" s="3442"/>
      <c r="BY377" s="3443"/>
      <c r="BZ377" s="3441"/>
      <c r="CA377" s="3442"/>
      <c r="CB377" s="3442"/>
      <c r="CC377" s="3442"/>
      <c r="CD377" s="3442"/>
      <c r="CE377" s="3442"/>
      <c r="CF377" s="3442"/>
      <c r="CG377" s="3443"/>
      <c r="CH377" s="3441"/>
      <c r="CI377" s="3442"/>
      <c r="CJ377" s="3442"/>
      <c r="CK377" s="3442"/>
      <c r="CL377" s="3442"/>
      <c r="CM377" s="3442"/>
      <c r="CN377" s="3442"/>
      <c r="CO377" s="3443"/>
      <c r="CP377" s="3443"/>
      <c r="CQ377" s="3737"/>
      <c r="CR377" s="3581"/>
      <c r="CS377" s="3728"/>
      <c r="CT377" s="3728" t="str">
        <f>IF(T377="","",T377)</f>
        <v/>
      </c>
      <c r="CU377" s="3728"/>
      <c r="CV377" s="3728"/>
    </row>
    <row s="8523" customFormat="1" customHeight="1" ht="21">
      <c r="A378" s="3716"/>
      <c r="B378" s="3716"/>
      <c r="C378" s="3716"/>
      <c r="D378" s="3716"/>
      <c r="E378" s="3717"/>
      <c r="F378" s="3717" t="s">
        <v>104</v>
      </c>
      <c r="G378" s="3717"/>
      <c r="H378" s="3717"/>
      <c r="I378" s="3739"/>
      <c r="J378" s="3730" t="str">
        <f>I377&amp;".1"</f>
        <v>2.3.1.1.1.1</v>
      </c>
      <c r="K378" s="3716"/>
      <c r="L378" s="3719" t="s">
        <v>621</v>
      </c>
      <c r="M378" s="3573"/>
      <c r="N378" s="3573"/>
      <c r="O378" s="3731"/>
      <c r="P378" s="3732"/>
      <c r="Q378" s="3732">
        <v>1</v>
      </c>
      <c r="R378" s="3740"/>
      <c r="S378" s="3724" t="str">
        <f>$J378</f>
        <v>2.3.1.1.1.1</v>
      </c>
      <c r="T378" s="3741" t="s">
        <v>622</v>
      </c>
      <c r="U378" s="3726"/>
      <c r="V378" s="3445"/>
      <c r="W378" s="3446"/>
      <c r="X378" s="3446"/>
      <c r="Y378" s="3446"/>
      <c r="Z378" s="3446"/>
      <c r="AA378" s="3446"/>
      <c r="AB378" s="3446"/>
      <c r="AC378" s="3447"/>
      <c r="AD378" s="3445" t="s">
        <v>665</v>
      </c>
      <c r="AE378" s="3446"/>
      <c r="AF378" s="3446"/>
      <c r="AG378" s="3446"/>
      <c r="AH378" s="3446"/>
      <c r="AI378" s="3446"/>
      <c r="AJ378" s="3446"/>
      <c r="AK378" s="3446"/>
      <c r="AL378" s="3445"/>
      <c r="AM378" s="3446"/>
      <c r="AN378" s="3446"/>
      <c r="AO378" s="3446"/>
      <c r="AP378" s="3446"/>
      <c r="AQ378" s="3446"/>
      <c r="AR378" s="3446"/>
      <c r="AS378" s="3447"/>
      <c r="AT378" s="3445"/>
      <c r="AU378" s="3446"/>
      <c r="AV378" s="3446"/>
      <c r="AW378" s="3446"/>
      <c r="AX378" s="3446"/>
      <c r="AY378" s="3446"/>
      <c r="AZ378" s="3446"/>
      <c r="BA378" s="3447"/>
      <c r="BB378" s="3445"/>
      <c r="BC378" s="3446"/>
      <c r="BD378" s="3446"/>
      <c r="BE378" s="3446"/>
      <c r="BF378" s="3446"/>
      <c r="BG378" s="3446"/>
      <c r="BH378" s="3446"/>
      <c r="BI378" s="3447"/>
      <c r="BJ378" s="3445"/>
      <c r="BK378" s="3446"/>
      <c r="BL378" s="3446"/>
      <c r="BM378" s="3446"/>
      <c r="BN378" s="3446"/>
      <c r="BO378" s="3446"/>
      <c r="BP378" s="3446"/>
      <c r="BQ378" s="3447"/>
      <c r="BR378" s="3445"/>
      <c r="BS378" s="3446"/>
      <c r="BT378" s="3446"/>
      <c r="BU378" s="3446"/>
      <c r="BV378" s="3446"/>
      <c r="BW378" s="3446"/>
      <c r="BX378" s="3446"/>
      <c r="BY378" s="3447"/>
      <c r="BZ378" s="3445"/>
      <c r="CA378" s="3446"/>
      <c r="CB378" s="3446"/>
      <c r="CC378" s="3446"/>
      <c r="CD378" s="3446"/>
      <c r="CE378" s="3446"/>
      <c r="CF378" s="3446"/>
      <c r="CG378" s="3447"/>
      <c r="CH378" s="3445"/>
      <c r="CI378" s="3446"/>
      <c r="CJ378" s="3446"/>
      <c r="CK378" s="3446"/>
      <c r="CL378" s="3446"/>
      <c r="CM378" s="3446"/>
      <c r="CN378" s="3446"/>
      <c r="CO378" s="3447"/>
      <c r="CP378" s="3447"/>
      <c r="CQ378" s="3727" t="s">
        <v>623</v>
      </c>
      <c r="CR378" s="3581"/>
      <c r="CS378" s="3728"/>
      <c r="CT378" s="3728" t="str">
        <f>IF(T378="","",T378)</f>
        <v>Группа потребителей</v>
      </c>
      <c r="CU378" s="3728"/>
      <c r="CV378" s="3728"/>
    </row>
    <row s="8524" customFormat="1" customHeight="1" ht="21">
      <c r="A379" s="3716"/>
      <c r="B379" s="3716"/>
      <c r="C379" s="3716"/>
      <c r="D379" s="3716"/>
      <c r="E379" s="3717"/>
      <c r="F379" s="3717" t="s">
        <v>104</v>
      </c>
      <c r="G379" s="3717"/>
      <c r="H379" s="3717"/>
      <c r="I379" s="3739"/>
      <c r="J379" s="3739"/>
      <c r="K379" s="3730" t="str">
        <f>J378&amp;".1"</f>
        <v>2.3.1.1.1.1.1</v>
      </c>
      <c r="L379" s="3719" t="s">
        <v>624</v>
      </c>
      <c r="M379" s="3573"/>
      <c r="N379" s="3573"/>
      <c r="O379" s="3573"/>
      <c r="P379" s="3732"/>
      <c r="Q379" s="3732"/>
      <c r="R379" s="3740">
        <v>1</v>
      </c>
      <c r="S379" s="3724" t="str">
        <f>$K379</f>
        <v>2.3.1.1.1.1.1</v>
      </c>
      <c r="T379" s="3743" t="s">
        <v>663</v>
      </c>
      <c r="U379" s="3726"/>
      <c r="V379" s="3448"/>
      <c r="W379" s="3449"/>
      <c r="X379" s="3448"/>
      <c r="Y379" s="3450"/>
      <c r="Z379" s="3451"/>
      <c r="AA379" s="2872" t="s">
        <v>63</v>
      </c>
      <c r="AB379" s="3451"/>
      <c r="AC379" s="2872" t="s">
        <v>63</v>
      </c>
      <c r="AD379" s="3448">
        <v>32.92</v>
      </c>
      <c r="AE379" s="3449"/>
      <c r="AF379" s="3448"/>
      <c r="AG379" s="3450"/>
      <c r="AH379" s="3451">
        <v>44197</v>
      </c>
      <c r="AI379" s="2872" t="s">
        <v>63</v>
      </c>
      <c r="AJ379" s="3451">
        <v>44377</v>
      </c>
      <c r="AK379" s="2872" t="s">
        <v>63</v>
      </c>
      <c r="AL379" s="3448">
        <v>36.2</v>
      </c>
      <c r="AM379" s="3449"/>
      <c r="AN379" s="3448"/>
      <c r="AO379" s="3450"/>
      <c r="AP379" s="3451">
        <v>44378</v>
      </c>
      <c r="AQ379" s="2872" t="s">
        <v>63</v>
      </c>
      <c r="AR379" s="3451">
        <v>44561</v>
      </c>
      <c r="AS379" s="2872" t="s">
        <v>63</v>
      </c>
      <c r="AT379" s="3448">
        <v>36.2</v>
      </c>
      <c r="AU379" s="3449"/>
      <c r="AV379" s="3448"/>
      <c r="AW379" s="3450"/>
      <c r="AX379" s="3451">
        <v>44562</v>
      </c>
      <c r="AY379" s="2872" t="s">
        <v>63</v>
      </c>
      <c r="AZ379" s="3451">
        <v>44601</v>
      </c>
      <c r="BA379" s="2872" t="s">
        <v>63</v>
      </c>
      <c r="BB379" s="3448">
        <v>36.2</v>
      </c>
      <c r="BC379" s="3449"/>
      <c r="BD379" s="3448"/>
      <c r="BE379" s="3450"/>
      <c r="BF379" s="3451">
        <v>44602</v>
      </c>
      <c r="BG379" s="2872" t="s">
        <v>63</v>
      </c>
      <c r="BH379" s="3451">
        <v>44742</v>
      </c>
      <c r="BI379" s="2872" t="s">
        <v>63</v>
      </c>
      <c r="BJ379" s="3448">
        <v>39.1</v>
      </c>
      <c r="BK379" s="3449"/>
      <c r="BL379" s="3448"/>
      <c r="BM379" s="3450"/>
      <c r="BN379" s="3451">
        <v>44743</v>
      </c>
      <c r="BO379" s="2872" t="s">
        <v>63</v>
      </c>
      <c r="BP379" s="3451">
        <v>44804</v>
      </c>
      <c r="BQ379" s="2872" t="s">
        <v>63</v>
      </c>
      <c r="BR379" s="3448">
        <v>39.1</v>
      </c>
      <c r="BS379" s="3449"/>
      <c r="BT379" s="3448"/>
      <c r="BU379" s="3450"/>
      <c r="BV379" s="3451">
        <v>44805</v>
      </c>
      <c r="BW379" s="2872" t="s">
        <v>63</v>
      </c>
      <c r="BX379" s="3451">
        <v>44895</v>
      </c>
      <c r="BY379" s="2872" t="s">
        <v>63</v>
      </c>
      <c r="BZ379" s="3448">
        <v>41.45</v>
      </c>
      <c r="CA379" s="3449"/>
      <c r="CB379" s="3448"/>
      <c r="CC379" s="3450"/>
      <c r="CD379" s="3451">
        <v>44896</v>
      </c>
      <c r="CE379" s="2872" t="s">
        <v>63</v>
      </c>
      <c r="CF379" s="3451">
        <v>45174</v>
      </c>
      <c r="CG379" s="2872" t="s">
        <v>63</v>
      </c>
      <c r="CH379" s="3448">
        <v>41.45</v>
      </c>
      <c r="CI379" s="3449"/>
      <c r="CJ379" s="3448"/>
      <c r="CK379" s="3450"/>
      <c r="CL379" s="3451">
        <v>45175</v>
      </c>
      <c r="CM379" s="2872" t="s">
        <v>63</v>
      </c>
      <c r="CN379" s="3451">
        <v>45291</v>
      </c>
      <c r="CO379" s="2872" t="s">
        <v>63</v>
      </c>
      <c r="CP379" s="3449"/>
      <c r="CQ379" s="3744" t="s">
        <v>625</v>
      </c>
      <c r="CR379" s="3581">
        <f>STRCHECKDATE(V380:CP380)</f>
      </c>
      <c r="CS379" s="3728"/>
      <c r="CT379" s="3728" t="str">
        <f>IF(T379="","",T379)</f>
        <v>вода</v>
      </c>
      <c r="CU379" s="3728"/>
      <c r="CV379" s="3728"/>
    </row>
    <row s="8525" customFormat="1" customHeight="1" ht="0.75">
      <c r="A380" s="3716"/>
      <c r="B380" s="3716"/>
      <c r="C380" s="3716"/>
      <c r="D380" s="3716"/>
      <c r="E380" s="3717"/>
      <c r="F380" s="3717" t="s">
        <v>104</v>
      </c>
      <c r="G380" s="3717"/>
      <c r="H380" s="3717"/>
      <c r="I380" s="3739"/>
      <c r="J380" s="3739"/>
      <c r="K380" s="3730"/>
      <c r="L380" s="3719"/>
      <c r="M380" s="3573"/>
      <c r="N380" s="3573"/>
      <c r="O380" s="3573"/>
      <c r="P380" s="3732"/>
      <c r="Q380" s="3732"/>
      <c r="R380" s="3740"/>
      <c r="S380" s="3746"/>
      <c r="T380" s="3726"/>
      <c r="U380" s="3726"/>
      <c r="V380" s="3449"/>
      <c r="W380" s="3449"/>
      <c r="X380" s="3449"/>
      <c r="Y380" s="3452" t="str">
        <f>Z379&amp;"-"&amp;AB379</f>
        <v>-</v>
      </c>
      <c r="Z380" s="3453"/>
      <c r="AA380" s="2872"/>
      <c r="AB380" s="3453"/>
      <c r="AC380" s="2872"/>
      <c r="AD380" s="3449"/>
      <c r="AE380" s="3449"/>
      <c r="AF380" s="3449"/>
      <c r="AG380" s="3452" t="str">
        <f>AH379&amp;"-"&amp;AJ379</f>
        <v>44197-44377</v>
      </c>
      <c r="AH380" s="3453"/>
      <c r="AI380" s="2872"/>
      <c r="AJ380" s="3453"/>
      <c r="AK380" s="2872"/>
      <c r="AL380" s="3449"/>
      <c r="AM380" s="3449"/>
      <c r="AN380" s="3449"/>
      <c r="AO380" s="3452" t="str">
        <f>AP379&amp;"-"&amp;AR379</f>
        <v>44378-44561</v>
      </c>
      <c r="AP380" s="3453"/>
      <c r="AQ380" s="2872"/>
      <c r="AR380" s="3453"/>
      <c r="AS380" s="2872"/>
      <c r="AT380" s="3449"/>
      <c r="AU380" s="3449"/>
      <c r="AV380" s="3449"/>
      <c r="AW380" s="3452" t="str">
        <f>AX379&amp;"-"&amp;AZ379</f>
        <v>44562-44601</v>
      </c>
      <c r="AX380" s="3453"/>
      <c r="AY380" s="2872"/>
      <c r="AZ380" s="3453"/>
      <c r="BA380" s="2872"/>
      <c r="BB380" s="3449"/>
      <c r="BC380" s="3449"/>
      <c r="BD380" s="3449"/>
      <c r="BE380" s="3452" t="str">
        <f>BF379&amp;"-"&amp;BH379</f>
        <v>44602-44742</v>
      </c>
      <c r="BF380" s="3453"/>
      <c r="BG380" s="2872"/>
      <c r="BH380" s="3453"/>
      <c r="BI380" s="2872"/>
      <c r="BJ380" s="3449"/>
      <c r="BK380" s="3449"/>
      <c r="BL380" s="3449"/>
      <c r="BM380" s="3452" t="str">
        <f>BN379&amp;"-"&amp;BP379</f>
        <v>44743-44804</v>
      </c>
      <c r="BN380" s="3453"/>
      <c r="BO380" s="2872"/>
      <c r="BP380" s="3453"/>
      <c r="BQ380" s="2872"/>
      <c r="BR380" s="3449"/>
      <c r="BS380" s="3449"/>
      <c r="BT380" s="3449"/>
      <c r="BU380" s="3452" t="str">
        <f>BV379&amp;"-"&amp;BX379</f>
        <v>44805-44895</v>
      </c>
      <c r="BV380" s="3453"/>
      <c r="BW380" s="2872"/>
      <c r="BX380" s="3453"/>
      <c r="BY380" s="2872"/>
      <c r="BZ380" s="3449"/>
      <c r="CA380" s="3449"/>
      <c r="CB380" s="3449"/>
      <c r="CC380" s="3452" t="str">
        <f>CD379&amp;"-"&amp;CF379</f>
        <v>44896-45174</v>
      </c>
      <c r="CD380" s="3453"/>
      <c r="CE380" s="2872"/>
      <c r="CF380" s="3453"/>
      <c r="CG380" s="2872"/>
      <c r="CH380" s="3449"/>
      <c r="CI380" s="3449"/>
      <c r="CJ380" s="3449"/>
      <c r="CK380" s="3452" t="str">
        <f>CL379&amp;"-"&amp;CN379</f>
        <v>45175-45291</v>
      </c>
      <c r="CL380" s="3453"/>
      <c r="CM380" s="2872"/>
      <c r="CN380" s="3453"/>
      <c r="CO380" s="2872"/>
      <c r="CP380" s="3449"/>
      <c r="CQ380" s="3747"/>
      <c r="CR380" s="3581"/>
      <c r="CS380" s="3728"/>
      <c r="CT380" s="3728" t="str">
        <f>IF(T380="","",T380)</f>
        <v/>
      </c>
      <c r="CU380" s="3728"/>
      <c r="CV380" s="3728"/>
    </row>
    <row s="8526" customFormat="1" customHeight="1" ht="15">
      <c r="A381" s="3716"/>
      <c r="B381" s="3716"/>
      <c r="C381" s="3716"/>
      <c r="D381" s="3716"/>
      <c r="E381" s="3717"/>
      <c r="F381" s="3717" t="s">
        <v>104</v>
      </c>
      <c r="G381" s="3717"/>
      <c r="H381" s="3717"/>
      <c r="I381" s="3739"/>
      <c r="J381" s="3730"/>
      <c r="K381" s="3716"/>
      <c r="L381" s="3719"/>
      <c r="M381" s="3573"/>
      <c r="N381" s="3573"/>
      <c r="O381" s="3731"/>
      <c r="P381" s="3732"/>
      <c r="Q381" s="3732"/>
      <c r="R381" s="3733"/>
      <c r="S381" s="8527"/>
      <c r="T381" s="8528" t="s">
        <v>626</v>
      </c>
      <c r="U381" s="8529"/>
      <c r="V381" s="8530"/>
      <c r="W381" s="8531"/>
      <c r="X381" s="8532"/>
      <c r="Y381" s="8533"/>
      <c r="Z381" s="8534"/>
      <c r="AA381" s="8535"/>
      <c r="AB381" s="8536"/>
      <c r="AC381" s="8537"/>
      <c r="AD381" s="8538"/>
      <c r="AE381" s="8539"/>
      <c r="AF381" s="8540"/>
      <c r="AG381" s="8541"/>
      <c r="AH381" s="8542"/>
      <c r="AI381" s="8543"/>
      <c r="AJ381" s="8544"/>
      <c r="AK381" s="8545"/>
      <c r="AL381" s="8546"/>
      <c r="AM381" s="8547"/>
      <c r="AN381" s="8548"/>
      <c r="AO381" s="8549"/>
      <c r="AP381" s="8550"/>
      <c r="AQ381" s="8551"/>
      <c r="AR381" s="8552"/>
      <c r="AS381" s="8553"/>
      <c r="AT381" s="8554"/>
      <c r="AU381" s="8555"/>
      <c r="AV381" s="8556"/>
      <c r="AW381" s="8557"/>
      <c r="AX381" s="8558"/>
      <c r="AY381" s="8559"/>
      <c r="AZ381" s="8560"/>
      <c r="BA381" s="8561"/>
      <c r="BB381" s="8562"/>
      <c r="BC381" s="8563"/>
      <c r="BD381" s="8564"/>
      <c r="BE381" s="8565"/>
      <c r="BF381" s="8566"/>
      <c r="BG381" s="8567"/>
      <c r="BH381" s="8568"/>
      <c r="BI381" s="8569"/>
      <c r="BJ381" s="8570"/>
      <c r="BK381" s="8571"/>
      <c r="BL381" s="8572"/>
      <c r="BM381" s="8573"/>
      <c r="BN381" s="8574"/>
      <c r="BO381" s="8575"/>
      <c r="BP381" s="8576"/>
      <c r="BQ381" s="8577"/>
      <c r="BR381" s="8578"/>
      <c r="BS381" s="8579"/>
      <c r="BT381" s="8580"/>
      <c r="BU381" s="8581"/>
      <c r="BV381" s="8582"/>
      <c r="BW381" s="8583"/>
      <c r="BX381" s="8584"/>
      <c r="BY381" s="8585"/>
      <c r="BZ381" s="8586"/>
      <c r="CA381" s="8587"/>
      <c r="CB381" s="8588"/>
      <c r="CC381" s="8589"/>
      <c r="CD381" s="8590"/>
      <c r="CE381" s="8591"/>
      <c r="CF381" s="8592"/>
      <c r="CG381" s="8593"/>
      <c r="CH381" s="8594"/>
      <c r="CI381" s="8595"/>
      <c r="CJ381" s="8596"/>
      <c r="CK381" s="8597"/>
      <c r="CL381" s="8598"/>
      <c r="CM381" s="8599"/>
      <c r="CN381" s="8600"/>
      <c r="CO381" s="8601"/>
      <c r="CP381" s="8602"/>
      <c r="CQ381" s="3825"/>
      <c r="CR381" s="3581"/>
      <c r="CS381" s="3728"/>
      <c r="CT381" s="3728" t="str">
        <f>IF(T381="","",T381)</f>
        <v>Добавить вид теплоносителя (параметры теплоносителя)</v>
      </c>
      <c r="CU381" s="3728"/>
      <c r="CV381" s="3728"/>
    </row>
    <row s="8603" customFormat="1" customHeight="1" ht="15">
      <c r="A382" s="3716"/>
      <c r="B382" s="3716"/>
      <c r="C382" s="3716"/>
      <c r="D382" s="3716"/>
      <c r="E382" s="3717"/>
      <c r="F382" s="3717" t="s">
        <v>104</v>
      </c>
      <c r="G382" s="3717"/>
      <c r="H382" s="3717"/>
      <c r="I382" s="3730"/>
      <c r="J382" s="3716"/>
      <c r="K382" s="3716"/>
      <c r="L382" s="3719"/>
      <c r="M382" s="3573"/>
      <c r="N382" s="3731"/>
      <c r="O382" s="3731"/>
      <c r="P382" s="3732"/>
      <c r="Q382" s="3732"/>
      <c r="R382" s="3733"/>
      <c r="S382" s="8604"/>
      <c r="T382" s="8605" t="s">
        <v>627</v>
      </c>
      <c r="U382" s="8606"/>
      <c r="V382" s="8607"/>
      <c r="W382" s="8608"/>
      <c r="X382" s="8609"/>
      <c r="Y382" s="8610"/>
      <c r="Z382" s="8611"/>
      <c r="AA382" s="8612"/>
      <c r="AB382" s="8613"/>
      <c r="AC382" s="8614"/>
      <c r="AD382" s="8615"/>
      <c r="AE382" s="8616"/>
      <c r="AF382" s="8617"/>
      <c r="AG382" s="8618"/>
      <c r="AH382" s="8619"/>
      <c r="AI382" s="8620"/>
      <c r="AJ382" s="8621"/>
      <c r="AK382" s="8622"/>
      <c r="AL382" s="8623"/>
      <c r="AM382" s="8624"/>
      <c r="AN382" s="8625"/>
      <c r="AO382" s="8626"/>
      <c r="AP382" s="8627"/>
      <c r="AQ382" s="8628"/>
      <c r="AR382" s="8629"/>
      <c r="AS382" s="8630"/>
      <c r="AT382" s="8631"/>
      <c r="AU382" s="8632"/>
      <c r="AV382" s="8633"/>
      <c r="AW382" s="8634"/>
      <c r="AX382" s="8635"/>
      <c r="AY382" s="8636"/>
      <c r="AZ382" s="8637"/>
      <c r="BA382" s="8638"/>
      <c r="BB382" s="8639"/>
      <c r="BC382" s="8640"/>
      <c r="BD382" s="8641"/>
      <c r="BE382" s="8642"/>
      <c r="BF382" s="8643"/>
      <c r="BG382" s="8644"/>
      <c r="BH382" s="8645"/>
      <c r="BI382" s="8646"/>
      <c r="BJ382" s="8647"/>
      <c r="BK382" s="8648"/>
      <c r="BL382" s="8649"/>
      <c r="BM382" s="8650"/>
      <c r="BN382" s="8651"/>
      <c r="BO382" s="8652"/>
      <c r="BP382" s="8653"/>
      <c r="BQ382" s="8654"/>
      <c r="BR382" s="8655"/>
      <c r="BS382" s="8656"/>
      <c r="BT382" s="8657"/>
      <c r="BU382" s="8658"/>
      <c r="BV382" s="8659"/>
      <c r="BW382" s="8660"/>
      <c r="BX382" s="8661"/>
      <c r="BY382" s="8662"/>
      <c r="BZ382" s="8663"/>
      <c r="CA382" s="8664"/>
      <c r="CB382" s="8665"/>
      <c r="CC382" s="8666"/>
      <c r="CD382" s="8667"/>
      <c r="CE382" s="8668"/>
      <c r="CF382" s="8669"/>
      <c r="CG382" s="8670"/>
      <c r="CH382" s="8671"/>
      <c r="CI382" s="8672"/>
      <c r="CJ382" s="8673"/>
      <c r="CK382" s="8674"/>
      <c r="CL382" s="8675"/>
      <c r="CM382" s="8676"/>
      <c r="CN382" s="8677"/>
      <c r="CO382" s="8678"/>
      <c r="CP382" s="8679"/>
      <c r="CQ382" s="8680"/>
      <c r="CR382" s="3581"/>
      <c r="CS382" s="3728"/>
      <c r="CT382" s="3728" t="str">
        <f>IF(T382="","",T382)</f>
        <v>Добавить группу потребителей</v>
      </c>
      <c r="CU382" s="3728"/>
      <c r="CV382" s="3728"/>
    </row>
    <row s="8681" customFormat="1" customHeight="1" ht="14.25">
      <c r="A383" s="3716"/>
      <c r="B383" s="3716"/>
      <c r="C383" s="3716"/>
      <c r="D383" s="3716"/>
      <c r="E383" s="3717"/>
      <c r="F383" s="3717" t="s">
        <v>104</v>
      </c>
      <c r="G383" s="3717"/>
      <c r="H383" s="3718"/>
      <c r="I383" s="3716"/>
      <c r="J383" s="3716"/>
      <c r="K383" s="3716"/>
      <c r="L383" s="3719"/>
      <c r="M383" s="3720"/>
      <c r="N383" s="3720"/>
      <c r="O383" s="3573"/>
      <c r="P383" s="3905"/>
      <c r="Q383" s="3906"/>
      <c r="R383" s="3907"/>
      <c r="S383" s="3908"/>
      <c r="T383" s="3909"/>
      <c r="U383" s="3569"/>
      <c r="V383" s="3569"/>
      <c r="W383" s="3569"/>
      <c r="X383" s="3569"/>
      <c r="Y383" s="3569"/>
      <c r="Z383" s="3569"/>
      <c r="AA383" s="3569"/>
      <c r="AB383" s="3569"/>
      <c r="AC383" s="3569"/>
      <c r="AD383" s="3569"/>
      <c r="AE383" s="3569"/>
      <c r="AF383" s="3569"/>
      <c r="AG383" s="3569"/>
      <c r="AH383" s="3569"/>
      <c r="AI383" s="3569"/>
      <c r="AJ383" s="3569"/>
      <c r="AK383" s="3569"/>
      <c r="AL383" s="3569"/>
      <c r="AM383" s="3569"/>
      <c r="AN383" s="3569"/>
      <c r="AO383" s="3569"/>
      <c r="AP383" s="3569"/>
      <c r="AQ383" s="3569"/>
      <c r="AR383" s="3569"/>
      <c r="AS383" s="3569"/>
      <c r="AT383" s="3569"/>
      <c r="AU383" s="3569"/>
      <c r="AV383" s="3569"/>
      <c r="AW383" s="3569"/>
      <c r="AX383" s="3569"/>
      <c r="AY383" s="3569"/>
      <c r="AZ383" s="3569"/>
      <c r="BA383" s="3569"/>
      <c r="BB383" s="3569"/>
      <c r="BC383" s="3569"/>
      <c r="BD383" s="3569"/>
      <c r="BE383" s="3569"/>
      <c r="BF383" s="3569"/>
      <c r="BG383" s="3569"/>
      <c r="BH383" s="3569"/>
      <c r="BI383" s="3569"/>
      <c r="BJ383" s="3569"/>
      <c r="BK383" s="3569"/>
      <c r="BL383" s="3569"/>
      <c r="BM383" s="3569"/>
      <c r="BN383" s="3569"/>
      <c r="BO383" s="3569"/>
      <c r="BP383" s="3569"/>
      <c r="BQ383" s="3569"/>
      <c r="BR383" s="3569"/>
      <c r="BS383" s="3569"/>
      <c r="BT383" s="3569"/>
      <c r="BU383" s="3569"/>
      <c r="BV383" s="3569"/>
      <c r="BW383" s="3569"/>
      <c r="BX383" s="3569"/>
      <c r="BY383" s="3569"/>
      <c r="BZ383" s="3569"/>
      <c r="CA383" s="3569"/>
      <c r="CB383" s="3569"/>
      <c r="CC383" s="3569"/>
      <c r="CD383" s="3569"/>
      <c r="CE383" s="3569"/>
      <c r="CF383" s="3569"/>
      <c r="CG383" s="3569"/>
      <c r="CH383" s="3569"/>
      <c r="CI383" s="3569"/>
      <c r="CJ383" s="3569"/>
      <c r="CK383" s="3569"/>
      <c r="CL383" s="3569"/>
      <c r="CM383" s="3569"/>
      <c r="CN383" s="3569"/>
      <c r="CO383" s="3569"/>
      <c r="CP383" s="3569"/>
      <c r="CQ383" s="3910"/>
      <c r="CR383" s="3581"/>
      <c r="CS383" s="3728"/>
      <c r="CT383" s="3728" t="str">
        <f>IF(T383="","",T383)</f>
        <v/>
      </c>
      <c r="CU383" s="3728"/>
      <c r="CV383" s="3728"/>
    </row>
    <row s="8682" customFormat="1" customHeight="1" ht="0.75">
      <c r="A384" s="4239"/>
      <c r="B384" s="4239"/>
      <c r="C384" s="4239"/>
      <c r="D384" s="4239"/>
      <c r="E384" s="3717"/>
      <c r="F384" s="3717" t="s">
        <v>104</v>
      </c>
      <c r="G384" s="3718"/>
      <c r="H384" s="4239"/>
      <c r="I384" s="4239"/>
      <c r="J384" s="4239"/>
      <c r="K384" s="4239"/>
      <c r="L384" s="4240"/>
      <c r="M384" s="4241"/>
      <c r="N384" s="4241"/>
      <c r="O384" s="3581"/>
      <c r="P384" s="4242"/>
      <c r="Q384" s="4243"/>
      <c r="R384" s="4242"/>
      <c r="S384" s="4244"/>
      <c r="T384" s="4245" t="s">
        <v>254</v>
      </c>
      <c r="U384" s="3571"/>
      <c r="V384" s="3571"/>
      <c r="W384" s="3571"/>
      <c r="X384" s="3571"/>
      <c r="Y384" s="3571"/>
      <c r="Z384" s="3571"/>
      <c r="AA384" s="3571"/>
      <c r="AB384" s="3571"/>
      <c r="AC384" s="3571"/>
      <c r="AD384" s="3571"/>
      <c r="AE384" s="3571"/>
      <c r="AF384" s="3571"/>
      <c r="AG384" s="3571"/>
      <c r="AH384" s="3571"/>
      <c r="AI384" s="3571"/>
      <c r="AJ384" s="3571"/>
      <c r="AK384" s="3571"/>
      <c r="AL384" s="3571"/>
      <c r="AM384" s="3571"/>
      <c r="AN384" s="3571"/>
      <c r="AO384" s="3571"/>
      <c r="AP384" s="3571"/>
      <c r="AQ384" s="3571"/>
      <c r="AR384" s="3571"/>
      <c r="AS384" s="3571"/>
      <c r="AT384" s="3571"/>
      <c r="AU384" s="3571"/>
      <c r="AV384" s="3571"/>
      <c r="AW384" s="3571"/>
      <c r="AX384" s="3571"/>
      <c r="AY384" s="3571"/>
      <c r="AZ384" s="3571"/>
      <c r="BA384" s="3571"/>
      <c r="BB384" s="3571"/>
      <c r="BC384" s="3571"/>
      <c r="BD384" s="3571"/>
      <c r="BE384" s="3571"/>
      <c r="BF384" s="3571"/>
      <c r="BG384" s="3571"/>
      <c r="BH384" s="3571"/>
      <c r="BI384" s="3571"/>
      <c r="BJ384" s="3571"/>
      <c r="BK384" s="3571"/>
      <c r="BL384" s="3571"/>
      <c r="BM384" s="3571"/>
      <c r="BN384" s="3571"/>
      <c r="BO384" s="3571"/>
      <c r="BP384" s="3571"/>
      <c r="BQ384" s="3571"/>
      <c r="BR384" s="3571"/>
      <c r="BS384" s="3571"/>
      <c r="BT384" s="3571"/>
      <c r="BU384" s="3571"/>
      <c r="BV384" s="3571"/>
      <c r="BW384" s="3571"/>
      <c r="BX384" s="3571"/>
      <c r="BY384" s="3571"/>
      <c r="BZ384" s="3571"/>
      <c r="CA384" s="3571"/>
      <c r="CB384" s="3571"/>
      <c r="CC384" s="3571"/>
      <c r="CD384" s="3571"/>
      <c r="CE384" s="3571"/>
      <c r="CF384" s="3571"/>
      <c r="CG384" s="3571"/>
      <c r="CH384" s="3571"/>
      <c r="CI384" s="3571"/>
      <c r="CJ384" s="3571"/>
      <c r="CK384" s="3571"/>
      <c r="CL384" s="3571"/>
      <c r="CM384" s="3571"/>
      <c r="CN384" s="3571"/>
      <c r="CO384" s="3571"/>
      <c r="CP384" s="3571"/>
      <c r="CQ384" s="3571"/>
      <c r="CR384" s="3581"/>
      <c r="CS384" s="3728"/>
      <c r="CT384" s="3728" t="str">
        <f>IF(T384="","",T384)</f>
        <v>Добавить источник для дифференциации</v>
      </c>
      <c r="CU384" s="3728"/>
      <c r="CV384" s="3728"/>
    </row>
    <row s="8683" customFormat="1" customHeight="1" ht="0.75">
      <c r="A385" s="4239"/>
      <c r="B385" s="4239"/>
      <c r="C385" s="4239"/>
      <c r="D385" s="4239"/>
      <c r="E385" s="3717"/>
      <c r="F385" s="3718" t="s">
        <v>104</v>
      </c>
      <c r="G385" s="4239"/>
      <c r="H385" s="4239"/>
      <c r="I385" s="4239"/>
      <c r="J385" s="4239"/>
      <c r="K385" s="4239"/>
      <c r="L385" s="4240"/>
      <c r="M385" s="4247"/>
      <c r="N385" s="4247"/>
      <c r="O385" s="3581"/>
      <c r="P385" s="4242"/>
      <c r="Q385" s="4243"/>
      <c r="R385" s="4242"/>
      <c r="S385" s="4248"/>
      <c r="T385" s="4249" t="s">
        <v>255</v>
      </c>
      <c r="U385" s="3572"/>
      <c r="V385" s="3572"/>
      <c r="W385" s="3572"/>
      <c r="X385" s="3572"/>
      <c r="Y385" s="3572"/>
      <c r="Z385" s="3572"/>
      <c r="AA385" s="3572"/>
      <c r="AB385" s="3572"/>
      <c r="AC385" s="3572"/>
      <c r="AD385" s="3572"/>
      <c r="AE385" s="3572"/>
      <c r="AF385" s="3572"/>
      <c r="AG385" s="3572"/>
      <c r="AH385" s="3572"/>
      <c r="AI385" s="3572"/>
      <c r="AJ385" s="3572"/>
      <c r="AK385" s="3572"/>
      <c r="AL385" s="3572"/>
      <c r="AM385" s="3572"/>
      <c r="AN385" s="3572"/>
      <c r="AO385" s="3572"/>
      <c r="AP385" s="3572"/>
      <c r="AQ385" s="3572"/>
      <c r="AR385" s="3572"/>
      <c r="AS385" s="3572"/>
      <c r="AT385" s="3572"/>
      <c r="AU385" s="3572"/>
      <c r="AV385" s="3572"/>
      <c r="AW385" s="3572"/>
      <c r="AX385" s="3572"/>
      <c r="AY385" s="3572"/>
      <c r="AZ385" s="3572"/>
      <c r="BA385" s="3572"/>
      <c r="BB385" s="3572"/>
      <c r="BC385" s="3572"/>
      <c r="BD385" s="3572"/>
      <c r="BE385" s="3572"/>
      <c r="BF385" s="3572"/>
      <c r="BG385" s="3572"/>
      <c r="BH385" s="3572"/>
      <c r="BI385" s="3572"/>
      <c r="BJ385" s="3572"/>
      <c r="BK385" s="3572"/>
      <c r="BL385" s="3572"/>
      <c r="BM385" s="3572"/>
      <c r="BN385" s="3572"/>
      <c r="BO385" s="3572"/>
      <c r="BP385" s="3572"/>
      <c r="BQ385" s="3572"/>
      <c r="BR385" s="3572"/>
      <c r="BS385" s="3572"/>
      <c r="BT385" s="3572"/>
      <c r="BU385" s="3572"/>
      <c r="BV385" s="3572"/>
      <c r="BW385" s="3572"/>
      <c r="BX385" s="3572"/>
      <c r="BY385" s="3572"/>
      <c r="BZ385" s="3572"/>
      <c r="CA385" s="3572"/>
      <c r="CB385" s="3572"/>
      <c r="CC385" s="3572"/>
      <c r="CD385" s="3572"/>
      <c r="CE385" s="3572"/>
      <c r="CF385" s="3572"/>
      <c r="CG385" s="3572"/>
      <c r="CH385" s="3572"/>
      <c r="CI385" s="3572"/>
      <c r="CJ385" s="3572"/>
      <c r="CK385" s="3572"/>
      <c r="CL385" s="3572"/>
      <c r="CM385" s="3572"/>
      <c r="CN385" s="3572"/>
      <c r="CO385" s="3572"/>
      <c r="CP385" s="3572"/>
      <c r="CQ385" s="3572"/>
      <c r="CR385" s="3581"/>
      <c r="CS385" s="3728"/>
      <c r="CT385" s="3728" t="str">
        <f>IF(T385="","",T385)</f>
        <v>Добавить централизованную систему для дифференциации</v>
      </c>
      <c r="CU385" s="3728"/>
      <c r="CV385" s="3728"/>
    </row>
    <row s="8684" customFormat="1" customHeight="1" ht="21">
      <c r="A386" s="3716"/>
      <c r="B386" s="3716" t="s">
        <v>343</v>
      </c>
      <c r="C386" s="3716"/>
      <c r="D386" s="3716"/>
      <c r="E386" s="3717"/>
      <c r="F386" s="3718" t="s">
        <v>92</v>
      </c>
      <c r="G386" s="3716"/>
      <c r="H386" s="3716"/>
      <c r="I386" s="3716"/>
      <c r="J386" s="3716"/>
      <c r="K386" s="3716"/>
      <c r="L386" s="3719"/>
      <c r="M386" s="3720"/>
      <c r="N386" s="3720"/>
      <c r="O386" s="3720"/>
      <c r="P386" s="4073"/>
      <c r="Q386" s="3722"/>
      <c r="R386" s="3723"/>
      <c r="S386" s="3724" t="str">
        <f>INDEX(PT_DIFFERENTIATION_NUM_TER,MATCH(B386,PT_DIFFERENTIATION_TER_ID,0))</f>
        <v>2.4</v>
      </c>
      <c r="T386" s="4074" t="s">
        <v>612</v>
      </c>
      <c r="U386" s="3726"/>
      <c r="V386" s="3432"/>
      <c r="W386" s="3433"/>
      <c r="X386" s="3433"/>
      <c r="Y386" s="3433"/>
      <c r="Z386" s="3433"/>
      <c r="AA386" s="3433"/>
      <c r="AB386" s="3433"/>
      <c r="AC386" s="3434"/>
      <c r="AD386" s="3432" t="str">
        <f>INDEX(PT_DIFFERENTIATION_TER,MATCH(B386,PT_DIFFERENTIATION_TER_ID,0))</f>
        <v>Территория 4</v>
      </c>
      <c r="AE386" s="3433"/>
      <c r="AF386" s="3433"/>
      <c r="AG386" s="3433"/>
      <c r="AH386" s="3433"/>
      <c r="AI386" s="3433"/>
      <c r="AJ386" s="3433"/>
      <c r="AK386" s="3433"/>
      <c r="AL386" s="3432"/>
      <c r="AM386" s="3433"/>
      <c r="AN386" s="3433"/>
      <c r="AO386" s="3433"/>
      <c r="AP386" s="3433"/>
      <c r="AQ386" s="3433"/>
      <c r="AR386" s="3433"/>
      <c r="AS386" s="3434"/>
      <c r="AT386" s="3432"/>
      <c r="AU386" s="3433"/>
      <c r="AV386" s="3433"/>
      <c r="AW386" s="3433"/>
      <c r="AX386" s="3433"/>
      <c r="AY386" s="3433"/>
      <c r="AZ386" s="3433"/>
      <c r="BA386" s="3434"/>
      <c r="BB386" s="3432"/>
      <c r="BC386" s="3433"/>
      <c r="BD386" s="3433"/>
      <c r="BE386" s="3433"/>
      <c r="BF386" s="3433"/>
      <c r="BG386" s="3433"/>
      <c r="BH386" s="3433"/>
      <c r="BI386" s="3434"/>
      <c r="BJ386" s="3432"/>
      <c r="BK386" s="3433"/>
      <c r="BL386" s="3433"/>
      <c r="BM386" s="3433"/>
      <c r="BN386" s="3433"/>
      <c r="BO386" s="3433"/>
      <c r="BP386" s="3433"/>
      <c r="BQ386" s="3434"/>
      <c r="BR386" s="3432"/>
      <c r="BS386" s="3433"/>
      <c r="BT386" s="3433"/>
      <c r="BU386" s="3433"/>
      <c r="BV386" s="3433"/>
      <c r="BW386" s="3433"/>
      <c r="BX386" s="3433"/>
      <c r="BY386" s="3434"/>
      <c r="BZ386" s="3432"/>
      <c r="CA386" s="3433"/>
      <c r="CB386" s="3433"/>
      <c r="CC386" s="3433"/>
      <c r="CD386" s="3433"/>
      <c r="CE386" s="3433"/>
      <c r="CF386" s="3433"/>
      <c r="CG386" s="3434"/>
      <c r="CH386" s="3432"/>
      <c r="CI386" s="3433"/>
      <c r="CJ386" s="3433"/>
      <c r="CK386" s="3433"/>
      <c r="CL386" s="3433"/>
      <c r="CM386" s="3433"/>
      <c r="CN386" s="3433"/>
      <c r="CO386" s="3434"/>
      <c r="CP386" s="3434"/>
      <c r="CQ386" s="3727" t="s">
        <v>613</v>
      </c>
      <c r="CR386" s="3581"/>
      <c r="CS386" s="3728"/>
      <c r="CT386" s="3728" t="str">
        <f>IF(T386="","",T386)</f>
        <v>Территория действия тарифа</v>
      </c>
      <c r="CU386" s="3728"/>
      <c r="CV386" s="3728"/>
    </row>
    <row s="8685" customFormat="1" customHeight="1" ht="23.25">
      <c r="A387" s="3716"/>
      <c r="B387" s="3716"/>
      <c r="C387" s="3716" t="s">
        <v>344</v>
      </c>
      <c r="D387" s="3716"/>
      <c r="E387" s="3717"/>
      <c r="F387" s="3717" t="s">
        <v>91</v>
      </c>
      <c r="G387" s="3718">
        <v>1</v>
      </c>
      <c r="H387" s="3716"/>
      <c r="I387" s="3716"/>
      <c r="J387" s="3716"/>
      <c r="K387" s="3716"/>
      <c r="L387" s="3719"/>
      <c r="M387" s="3720"/>
      <c r="N387" s="3720"/>
      <c r="O387" s="3720"/>
      <c r="P387" s="3721"/>
      <c r="Q387" s="3722"/>
      <c r="R387" s="3723"/>
      <c r="S387" s="3724" t="str">
        <f>INDEX(PT_DIFFERENTIATION_NUM_CS,MATCH(C387,PT_DIFFERENTIATION_CS_ID,0))</f>
        <v>2.4.1</v>
      </c>
      <c r="T387" s="4076" t="s">
        <v>614</v>
      </c>
      <c r="U387" s="3726"/>
      <c r="V387" s="3432"/>
      <c r="W387" s="3433"/>
      <c r="X387" s="3433"/>
      <c r="Y387" s="3433"/>
      <c r="Z387" s="3433"/>
      <c r="AA387" s="3433"/>
      <c r="AB387" s="3433"/>
      <c r="AC387" s="3434"/>
      <c r="AD387" s="3432" t="str">
        <f>INDEX(PT_DIFFERENTIATION_CS,MATCH(C387,PT_DIFFERENTIATION_CS_ID,0))</f>
        <v>без дифференциации</v>
      </c>
      <c r="AE387" s="3433"/>
      <c r="AF387" s="3433"/>
      <c r="AG387" s="3433"/>
      <c r="AH387" s="3433"/>
      <c r="AI387" s="3433"/>
      <c r="AJ387" s="3433"/>
      <c r="AK387" s="3433"/>
      <c r="AL387" s="3432"/>
      <c r="AM387" s="3433"/>
      <c r="AN387" s="3433"/>
      <c r="AO387" s="3433"/>
      <c r="AP387" s="3433"/>
      <c r="AQ387" s="3433"/>
      <c r="AR387" s="3433"/>
      <c r="AS387" s="3434"/>
      <c r="AT387" s="3432"/>
      <c r="AU387" s="3433"/>
      <c r="AV387" s="3433"/>
      <c r="AW387" s="3433"/>
      <c r="AX387" s="3433"/>
      <c r="AY387" s="3433"/>
      <c r="AZ387" s="3433"/>
      <c r="BA387" s="3434"/>
      <c r="BB387" s="3432"/>
      <c r="BC387" s="3433"/>
      <c r="BD387" s="3433"/>
      <c r="BE387" s="3433"/>
      <c r="BF387" s="3433"/>
      <c r="BG387" s="3433"/>
      <c r="BH387" s="3433"/>
      <c r="BI387" s="3434"/>
      <c r="BJ387" s="3432"/>
      <c r="BK387" s="3433"/>
      <c r="BL387" s="3433"/>
      <c r="BM387" s="3433"/>
      <c r="BN387" s="3433"/>
      <c r="BO387" s="3433"/>
      <c r="BP387" s="3433"/>
      <c r="BQ387" s="3434"/>
      <c r="BR387" s="3432"/>
      <c r="BS387" s="3433"/>
      <c r="BT387" s="3433"/>
      <c r="BU387" s="3433"/>
      <c r="BV387" s="3433"/>
      <c r="BW387" s="3433"/>
      <c r="BX387" s="3433"/>
      <c r="BY387" s="3434"/>
      <c r="BZ387" s="3432"/>
      <c r="CA387" s="3433"/>
      <c r="CB387" s="3433"/>
      <c r="CC387" s="3433"/>
      <c r="CD387" s="3433"/>
      <c r="CE387" s="3433"/>
      <c r="CF387" s="3433"/>
      <c r="CG387" s="3434"/>
      <c r="CH387" s="3432"/>
      <c r="CI387" s="3433"/>
      <c r="CJ387" s="3433"/>
      <c r="CK387" s="3433"/>
      <c r="CL387" s="3433"/>
      <c r="CM387" s="3433"/>
      <c r="CN387" s="3433"/>
      <c r="CO387" s="3434"/>
      <c r="CP387" s="3434"/>
      <c r="CQ387" s="3727" t="s">
        <v>615</v>
      </c>
      <c r="CR387" s="3581"/>
      <c r="CS387" s="3728"/>
      <c r="CT387" s="3728" t="str">
        <f>IF(T387="","",T387)</f>
        <v>Наименование системы теплоснабжения </v>
      </c>
      <c r="CU387" s="3728"/>
      <c r="CV387" s="3728"/>
    </row>
    <row s="8686" customFormat="1" customHeight="1" ht="21">
      <c r="A388" s="3716"/>
      <c r="B388" s="3716"/>
      <c r="C388" s="3716"/>
      <c r="D388" s="3716" t="s">
        <v>345</v>
      </c>
      <c r="E388" s="3717"/>
      <c r="F388" s="3717" t="s">
        <v>91</v>
      </c>
      <c r="G388" s="3717"/>
      <c r="H388" s="3718">
        <v>1</v>
      </c>
      <c r="I388" s="3716"/>
      <c r="J388" s="3716"/>
      <c r="K388" s="3716"/>
      <c r="L388" s="3719"/>
      <c r="M388" s="3720"/>
      <c r="N388" s="3720"/>
      <c r="O388" s="3720"/>
      <c r="P388" s="3721"/>
      <c r="Q388" s="3722"/>
      <c r="R388" s="3723"/>
      <c r="S388" s="3724" t="str">
        <f>INDEX(PT_DIFFERENTIATION_NUM_IST_TE,MATCH(D388,PT_DIFFERENTIATION_IST_TE_ID,0))</f>
        <v>2.4.1.1</v>
      </c>
      <c r="T388" s="3725" t="s">
        <v>616</v>
      </c>
      <c r="U388" s="3726"/>
      <c r="V388" s="3432"/>
      <c r="W388" s="3433"/>
      <c r="X388" s="3433"/>
      <c r="Y388" s="3433"/>
      <c r="Z388" s="3433"/>
      <c r="AA388" s="3433"/>
      <c r="AB388" s="3433"/>
      <c r="AC388" s="3434"/>
      <c r="AD388" s="3432" t="str">
        <f>INDEX(PT_DIFFERENTIATION_IST_TE,MATCH(D388,PT_DIFFERENTIATION_IST_TE_ID,0))</f>
        <v>без дифференциации</v>
      </c>
      <c r="AE388" s="3433"/>
      <c r="AF388" s="3433"/>
      <c r="AG388" s="3433"/>
      <c r="AH388" s="3433"/>
      <c r="AI388" s="3433"/>
      <c r="AJ388" s="3433"/>
      <c r="AK388" s="3433"/>
      <c r="AL388" s="3432"/>
      <c r="AM388" s="3433"/>
      <c r="AN388" s="3433"/>
      <c r="AO388" s="3433"/>
      <c r="AP388" s="3433"/>
      <c r="AQ388" s="3433"/>
      <c r="AR388" s="3433"/>
      <c r="AS388" s="3434"/>
      <c r="AT388" s="3432"/>
      <c r="AU388" s="3433"/>
      <c r="AV388" s="3433"/>
      <c r="AW388" s="3433"/>
      <c r="AX388" s="3433"/>
      <c r="AY388" s="3433"/>
      <c r="AZ388" s="3433"/>
      <c r="BA388" s="3434"/>
      <c r="BB388" s="3432"/>
      <c r="BC388" s="3433"/>
      <c r="BD388" s="3433"/>
      <c r="BE388" s="3433"/>
      <c r="BF388" s="3433"/>
      <c r="BG388" s="3433"/>
      <c r="BH388" s="3433"/>
      <c r="BI388" s="3434"/>
      <c r="BJ388" s="3432"/>
      <c r="BK388" s="3433"/>
      <c r="BL388" s="3433"/>
      <c r="BM388" s="3433"/>
      <c r="BN388" s="3433"/>
      <c r="BO388" s="3433"/>
      <c r="BP388" s="3433"/>
      <c r="BQ388" s="3434"/>
      <c r="BR388" s="3432"/>
      <c r="BS388" s="3433"/>
      <c r="BT388" s="3433"/>
      <c r="BU388" s="3433"/>
      <c r="BV388" s="3433"/>
      <c r="BW388" s="3433"/>
      <c r="BX388" s="3433"/>
      <c r="BY388" s="3434"/>
      <c r="BZ388" s="3432"/>
      <c r="CA388" s="3433"/>
      <c r="CB388" s="3433"/>
      <c r="CC388" s="3433"/>
      <c r="CD388" s="3433"/>
      <c r="CE388" s="3433"/>
      <c r="CF388" s="3433"/>
      <c r="CG388" s="3434"/>
      <c r="CH388" s="3432"/>
      <c r="CI388" s="3433"/>
      <c r="CJ388" s="3433"/>
      <c r="CK388" s="3433"/>
      <c r="CL388" s="3433"/>
      <c r="CM388" s="3433"/>
      <c r="CN388" s="3433"/>
      <c r="CO388" s="3434"/>
      <c r="CP388" s="3434"/>
      <c r="CQ388" s="3727" t="s">
        <v>617</v>
      </c>
      <c r="CR388" s="3581"/>
      <c r="CS388" s="3728"/>
      <c r="CT388" s="3728" t="str">
        <f>IF(T388="","",T388)</f>
        <v>Источник тепловой энергии  </v>
      </c>
      <c r="CU388" s="3728"/>
      <c r="CV388" s="3728"/>
    </row>
    <row s="8687" customFormat="1" customHeight="1" ht="14.25">
      <c r="A389" s="3716"/>
      <c r="B389" s="3716"/>
      <c r="C389" s="3716"/>
      <c r="D389" s="3716"/>
      <c r="E389" s="3717"/>
      <c r="F389" s="3717" t="s">
        <v>91</v>
      </c>
      <c r="G389" s="3717"/>
      <c r="H389" s="3717"/>
      <c r="I389" s="3730" t="str">
        <f>S388&amp;".1"</f>
        <v>2.4.1.1.1</v>
      </c>
      <c r="J389" s="3716"/>
      <c r="K389" s="3716"/>
      <c r="L389" s="3719" t="s">
        <v>618</v>
      </c>
      <c r="M389" s="3573"/>
      <c r="N389" s="3731"/>
      <c r="O389" s="3731"/>
      <c r="P389" s="3732">
        <v>1</v>
      </c>
      <c r="Q389" s="3732"/>
      <c r="R389" s="3733"/>
      <c r="S389" s="3734"/>
      <c r="T389" s="3735"/>
      <c r="U389" s="3736"/>
      <c r="V389" s="3441"/>
      <c r="W389" s="3442"/>
      <c r="X389" s="3442"/>
      <c r="Y389" s="3442"/>
      <c r="Z389" s="3442"/>
      <c r="AA389" s="3442"/>
      <c r="AB389" s="3442"/>
      <c r="AC389" s="3443"/>
      <c r="AD389" s="3441"/>
      <c r="AE389" s="3442"/>
      <c r="AF389" s="3442"/>
      <c r="AG389" s="3442"/>
      <c r="AH389" s="3442"/>
      <c r="AI389" s="3442"/>
      <c r="AJ389" s="3442"/>
      <c r="AK389" s="3442"/>
      <c r="AL389" s="3441"/>
      <c r="AM389" s="3442"/>
      <c r="AN389" s="3442"/>
      <c r="AO389" s="3442"/>
      <c r="AP389" s="3442"/>
      <c r="AQ389" s="3442"/>
      <c r="AR389" s="3442"/>
      <c r="AS389" s="3443"/>
      <c r="AT389" s="3441"/>
      <c r="AU389" s="3442"/>
      <c r="AV389" s="3442"/>
      <c r="AW389" s="3442"/>
      <c r="AX389" s="3442"/>
      <c r="AY389" s="3442"/>
      <c r="AZ389" s="3442"/>
      <c r="BA389" s="3443"/>
      <c r="BB389" s="3441"/>
      <c r="BC389" s="3442"/>
      <c r="BD389" s="3442"/>
      <c r="BE389" s="3442"/>
      <c r="BF389" s="3442"/>
      <c r="BG389" s="3442"/>
      <c r="BH389" s="3442"/>
      <c r="BI389" s="3443"/>
      <c r="BJ389" s="3441"/>
      <c r="BK389" s="3442"/>
      <c r="BL389" s="3442"/>
      <c r="BM389" s="3442"/>
      <c r="BN389" s="3442"/>
      <c r="BO389" s="3442"/>
      <c r="BP389" s="3442"/>
      <c r="BQ389" s="3443"/>
      <c r="BR389" s="3441"/>
      <c r="BS389" s="3442"/>
      <c r="BT389" s="3442"/>
      <c r="BU389" s="3442"/>
      <c r="BV389" s="3442"/>
      <c r="BW389" s="3442"/>
      <c r="BX389" s="3442"/>
      <c r="BY389" s="3443"/>
      <c r="BZ389" s="3441"/>
      <c r="CA389" s="3442"/>
      <c r="CB389" s="3442"/>
      <c r="CC389" s="3442"/>
      <c r="CD389" s="3442"/>
      <c r="CE389" s="3442"/>
      <c r="CF389" s="3442"/>
      <c r="CG389" s="3443"/>
      <c r="CH389" s="3441"/>
      <c r="CI389" s="3442"/>
      <c r="CJ389" s="3442"/>
      <c r="CK389" s="3442"/>
      <c r="CL389" s="3442"/>
      <c r="CM389" s="3442"/>
      <c r="CN389" s="3442"/>
      <c r="CO389" s="3443"/>
      <c r="CP389" s="3443"/>
      <c r="CQ389" s="3737"/>
      <c r="CR389" s="3581"/>
      <c r="CS389" s="3728"/>
      <c r="CT389" s="3728" t="str">
        <f>IF(T389="","",T389)</f>
        <v/>
      </c>
      <c r="CU389" s="3728"/>
      <c r="CV389" s="3728"/>
    </row>
    <row s="8688" customFormat="1" customHeight="1" ht="21">
      <c r="A390" s="3716"/>
      <c r="B390" s="3716"/>
      <c r="C390" s="3716"/>
      <c r="D390" s="3716"/>
      <c r="E390" s="3717"/>
      <c r="F390" s="3717" t="s">
        <v>91</v>
      </c>
      <c r="G390" s="3717"/>
      <c r="H390" s="3717"/>
      <c r="I390" s="3739"/>
      <c r="J390" s="3730" t="str">
        <f>I389&amp;".1"</f>
        <v>2.4.1.1.1.1</v>
      </c>
      <c r="K390" s="3716"/>
      <c r="L390" s="3719" t="s">
        <v>621</v>
      </c>
      <c r="M390" s="3573"/>
      <c r="N390" s="3573"/>
      <c r="O390" s="3731"/>
      <c r="P390" s="3732"/>
      <c r="Q390" s="3732">
        <v>1</v>
      </c>
      <c r="R390" s="3740"/>
      <c r="S390" s="3724" t="str">
        <f>$J390</f>
        <v>2.4.1.1.1.1</v>
      </c>
      <c r="T390" s="3741" t="s">
        <v>622</v>
      </c>
      <c r="U390" s="3726"/>
      <c r="V390" s="3445"/>
      <c r="W390" s="3446"/>
      <c r="X390" s="3446"/>
      <c r="Y390" s="3446"/>
      <c r="Z390" s="3446"/>
      <c r="AA390" s="3446"/>
      <c r="AB390" s="3446"/>
      <c r="AC390" s="3447"/>
      <c r="AD390" s="3445" t="s">
        <v>665</v>
      </c>
      <c r="AE390" s="3446"/>
      <c r="AF390" s="3446"/>
      <c r="AG390" s="3446"/>
      <c r="AH390" s="3446"/>
      <c r="AI390" s="3446"/>
      <c r="AJ390" s="3446"/>
      <c r="AK390" s="3446"/>
      <c r="AL390" s="3445"/>
      <c r="AM390" s="3446"/>
      <c r="AN390" s="3446"/>
      <c r="AO390" s="3446"/>
      <c r="AP390" s="3446"/>
      <c r="AQ390" s="3446"/>
      <c r="AR390" s="3446"/>
      <c r="AS390" s="3447"/>
      <c r="AT390" s="3445"/>
      <c r="AU390" s="3446"/>
      <c r="AV390" s="3446"/>
      <c r="AW390" s="3446"/>
      <c r="AX390" s="3446"/>
      <c r="AY390" s="3446"/>
      <c r="AZ390" s="3446"/>
      <c r="BA390" s="3447"/>
      <c r="BB390" s="3445"/>
      <c r="BC390" s="3446"/>
      <c r="BD390" s="3446"/>
      <c r="BE390" s="3446"/>
      <c r="BF390" s="3446"/>
      <c r="BG390" s="3446"/>
      <c r="BH390" s="3446"/>
      <c r="BI390" s="3447"/>
      <c r="BJ390" s="3445"/>
      <c r="BK390" s="3446"/>
      <c r="BL390" s="3446"/>
      <c r="BM390" s="3446"/>
      <c r="BN390" s="3446"/>
      <c r="BO390" s="3446"/>
      <c r="BP390" s="3446"/>
      <c r="BQ390" s="3447"/>
      <c r="BR390" s="3445"/>
      <c r="BS390" s="3446"/>
      <c r="BT390" s="3446"/>
      <c r="BU390" s="3446"/>
      <c r="BV390" s="3446"/>
      <c r="BW390" s="3446"/>
      <c r="BX390" s="3446"/>
      <c r="BY390" s="3447"/>
      <c r="BZ390" s="3445"/>
      <c r="CA390" s="3446"/>
      <c r="CB390" s="3446"/>
      <c r="CC390" s="3446"/>
      <c r="CD390" s="3446"/>
      <c r="CE390" s="3446"/>
      <c r="CF390" s="3446"/>
      <c r="CG390" s="3447"/>
      <c r="CH390" s="3445"/>
      <c r="CI390" s="3446"/>
      <c r="CJ390" s="3446"/>
      <c r="CK390" s="3446"/>
      <c r="CL390" s="3446"/>
      <c r="CM390" s="3446"/>
      <c r="CN390" s="3446"/>
      <c r="CO390" s="3447"/>
      <c r="CP390" s="3447"/>
      <c r="CQ390" s="3727" t="s">
        <v>623</v>
      </c>
      <c r="CR390" s="3581"/>
      <c r="CS390" s="3728"/>
      <c r="CT390" s="3728" t="str">
        <f>IF(T390="","",T390)</f>
        <v>Группа потребителей</v>
      </c>
      <c r="CU390" s="3728"/>
      <c r="CV390" s="3728"/>
    </row>
    <row s="8689" customFormat="1" customHeight="1" ht="21">
      <c r="A391" s="3716"/>
      <c r="B391" s="3716"/>
      <c r="C391" s="3716"/>
      <c r="D391" s="3716"/>
      <c r="E391" s="3717"/>
      <c r="F391" s="3717" t="s">
        <v>91</v>
      </c>
      <c r="G391" s="3717"/>
      <c r="H391" s="3717"/>
      <c r="I391" s="3739"/>
      <c r="J391" s="3739"/>
      <c r="K391" s="3730" t="str">
        <f>J390&amp;".1"</f>
        <v>2.4.1.1.1.1.1</v>
      </c>
      <c r="L391" s="3719" t="s">
        <v>624</v>
      </c>
      <c r="M391" s="3573"/>
      <c r="N391" s="3573"/>
      <c r="O391" s="3573"/>
      <c r="P391" s="3732"/>
      <c r="Q391" s="3732"/>
      <c r="R391" s="3740">
        <v>1</v>
      </c>
      <c r="S391" s="3724" t="str">
        <f>$K391</f>
        <v>2.4.1.1.1.1.1</v>
      </c>
      <c r="T391" s="3743" t="s">
        <v>663</v>
      </c>
      <c r="U391" s="3726"/>
      <c r="V391" s="3448"/>
      <c r="W391" s="3449"/>
      <c r="X391" s="3448"/>
      <c r="Y391" s="3450"/>
      <c r="Z391" s="3451"/>
      <c r="AA391" s="2872" t="s">
        <v>63</v>
      </c>
      <c r="AB391" s="3451"/>
      <c r="AC391" s="2872" t="s">
        <v>63</v>
      </c>
      <c r="AD391" s="3448">
        <v>32.92</v>
      </c>
      <c r="AE391" s="3449"/>
      <c r="AF391" s="3448"/>
      <c r="AG391" s="3450"/>
      <c r="AH391" s="3451">
        <v>44197</v>
      </c>
      <c r="AI391" s="2872" t="s">
        <v>63</v>
      </c>
      <c r="AJ391" s="3451">
        <v>44377</v>
      </c>
      <c r="AK391" s="2872" t="s">
        <v>63</v>
      </c>
      <c r="AL391" s="3448">
        <v>36.2</v>
      </c>
      <c r="AM391" s="3449"/>
      <c r="AN391" s="3448"/>
      <c r="AO391" s="3450"/>
      <c r="AP391" s="3451">
        <v>44378</v>
      </c>
      <c r="AQ391" s="2872" t="s">
        <v>63</v>
      </c>
      <c r="AR391" s="3451">
        <v>44561</v>
      </c>
      <c r="AS391" s="2872" t="s">
        <v>63</v>
      </c>
      <c r="AT391" s="3448">
        <v>36.2</v>
      </c>
      <c r="AU391" s="3449"/>
      <c r="AV391" s="3448"/>
      <c r="AW391" s="3450"/>
      <c r="AX391" s="3451">
        <v>44562</v>
      </c>
      <c r="AY391" s="2872" t="s">
        <v>63</v>
      </c>
      <c r="AZ391" s="3451">
        <v>44601</v>
      </c>
      <c r="BA391" s="2872" t="s">
        <v>63</v>
      </c>
      <c r="BB391" s="3448">
        <v>36.2</v>
      </c>
      <c r="BC391" s="3449"/>
      <c r="BD391" s="3448"/>
      <c r="BE391" s="3450"/>
      <c r="BF391" s="3451">
        <v>44602</v>
      </c>
      <c r="BG391" s="2872" t="s">
        <v>63</v>
      </c>
      <c r="BH391" s="3451">
        <v>44742</v>
      </c>
      <c r="BI391" s="2872" t="s">
        <v>63</v>
      </c>
      <c r="BJ391" s="3448">
        <v>39.1</v>
      </c>
      <c r="BK391" s="3449"/>
      <c r="BL391" s="3448"/>
      <c r="BM391" s="3450"/>
      <c r="BN391" s="3451">
        <v>44743</v>
      </c>
      <c r="BO391" s="2872" t="s">
        <v>63</v>
      </c>
      <c r="BP391" s="3451">
        <v>44804</v>
      </c>
      <c r="BQ391" s="2872" t="s">
        <v>63</v>
      </c>
      <c r="BR391" s="3448">
        <v>39.1</v>
      </c>
      <c r="BS391" s="3449"/>
      <c r="BT391" s="3448"/>
      <c r="BU391" s="3450"/>
      <c r="BV391" s="3451">
        <v>44805</v>
      </c>
      <c r="BW391" s="2872" t="s">
        <v>63</v>
      </c>
      <c r="BX391" s="3451">
        <v>44895</v>
      </c>
      <c r="BY391" s="2872" t="s">
        <v>63</v>
      </c>
      <c r="BZ391" s="3448">
        <v>41.45</v>
      </c>
      <c r="CA391" s="3449"/>
      <c r="CB391" s="3448"/>
      <c r="CC391" s="3450"/>
      <c r="CD391" s="3451">
        <v>44896</v>
      </c>
      <c r="CE391" s="2872" t="s">
        <v>63</v>
      </c>
      <c r="CF391" s="3451">
        <v>45174</v>
      </c>
      <c r="CG391" s="2872" t="s">
        <v>63</v>
      </c>
      <c r="CH391" s="3448">
        <v>41.45</v>
      </c>
      <c r="CI391" s="3449"/>
      <c r="CJ391" s="3448"/>
      <c r="CK391" s="3450"/>
      <c r="CL391" s="3451">
        <v>45175</v>
      </c>
      <c r="CM391" s="2872" t="s">
        <v>63</v>
      </c>
      <c r="CN391" s="3451">
        <v>45291</v>
      </c>
      <c r="CO391" s="2872" t="s">
        <v>63</v>
      </c>
      <c r="CP391" s="3449"/>
      <c r="CQ391" s="3744" t="s">
        <v>625</v>
      </c>
      <c r="CR391" s="3581">
        <f>STRCHECKDATE(V392:CP392)</f>
      </c>
      <c r="CS391" s="3728"/>
      <c r="CT391" s="3728" t="str">
        <f>IF(T391="","",T391)</f>
        <v>вода</v>
      </c>
      <c r="CU391" s="3728"/>
      <c r="CV391" s="3728"/>
    </row>
    <row s="8690" customFormat="1" customHeight="1" ht="0.75">
      <c r="A392" s="3716"/>
      <c r="B392" s="3716"/>
      <c r="C392" s="3716"/>
      <c r="D392" s="3716"/>
      <c r="E392" s="3717"/>
      <c r="F392" s="3717" t="s">
        <v>91</v>
      </c>
      <c r="G392" s="3717"/>
      <c r="H392" s="3717"/>
      <c r="I392" s="3739"/>
      <c r="J392" s="3739"/>
      <c r="K392" s="3730"/>
      <c r="L392" s="3719"/>
      <c r="M392" s="3573"/>
      <c r="N392" s="3573"/>
      <c r="O392" s="3573"/>
      <c r="P392" s="3732"/>
      <c r="Q392" s="3732"/>
      <c r="R392" s="3740"/>
      <c r="S392" s="3746"/>
      <c r="T392" s="3726"/>
      <c r="U392" s="3726"/>
      <c r="V392" s="3449"/>
      <c r="W392" s="3449"/>
      <c r="X392" s="3449"/>
      <c r="Y392" s="3452" t="str">
        <f>Z391&amp;"-"&amp;AB391</f>
        <v>-</v>
      </c>
      <c r="Z392" s="3453"/>
      <c r="AA392" s="2872"/>
      <c r="AB392" s="3453"/>
      <c r="AC392" s="2872"/>
      <c r="AD392" s="3449"/>
      <c r="AE392" s="3449"/>
      <c r="AF392" s="3449"/>
      <c r="AG392" s="3452" t="str">
        <f>AH391&amp;"-"&amp;AJ391</f>
        <v>44197-44377</v>
      </c>
      <c r="AH392" s="3453"/>
      <c r="AI392" s="2872"/>
      <c r="AJ392" s="3453"/>
      <c r="AK392" s="2872"/>
      <c r="AL392" s="3449"/>
      <c r="AM392" s="3449"/>
      <c r="AN392" s="3449"/>
      <c r="AO392" s="3452" t="str">
        <f>AP391&amp;"-"&amp;AR391</f>
        <v>44378-44561</v>
      </c>
      <c r="AP392" s="3453"/>
      <c r="AQ392" s="2872"/>
      <c r="AR392" s="3453"/>
      <c r="AS392" s="2872"/>
      <c r="AT392" s="3449"/>
      <c r="AU392" s="3449"/>
      <c r="AV392" s="3449"/>
      <c r="AW392" s="3452" t="str">
        <f>AX391&amp;"-"&amp;AZ391</f>
        <v>44562-44601</v>
      </c>
      <c r="AX392" s="3453"/>
      <c r="AY392" s="2872"/>
      <c r="AZ392" s="3453"/>
      <c r="BA392" s="2872"/>
      <c r="BB392" s="3449"/>
      <c r="BC392" s="3449"/>
      <c r="BD392" s="3449"/>
      <c r="BE392" s="3452" t="str">
        <f>BF391&amp;"-"&amp;BH391</f>
        <v>44602-44742</v>
      </c>
      <c r="BF392" s="3453"/>
      <c r="BG392" s="2872"/>
      <c r="BH392" s="3453"/>
      <c r="BI392" s="2872"/>
      <c r="BJ392" s="3449"/>
      <c r="BK392" s="3449"/>
      <c r="BL392" s="3449"/>
      <c r="BM392" s="3452" t="str">
        <f>BN391&amp;"-"&amp;BP391</f>
        <v>44743-44804</v>
      </c>
      <c r="BN392" s="3453"/>
      <c r="BO392" s="2872"/>
      <c r="BP392" s="3453"/>
      <c r="BQ392" s="2872"/>
      <c r="BR392" s="3449"/>
      <c r="BS392" s="3449"/>
      <c r="BT392" s="3449"/>
      <c r="BU392" s="3452" t="str">
        <f>BV391&amp;"-"&amp;BX391</f>
        <v>44805-44895</v>
      </c>
      <c r="BV392" s="3453"/>
      <c r="BW392" s="2872"/>
      <c r="BX392" s="3453"/>
      <c r="BY392" s="2872"/>
      <c r="BZ392" s="3449"/>
      <c r="CA392" s="3449"/>
      <c r="CB392" s="3449"/>
      <c r="CC392" s="3452" t="str">
        <f>CD391&amp;"-"&amp;CF391</f>
        <v>44896-45174</v>
      </c>
      <c r="CD392" s="3453"/>
      <c r="CE392" s="2872"/>
      <c r="CF392" s="3453"/>
      <c r="CG392" s="2872"/>
      <c r="CH392" s="3449"/>
      <c r="CI392" s="3449"/>
      <c r="CJ392" s="3449"/>
      <c r="CK392" s="3452" t="str">
        <f>CL391&amp;"-"&amp;CN391</f>
        <v>45175-45291</v>
      </c>
      <c r="CL392" s="3453"/>
      <c r="CM392" s="2872"/>
      <c r="CN392" s="3453"/>
      <c r="CO392" s="2872"/>
      <c r="CP392" s="3449"/>
      <c r="CQ392" s="3747"/>
      <c r="CR392" s="3581"/>
      <c r="CS392" s="3728"/>
      <c r="CT392" s="3728" t="str">
        <f>IF(T392="","",T392)</f>
        <v/>
      </c>
      <c r="CU392" s="3728"/>
      <c r="CV392" s="3728"/>
    </row>
    <row s="8691" customFormat="1" customHeight="1" ht="15">
      <c r="A393" s="3716"/>
      <c r="B393" s="3716"/>
      <c r="C393" s="3716"/>
      <c r="D393" s="3716"/>
      <c r="E393" s="3717"/>
      <c r="F393" s="3717" t="s">
        <v>91</v>
      </c>
      <c r="G393" s="3717"/>
      <c r="H393" s="3717"/>
      <c r="I393" s="3739"/>
      <c r="J393" s="3730"/>
      <c r="K393" s="3716"/>
      <c r="L393" s="3719"/>
      <c r="M393" s="3573"/>
      <c r="N393" s="3573"/>
      <c r="O393" s="3731"/>
      <c r="P393" s="3732"/>
      <c r="Q393" s="3732"/>
      <c r="R393" s="3733"/>
      <c r="S393" s="8692"/>
      <c r="T393" s="8693" t="s">
        <v>626</v>
      </c>
      <c r="U393" s="8694"/>
      <c r="V393" s="8695"/>
      <c r="W393" s="8696"/>
      <c r="X393" s="8697"/>
      <c r="Y393" s="8698"/>
      <c r="Z393" s="8699"/>
      <c r="AA393" s="8700"/>
      <c r="AB393" s="8701"/>
      <c r="AC393" s="8702"/>
      <c r="AD393" s="8703"/>
      <c r="AE393" s="8704"/>
      <c r="AF393" s="8705"/>
      <c r="AG393" s="8706"/>
      <c r="AH393" s="8707"/>
      <c r="AI393" s="8708"/>
      <c r="AJ393" s="8709"/>
      <c r="AK393" s="8710"/>
      <c r="AL393" s="8711"/>
      <c r="AM393" s="8712"/>
      <c r="AN393" s="8713"/>
      <c r="AO393" s="8714"/>
      <c r="AP393" s="8715"/>
      <c r="AQ393" s="8716"/>
      <c r="AR393" s="8717"/>
      <c r="AS393" s="8718"/>
      <c r="AT393" s="8719"/>
      <c r="AU393" s="8720"/>
      <c r="AV393" s="8721"/>
      <c r="AW393" s="8722"/>
      <c r="AX393" s="8723"/>
      <c r="AY393" s="8724"/>
      <c r="AZ393" s="8725"/>
      <c r="BA393" s="8726"/>
      <c r="BB393" s="8727"/>
      <c r="BC393" s="8728"/>
      <c r="BD393" s="8729"/>
      <c r="BE393" s="8730"/>
      <c r="BF393" s="8731"/>
      <c r="BG393" s="8732"/>
      <c r="BH393" s="8733"/>
      <c r="BI393" s="8734"/>
      <c r="BJ393" s="8735"/>
      <c r="BK393" s="8736"/>
      <c r="BL393" s="8737"/>
      <c r="BM393" s="8738"/>
      <c r="BN393" s="8739"/>
      <c r="BO393" s="8740"/>
      <c r="BP393" s="8741"/>
      <c r="BQ393" s="8742"/>
      <c r="BR393" s="8743"/>
      <c r="BS393" s="8744"/>
      <c r="BT393" s="8745"/>
      <c r="BU393" s="8746"/>
      <c r="BV393" s="8747"/>
      <c r="BW393" s="8748"/>
      <c r="BX393" s="8749"/>
      <c r="BY393" s="8750"/>
      <c r="BZ393" s="8751"/>
      <c r="CA393" s="8752"/>
      <c r="CB393" s="8753"/>
      <c r="CC393" s="8754"/>
      <c r="CD393" s="8755"/>
      <c r="CE393" s="8756"/>
      <c r="CF393" s="8757"/>
      <c r="CG393" s="8758"/>
      <c r="CH393" s="8759"/>
      <c r="CI393" s="8760"/>
      <c r="CJ393" s="8761"/>
      <c r="CK393" s="8762"/>
      <c r="CL393" s="8763"/>
      <c r="CM393" s="8764"/>
      <c r="CN393" s="8765"/>
      <c r="CO393" s="8766"/>
      <c r="CP393" s="8767"/>
      <c r="CQ393" s="3825"/>
      <c r="CR393" s="3581"/>
      <c r="CS393" s="3728"/>
      <c r="CT393" s="3728" t="str">
        <f>IF(T393="","",T393)</f>
        <v>Добавить вид теплоносителя (параметры теплоносителя)</v>
      </c>
      <c r="CU393" s="3728"/>
      <c r="CV393" s="3728"/>
    </row>
    <row s="8768" customFormat="1" customHeight="1" ht="15">
      <c r="A394" s="3716"/>
      <c r="B394" s="3716"/>
      <c r="C394" s="3716"/>
      <c r="D394" s="3716"/>
      <c r="E394" s="3717"/>
      <c r="F394" s="3717" t="s">
        <v>91</v>
      </c>
      <c r="G394" s="3717"/>
      <c r="H394" s="3717"/>
      <c r="I394" s="3730"/>
      <c r="J394" s="3716"/>
      <c r="K394" s="3716"/>
      <c r="L394" s="3719"/>
      <c r="M394" s="3573"/>
      <c r="N394" s="3731"/>
      <c r="O394" s="3731"/>
      <c r="P394" s="3732"/>
      <c r="Q394" s="3732"/>
      <c r="R394" s="3733"/>
      <c r="S394" s="8769"/>
      <c r="T394" s="8770" t="s">
        <v>627</v>
      </c>
      <c r="U394" s="8771"/>
      <c r="V394" s="8772"/>
      <c r="W394" s="8773"/>
      <c r="X394" s="8774"/>
      <c r="Y394" s="8775"/>
      <c r="Z394" s="8776"/>
      <c r="AA394" s="8777"/>
      <c r="AB394" s="8778"/>
      <c r="AC394" s="8779"/>
      <c r="AD394" s="8780"/>
      <c r="AE394" s="8781"/>
      <c r="AF394" s="8782"/>
      <c r="AG394" s="8783"/>
      <c r="AH394" s="8784"/>
      <c r="AI394" s="8785"/>
      <c r="AJ394" s="8786"/>
      <c r="AK394" s="8787"/>
      <c r="AL394" s="8788"/>
      <c r="AM394" s="8789"/>
      <c r="AN394" s="8790"/>
      <c r="AO394" s="8791"/>
      <c r="AP394" s="8792"/>
      <c r="AQ394" s="8793"/>
      <c r="AR394" s="8794"/>
      <c r="AS394" s="8795"/>
      <c r="AT394" s="8796"/>
      <c r="AU394" s="8797"/>
      <c r="AV394" s="8798"/>
      <c r="AW394" s="8799"/>
      <c r="AX394" s="8800"/>
      <c r="AY394" s="8801"/>
      <c r="AZ394" s="8802"/>
      <c r="BA394" s="8803"/>
      <c r="BB394" s="8804"/>
      <c r="BC394" s="8805"/>
      <c r="BD394" s="8806"/>
      <c r="BE394" s="8807"/>
      <c r="BF394" s="8808"/>
      <c r="BG394" s="8809"/>
      <c r="BH394" s="8810"/>
      <c r="BI394" s="8811"/>
      <c r="BJ394" s="8812"/>
      <c r="BK394" s="8813"/>
      <c r="BL394" s="8814"/>
      <c r="BM394" s="8815"/>
      <c r="BN394" s="8816"/>
      <c r="BO394" s="8817"/>
      <c r="BP394" s="8818"/>
      <c r="BQ394" s="8819"/>
      <c r="BR394" s="8820"/>
      <c r="BS394" s="8821"/>
      <c r="BT394" s="8822"/>
      <c r="BU394" s="8823"/>
      <c r="BV394" s="8824"/>
      <c r="BW394" s="8825"/>
      <c r="BX394" s="8826"/>
      <c r="BY394" s="8827"/>
      <c r="BZ394" s="8828"/>
      <c r="CA394" s="8829"/>
      <c r="CB394" s="8830"/>
      <c r="CC394" s="8831"/>
      <c r="CD394" s="8832"/>
      <c r="CE394" s="8833"/>
      <c r="CF394" s="8834"/>
      <c r="CG394" s="8835"/>
      <c r="CH394" s="8836"/>
      <c r="CI394" s="8837"/>
      <c r="CJ394" s="8838"/>
      <c r="CK394" s="8839"/>
      <c r="CL394" s="8840"/>
      <c r="CM394" s="8841"/>
      <c r="CN394" s="8842"/>
      <c r="CO394" s="8843"/>
      <c r="CP394" s="8844"/>
      <c r="CQ394" s="8845"/>
      <c r="CR394" s="3581"/>
      <c r="CS394" s="3728"/>
      <c r="CT394" s="3728" t="str">
        <f>IF(T394="","",T394)</f>
        <v>Добавить группу потребителей</v>
      </c>
      <c r="CU394" s="3728"/>
      <c r="CV394" s="3728"/>
    </row>
    <row s="8846" customFormat="1" customHeight="1" ht="14.25">
      <c r="A395" s="3716"/>
      <c r="B395" s="3716"/>
      <c r="C395" s="3716"/>
      <c r="D395" s="3716"/>
      <c r="E395" s="3717"/>
      <c r="F395" s="3717" t="s">
        <v>91</v>
      </c>
      <c r="G395" s="3717"/>
      <c r="H395" s="3718"/>
      <c r="I395" s="3716"/>
      <c r="J395" s="3716"/>
      <c r="K395" s="3716"/>
      <c r="L395" s="3719"/>
      <c r="M395" s="3720"/>
      <c r="N395" s="3720"/>
      <c r="O395" s="3573"/>
      <c r="P395" s="3905"/>
      <c r="Q395" s="3906"/>
      <c r="R395" s="3907"/>
      <c r="S395" s="3908"/>
      <c r="T395" s="3909"/>
      <c r="U395" s="3569"/>
      <c r="V395" s="3569"/>
      <c r="W395" s="3569"/>
      <c r="X395" s="3569"/>
      <c r="Y395" s="3569"/>
      <c r="Z395" s="3569"/>
      <c r="AA395" s="3569"/>
      <c r="AB395" s="3569"/>
      <c r="AC395" s="3569"/>
      <c r="AD395" s="3569"/>
      <c r="AE395" s="3569"/>
      <c r="AF395" s="3569"/>
      <c r="AG395" s="3569"/>
      <c r="AH395" s="3569"/>
      <c r="AI395" s="3569"/>
      <c r="AJ395" s="3569"/>
      <c r="AK395" s="3569"/>
      <c r="AL395" s="3569"/>
      <c r="AM395" s="3569"/>
      <c r="AN395" s="3569"/>
      <c r="AO395" s="3569"/>
      <c r="AP395" s="3569"/>
      <c r="AQ395" s="3569"/>
      <c r="AR395" s="3569"/>
      <c r="AS395" s="3569"/>
      <c r="AT395" s="3569"/>
      <c r="AU395" s="3569"/>
      <c r="AV395" s="3569"/>
      <c r="AW395" s="3569"/>
      <c r="AX395" s="3569"/>
      <c r="AY395" s="3569"/>
      <c r="AZ395" s="3569"/>
      <c r="BA395" s="3569"/>
      <c r="BB395" s="3569"/>
      <c r="BC395" s="3569"/>
      <c r="BD395" s="3569"/>
      <c r="BE395" s="3569"/>
      <c r="BF395" s="3569"/>
      <c r="BG395" s="3569"/>
      <c r="BH395" s="3569"/>
      <c r="BI395" s="3569"/>
      <c r="BJ395" s="3569"/>
      <c r="BK395" s="3569"/>
      <c r="BL395" s="3569"/>
      <c r="BM395" s="3569"/>
      <c r="BN395" s="3569"/>
      <c r="BO395" s="3569"/>
      <c r="BP395" s="3569"/>
      <c r="BQ395" s="3569"/>
      <c r="BR395" s="3569"/>
      <c r="BS395" s="3569"/>
      <c r="BT395" s="3569"/>
      <c r="BU395" s="3569"/>
      <c r="BV395" s="3569"/>
      <c r="BW395" s="3569"/>
      <c r="BX395" s="3569"/>
      <c r="BY395" s="3569"/>
      <c r="BZ395" s="3569"/>
      <c r="CA395" s="3569"/>
      <c r="CB395" s="3569"/>
      <c r="CC395" s="3569"/>
      <c r="CD395" s="3569"/>
      <c r="CE395" s="3569"/>
      <c r="CF395" s="3569"/>
      <c r="CG395" s="3569"/>
      <c r="CH395" s="3569"/>
      <c r="CI395" s="3569"/>
      <c r="CJ395" s="3569"/>
      <c r="CK395" s="3569"/>
      <c r="CL395" s="3569"/>
      <c r="CM395" s="3569"/>
      <c r="CN395" s="3569"/>
      <c r="CO395" s="3569"/>
      <c r="CP395" s="3569"/>
      <c r="CQ395" s="3910"/>
      <c r="CR395" s="3581"/>
      <c r="CS395" s="3728"/>
      <c r="CT395" s="3728" t="str">
        <f>IF(T395="","",T395)</f>
        <v/>
      </c>
      <c r="CU395" s="3728"/>
      <c r="CV395" s="3728"/>
    </row>
    <row s="8847" customFormat="1" customHeight="1" ht="0.75">
      <c r="A396" s="4239"/>
      <c r="B396" s="4239"/>
      <c r="C396" s="4239"/>
      <c r="D396" s="4239"/>
      <c r="E396" s="3717"/>
      <c r="F396" s="3717" t="s">
        <v>91</v>
      </c>
      <c r="G396" s="3718"/>
      <c r="H396" s="4239"/>
      <c r="I396" s="4239"/>
      <c r="J396" s="4239"/>
      <c r="K396" s="4239"/>
      <c r="L396" s="4240"/>
      <c r="M396" s="4241"/>
      <c r="N396" s="4241"/>
      <c r="O396" s="3581"/>
      <c r="P396" s="4242"/>
      <c r="Q396" s="4243"/>
      <c r="R396" s="4242"/>
      <c r="S396" s="4244"/>
      <c r="T396" s="4245" t="s">
        <v>254</v>
      </c>
      <c r="U396" s="3571"/>
      <c r="V396" s="3571"/>
      <c r="W396" s="3571"/>
      <c r="X396" s="3571"/>
      <c r="Y396" s="3571"/>
      <c r="Z396" s="3571"/>
      <c r="AA396" s="3571"/>
      <c r="AB396" s="3571"/>
      <c r="AC396" s="3571"/>
      <c r="AD396" s="3571"/>
      <c r="AE396" s="3571"/>
      <c r="AF396" s="3571"/>
      <c r="AG396" s="3571"/>
      <c r="AH396" s="3571"/>
      <c r="AI396" s="3571"/>
      <c r="AJ396" s="3571"/>
      <c r="AK396" s="3571"/>
      <c r="AL396" s="3571"/>
      <c r="AM396" s="3571"/>
      <c r="AN396" s="3571"/>
      <c r="AO396" s="3571"/>
      <c r="AP396" s="3571"/>
      <c r="AQ396" s="3571"/>
      <c r="AR396" s="3571"/>
      <c r="AS396" s="3571"/>
      <c r="AT396" s="3571"/>
      <c r="AU396" s="3571"/>
      <c r="AV396" s="3571"/>
      <c r="AW396" s="3571"/>
      <c r="AX396" s="3571"/>
      <c r="AY396" s="3571"/>
      <c r="AZ396" s="3571"/>
      <c r="BA396" s="3571"/>
      <c r="BB396" s="3571"/>
      <c r="BC396" s="3571"/>
      <c r="BD396" s="3571"/>
      <c r="BE396" s="3571"/>
      <c r="BF396" s="3571"/>
      <c r="BG396" s="3571"/>
      <c r="BH396" s="3571"/>
      <c r="BI396" s="3571"/>
      <c r="BJ396" s="3571"/>
      <c r="BK396" s="3571"/>
      <c r="BL396" s="3571"/>
      <c r="BM396" s="3571"/>
      <c r="BN396" s="3571"/>
      <c r="BO396" s="3571"/>
      <c r="BP396" s="3571"/>
      <c r="BQ396" s="3571"/>
      <c r="BR396" s="3571"/>
      <c r="BS396" s="3571"/>
      <c r="BT396" s="3571"/>
      <c r="BU396" s="3571"/>
      <c r="BV396" s="3571"/>
      <c r="BW396" s="3571"/>
      <c r="BX396" s="3571"/>
      <c r="BY396" s="3571"/>
      <c r="BZ396" s="3571"/>
      <c r="CA396" s="3571"/>
      <c r="CB396" s="3571"/>
      <c r="CC396" s="3571"/>
      <c r="CD396" s="3571"/>
      <c r="CE396" s="3571"/>
      <c r="CF396" s="3571"/>
      <c r="CG396" s="3571"/>
      <c r="CH396" s="3571"/>
      <c r="CI396" s="3571"/>
      <c r="CJ396" s="3571"/>
      <c r="CK396" s="3571"/>
      <c r="CL396" s="3571"/>
      <c r="CM396" s="3571"/>
      <c r="CN396" s="3571"/>
      <c r="CO396" s="3571"/>
      <c r="CP396" s="3571"/>
      <c r="CQ396" s="3571"/>
      <c r="CR396" s="3581"/>
      <c r="CS396" s="3728"/>
      <c r="CT396" s="3728" t="str">
        <f>IF(T396="","",T396)</f>
        <v>Добавить источник для дифференциации</v>
      </c>
      <c r="CU396" s="3728"/>
      <c r="CV396" s="3728"/>
    </row>
    <row s="8848" customFormat="1" customHeight="1" ht="0.75">
      <c r="A397" s="4239"/>
      <c r="B397" s="4239"/>
      <c r="C397" s="4239"/>
      <c r="D397" s="4239"/>
      <c r="E397" s="3717"/>
      <c r="F397" s="3718" t="s">
        <v>91</v>
      </c>
      <c r="G397" s="4239"/>
      <c r="H397" s="4239"/>
      <c r="I397" s="4239"/>
      <c r="J397" s="4239"/>
      <c r="K397" s="4239"/>
      <c r="L397" s="4240"/>
      <c r="M397" s="4247"/>
      <c r="N397" s="4247"/>
      <c r="O397" s="3581"/>
      <c r="P397" s="4242"/>
      <c r="Q397" s="4243"/>
      <c r="R397" s="4242"/>
      <c r="S397" s="4248"/>
      <c r="T397" s="4249" t="s">
        <v>255</v>
      </c>
      <c r="U397" s="3572"/>
      <c r="V397" s="3572"/>
      <c r="W397" s="3572"/>
      <c r="X397" s="3572"/>
      <c r="Y397" s="3572"/>
      <c r="Z397" s="3572"/>
      <c r="AA397" s="3572"/>
      <c r="AB397" s="3572"/>
      <c r="AC397" s="3572"/>
      <c r="AD397" s="3572"/>
      <c r="AE397" s="3572"/>
      <c r="AF397" s="3572"/>
      <c r="AG397" s="3572"/>
      <c r="AH397" s="3572"/>
      <c r="AI397" s="3572"/>
      <c r="AJ397" s="3572"/>
      <c r="AK397" s="3572"/>
      <c r="AL397" s="3572"/>
      <c r="AM397" s="3572"/>
      <c r="AN397" s="3572"/>
      <c r="AO397" s="3572"/>
      <c r="AP397" s="3572"/>
      <c r="AQ397" s="3572"/>
      <c r="AR397" s="3572"/>
      <c r="AS397" s="3572"/>
      <c r="AT397" s="3572"/>
      <c r="AU397" s="3572"/>
      <c r="AV397" s="3572"/>
      <c r="AW397" s="3572"/>
      <c r="AX397" s="3572"/>
      <c r="AY397" s="3572"/>
      <c r="AZ397" s="3572"/>
      <c r="BA397" s="3572"/>
      <c r="BB397" s="3572"/>
      <c r="BC397" s="3572"/>
      <c r="BD397" s="3572"/>
      <c r="BE397" s="3572"/>
      <c r="BF397" s="3572"/>
      <c r="BG397" s="3572"/>
      <c r="BH397" s="3572"/>
      <c r="BI397" s="3572"/>
      <c r="BJ397" s="3572"/>
      <c r="BK397" s="3572"/>
      <c r="BL397" s="3572"/>
      <c r="BM397" s="3572"/>
      <c r="BN397" s="3572"/>
      <c r="BO397" s="3572"/>
      <c r="BP397" s="3572"/>
      <c r="BQ397" s="3572"/>
      <c r="BR397" s="3572"/>
      <c r="BS397" s="3572"/>
      <c r="BT397" s="3572"/>
      <c r="BU397" s="3572"/>
      <c r="BV397" s="3572"/>
      <c r="BW397" s="3572"/>
      <c r="BX397" s="3572"/>
      <c r="BY397" s="3572"/>
      <c r="BZ397" s="3572"/>
      <c r="CA397" s="3572"/>
      <c r="CB397" s="3572"/>
      <c r="CC397" s="3572"/>
      <c r="CD397" s="3572"/>
      <c r="CE397" s="3572"/>
      <c r="CF397" s="3572"/>
      <c r="CG397" s="3572"/>
      <c r="CH397" s="3572"/>
      <c r="CI397" s="3572"/>
      <c r="CJ397" s="3572"/>
      <c r="CK397" s="3572"/>
      <c r="CL397" s="3572"/>
      <c r="CM397" s="3572"/>
      <c r="CN397" s="3572"/>
      <c r="CO397" s="3572"/>
      <c r="CP397" s="3572"/>
      <c r="CQ397" s="3572"/>
      <c r="CR397" s="3581"/>
      <c r="CS397" s="3728"/>
      <c r="CT397" s="3728" t="str">
        <f>IF(T397="","",T397)</f>
        <v>Добавить централизованную систему для дифференциации</v>
      </c>
      <c r="CU397" s="3728"/>
      <c r="CV397" s="3728"/>
    </row>
    <row s="8849" customFormat="1" customHeight="1" ht="21">
      <c r="A398" s="3716"/>
      <c r="B398" s="3716" t="s">
        <v>346</v>
      </c>
      <c r="C398" s="3716"/>
      <c r="D398" s="3716"/>
      <c r="E398" s="3717"/>
      <c r="F398" s="3718" t="s">
        <v>116</v>
      </c>
      <c r="G398" s="3716"/>
      <c r="H398" s="3716"/>
      <c r="I398" s="3716"/>
      <c r="J398" s="3716"/>
      <c r="K398" s="3716"/>
      <c r="L398" s="3719"/>
      <c r="M398" s="3720"/>
      <c r="N398" s="3720"/>
      <c r="O398" s="3720"/>
      <c r="P398" s="4073"/>
      <c r="Q398" s="3722"/>
      <c r="R398" s="3723"/>
      <c r="S398" s="3724" t="str">
        <f>INDEX(PT_DIFFERENTIATION_NUM_TER,MATCH(B398,PT_DIFFERENTIATION_TER_ID,0))</f>
        <v>2.5</v>
      </c>
      <c r="T398" s="4074" t="s">
        <v>612</v>
      </c>
      <c r="U398" s="3726"/>
      <c r="V398" s="3432"/>
      <c r="W398" s="3433"/>
      <c r="X398" s="3433"/>
      <c r="Y398" s="3433"/>
      <c r="Z398" s="3433"/>
      <c r="AA398" s="3433"/>
      <c r="AB398" s="3433"/>
      <c r="AC398" s="3434"/>
      <c r="AD398" s="3432" t="str">
        <f>INDEX(PT_DIFFERENTIATION_TER,MATCH(B398,PT_DIFFERENTIATION_TER_ID,0))</f>
        <v>Территория 5</v>
      </c>
      <c r="AE398" s="3433"/>
      <c r="AF398" s="3433"/>
      <c r="AG398" s="3433"/>
      <c r="AH398" s="3433"/>
      <c r="AI398" s="3433"/>
      <c r="AJ398" s="3433"/>
      <c r="AK398" s="3433"/>
      <c r="AL398" s="3432"/>
      <c r="AM398" s="3433"/>
      <c r="AN398" s="3433"/>
      <c r="AO398" s="3433"/>
      <c r="AP398" s="3433"/>
      <c r="AQ398" s="3433"/>
      <c r="AR398" s="3433"/>
      <c r="AS398" s="3434"/>
      <c r="AT398" s="3432"/>
      <c r="AU398" s="3433"/>
      <c r="AV398" s="3433"/>
      <c r="AW398" s="3433"/>
      <c r="AX398" s="3433"/>
      <c r="AY398" s="3433"/>
      <c r="AZ398" s="3433"/>
      <c r="BA398" s="3434"/>
      <c r="BB398" s="3432"/>
      <c r="BC398" s="3433"/>
      <c r="BD398" s="3433"/>
      <c r="BE398" s="3433"/>
      <c r="BF398" s="3433"/>
      <c r="BG398" s="3433"/>
      <c r="BH398" s="3433"/>
      <c r="BI398" s="3434"/>
      <c r="BJ398" s="3432"/>
      <c r="BK398" s="3433"/>
      <c r="BL398" s="3433"/>
      <c r="BM398" s="3433"/>
      <c r="BN398" s="3433"/>
      <c r="BO398" s="3433"/>
      <c r="BP398" s="3433"/>
      <c r="BQ398" s="3434"/>
      <c r="BR398" s="3432"/>
      <c r="BS398" s="3433"/>
      <c r="BT398" s="3433"/>
      <c r="BU398" s="3433"/>
      <c r="BV398" s="3433"/>
      <c r="BW398" s="3433"/>
      <c r="BX398" s="3433"/>
      <c r="BY398" s="3434"/>
      <c r="BZ398" s="3432"/>
      <c r="CA398" s="3433"/>
      <c r="CB398" s="3433"/>
      <c r="CC398" s="3433"/>
      <c r="CD398" s="3433"/>
      <c r="CE398" s="3433"/>
      <c r="CF398" s="3433"/>
      <c r="CG398" s="3434"/>
      <c r="CH398" s="3432"/>
      <c r="CI398" s="3433"/>
      <c r="CJ398" s="3433"/>
      <c r="CK398" s="3433"/>
      <c r="CL398" s="3433"/>
      <c r="CM398" s="3433"/>
      <c r="CN398" s="3433"/>
      <c r="CO398" s="3434"/>
      <c r="CP398" s="3434"/>
      <c r="CQ398" s="3727" t="s">
        <v>613</v>
      </c>
      <c r="CR398" s="3581"/>
      <c r="CS398" s="3728"/>
      <c r="CT398" s="3728" t="str">
        <f>IF(T398="","",T398)</f>
        <v>Территория действия тарифа</v>
      </c>
      <c r="CU398" s="3728"/>
      <c r="CV398" s="3728"/>
    </row>
    <row s="8850" customFormat="1" customHeight="1" ht="23.25">
      <c r="A399" s="3716"/>
      <c r="B399" s="3716"/>
      <c r="C399" s="3716" t="s">
        <v>347</v>
      </c>
      <c r="D399" s="3716"/>
      <c r="E399" s="3717"/>
      <c r="F399" s="3717" t="s">
        <v>92</v>
      </c>
      <c r="G399" s="3718">
        <v>1</v>
      </c>
      <c r="H399" s="3716"/>
      <c r="I399" s="3716"/>
      <c r="J399" s="3716"/>
      <c r="K399" s="3716"/>
      <c r="L399" s="3719"/>
      <c r="M399" s="3720"/>
      <c r="N399" s="3720"/>
      <c r="O399" s="3720"/>
      <c r="P399" s="3721"/>
      <c r="Q399" s="3722"/>
      <c r="R399" s="3723"/>
      <c r="S399" s="3724" t="str">
        <f>INDEX(PT_DIFFERENTIATION_NUM_CS,MATCH(C399,PT_DIFFERENTIATION_CS_ID,0))</f>
        <v>2.5.1</v>
      </c>
      <c r="T399" s="4076" t="s">
        <v>614</v>
      </c>
      <c r="U399" s="3726"/>
      <c r="V399" s="3432"/>
      <c r="W399" s="3433"/>
      <c r="X399" s="3433"/>
      <c r="Y399" s="3433"/>
      <c r="Z399" s="3433"/>
      <c r="AA399" s="3433"/>
      <c r="AB399" s="3433"/>
      <c r="AC399" s="3434"/>
      <c r="AD399" s="3432" t="str">
        <f>INDEX(PT_DIFFERENTIATION_CS,MATCH(C399,PT_DIFFERENTIATION_CS_ID,0))</f>
        <v>без дифференциации</v>
      </c>
      <c r="AE399" s="3433"/>
      <c r="AF399" s="3433"/>
      <c r="AG399" s="3433"/>
      <c r="AH399" s="3433"/>
      <c r="AI399" s="3433"/>
      <c r="AJ399" s="3433"/>
      <c r="AK399" s="3433"/>
      <c r="AL399" s="3432"/>
      <c r="AM399" s="3433"/>
      <c r="AN399" s="3433"/>
      <c r="AO399" s="3433"/>
      <c r="AP399" s="3433"/>
      <c r="AQ399" s="3433"/>
      <c r="AR399" s="3433"/>
      <c r="AS399" s="3434"/>
      <c r="AT399" s="3432"/>
      <c r="AU399" s="3433"/>
      <c r="AV399" s="3433"/>
      <c r="AW399" s="3433"/>
      <c r="AX399" s="3433"/>
      <c r="AY399" s="3433"/>
      <c r="AZ399" s="3433"/>
      <c r="BA399" s="3434"/>
      <c r="BB399" s="3432"/>
      <c r="BC399" s="3433"/>
      <c r="BD399" s="3433"/>
      <c r="BE399" s="3433"/>
      <c r="BF399" s="3433"/>
      <c r="BG399" s="3433"/>
      <c r="BH399" s="3433"/>
      <c r="BI399" s="3434"/>
      <c r="BJ399" s="3432"/>
      <c r="BK399" s="3433"/>
      <c r="BL399" s="3433"/>
      <c r="BM399" s="3433"/>
      <c r="BN399" s="3433"/>
      <c r="BO399" s="3433"/>
      <c r="BP399" s="3433"/>
      <c r="BQ399" s="3434"/>
      <c r="BR399" s="3432"/>
      <c r="BS399" s="3433"/>
      <c r="BT399" s="3433"/>
      <c r="BU399" s="3433"/>
      <c r="BV399" s="3433"/>
      <c r="BW399" s="3433"/>
      <c r="BX399" s="3433"/>
      <c r="BY399" s="3434"/>
      <c r="BZ399" s="3432"/>
      <c r="CA399" s="3433"/>
      <c r="CB399" s="3433"/>
      <c r="CC399" s="3433"/>
      <c r="CD399" s="3433"/>
      <c r="CE399" s="3433"/>
      <c r="CF399" s="3433"/>
      <c r="CG399" s="3434"/>
      <c r="CH399" s="3432"/>
      <c r="CI399" s="3433"/>
      <c r="CJ399" s="3433"/>
      <c r="CK399" s="3433"/>
      <c r="CL399" s="3433"/>
      <c r="CM399" s="3433"/>
      <c r="CN399" s="3433"/>
      <c r="CO399" s="3434"/>
      <c r="CP399" s="3434"/>
      <c r="CQ399" s="3727" t="s">
        <v>615</v>
      </c>
      <c r="CR399" s="3581"/>
      <c r="CS399" s="3728"/>
      <c r="CT399" s="3728" t="str">
        <f>IF(T399="","",T399)</f>
        <v>Наименование системы теплоснабжения </v>
      </c>
      <c r="CU399" s="3728"/>
      <c r="CV399" s="3728"/>
    </row>
    <row s="8851" customFormat="1" customHeight="1" ht="21">
      <c r="A400" s="3716"/>
      <c r="B400" s="3716"/>
      <c r="C400" s="3716"/>
      <c r="D400" s="3716" t="s">
        <v>348</v>
      </c>
      <c r="E400" s="3717"/>
      <c r="F400" s="3717" t="s">
        <v>92</v>
      </c>
      <c r="G400" s="3717"/>
      <c r="H400" s="3718">
        <v>1</v>
      </c>
      <c r="I400" s="3716"/>
      <c r="J400" s="3716"/>
      <c r="K400" s="3716"/>
      <c r="L400" s="3719"/>
      <c r="M400" s="3720"/>
      <c r="N400" s="3720"/>
      <c r="O400" s="3720"/>
      <c r="P400" s="3721"/>
      <c r="Q400" s="3722"/>
      <c r="R400" s="3723"/>
      <c r="S400" s="3724" t="str">
        <f>INDEX(PT_DIFFERENTIATION_NUM_IST_TE,MATCH(D400,PT_DIFFERENTIATION_IST_TE_ID,0))</f>
        <v>2.5.1.1</v>
      </c>
      <c r="T400" s="3725" t="s">
        <v>616</v>
      </c>
      <c r="U400" s="3726"/>
      <c r="V400" s="3432"/>
      <c r="W400" s="3433"/>
      <c r="X400" s="3433"/>
      <c r="Y400" s="3433"/>
      <c r="Z400" s="3433"/>
      <c r="AA400" s="3433"/>
      <c r="AB400" s="3433"/>
      <c r="AC400" s="3434"/>
      <c r="AD400" s="3432" t="str">
        <f>INDEX(PT_DIFFERENTIATION_IST_TE,MATCH(D400,PT_DIFFERENTIATION_IST_TE_ID,0))</f>
        <v>без дифференциации</v>
      </c>
      <c r="AE400" s="3433"/>
      <c r="AF400" s="3433"/>
      <c r="AG400" s="3433"/>
      <c r="AH400" s="3433"/>
      <c r="AI400" s="3433"/>
      <c r="AJ400" s="3433"/>
      <c r="AK400" s="3433"/>
      <c r="AL400" s="3432"/>
      <c r="AM400" s="3433"/>
      <c r="AN400" s="3433"/>
      <c r="AO400" s="3433"/>
      <c r="AP400" s="3433"/>
      <c r="AQ400" s="3433"/>
      <c r="AR400" s="3433"/>
      <c r="AS400" s="3434"/>
      <c r="AT400" s="3432"/>
      <c r="AU400" s="3433"/>
      <c r="AV400" s="3433"/>
      <c r="AW400" s="3433"/>
      <c r="AX400" s="3433"/>
      <c r="AY400" s="3433"/>
      <c r="AZ400" s="3433"/>
      <c r="BA400" s="3434"/>
      <c r="BB400" s="3432"/>
      <c r="BC400" s="3433"/>
      <c r="BD400" s="3433"/>
      <c r="BE400" s="3433"/>
      <c r="BF400" s="3433"/>
      <c r="BG400" s="3433"/>
      <c r="BH400" s="3433"/>
      <c r="BI400" s="3434"/>
      <c r="BJ400" s="3432"/>
      <c r="BK400" s="3433"/>
      <c r="BL400" s="3433"/>
      <c r="BM400" s="3433"/>
      <c r="BN400" s="3433"/>
      <c r="BO400" s="3433"/>
      <c r="BP400" s="3433"/>
      <c r="BQ400" s="3434"/>
      <c r="BR400" s="3432"/>
      <c r="BS400" s="3433"/>
      <c r="BT400" s="3433"/>
      <c r="BU400" s="3433"/>
      <c r="BV400" s="3433"/>
      <c r="BW400" s="3433"/>
      <c r="BX400" s="3433"/>
      <c r="BY400" s="3434"/>
      <c r="BZ400" s="3432"/>
      <c r="CA400" s="3433"/>
      <c r="CB400" s="3433"/>
      <c r="CC400" s="3433"/>
      <c r="CD400" s="3433"/>
      <c r="CE400" s="3433"/>
      <c r="CF400" s="3433"/>
      <c r="CG400" s="3434"/>
      <c r="CH400" s="3432"/>
      <c r="CI400" s="3433"/>
      <c r="CJ400" s="3433"/>
      <c r="CK400" s="3433"/>
      <c r="CL400" s="3433"/>
      <c r="CM400" s="3433"/>
      <c r="CN400" s="3433"/>
      <c r="CO400" s="3434"/>
      <c r="CP400" s="3434"/>
      <c r="CQ400" s="3727" t="s">
        <v>617</v>
      </c>
      <c r="CR400" s="3581"/>
      <c r="CS400" s="3728"/>
      <c r="CT400" s="3728" t="str">
        <f>IF(T400="","",T400)</f>
        <v>Источник тепловой энергии  </v>
      </c>
      <c r="CU400" s="3728"/>
      <c r="CV400" s="3728"/>
    </row>
    <row s="8852" customFormat="1" customHeight="1" ht="14.25">
      <c r="A401" s="3716"/>
      <c r="B401" s="3716"/>
      <c r="C401" s="3716"/>
      <c r="D401" s="3716"/>
      <c r="E401" s="3717"/>
      <c r="F401" s="3717" t="s">
        <v>92</v>
      </c>
      <c r="G401" s="3717"/>
      <c r="H401" s="3717"/>
      <c r="I401" s="3730" t="str">
        <f>S400&amp;".1"</f>
        <v>2.5.1.1.1</v>
      </c>
      <c r="J401" s="3716"/>
      <c r="K401" s="3716"/>
      <c r="L401" s="3719" t="s">
        <v>618</v>
      </c>
      <c r="M401" s="3573"/>
      <c r="N401" s="3731"/>
      <c r="O401" s="3731"/>
      <c r="P401" s="3732">
        <v>1</v>
      </c>
      <c r="Q401" s="3732"/>
      <c r="R401" s="3733"/>
      <c r="S401" s="3734"/>
      <c r="T401" s="3735"/>
      <c r="U401" s="3736"/>
      <c r="V401" s="3441"/>
      <c r="W401" s="3442"/>
      <c r="X401" s="3442"/>
      <c r="Y401" s="3442"/>
      <c r="Z401" s="3442"/>
      <c r="AA401" s="3442"/>
      <c r="AB401" s="3442"/>
      <c r="AC401" s="3443"/>
      <c r="AD401" s="3441"/>
      <c r="AE401" s="3442"/>
      <c r="AF401" s="3442"/>
      <c r="AG401" s="3442"/>
      <c r="AH401" s="3442"/>
      <c r="AI401" s="3442"/>
      <c r="AJ401" s="3442"/>
      <c r="AK401" s="3442"/>
      <c r="AL401" s="3441"/>
      <c r="AM401" s="3442"/>
      <c r="AN401" s="3442"/>
      <c r="AO401" s="3442"/>
      <c r="AP401" s="3442"/>
      <c r="AQ401" s="3442"/>
      <c r="AR401" s="3442"/>
      <c r="AS401" s="3443"/>
      <c r="AT401" s="3441"/>
      <c r="AU401" s="3442"/>
      <c r="AV401" s="3442"/>
      <c r="AW401" s="3442"/>
      <c r="AX401" s="3442"/>
      <c r="AY401" s="3442"/>
      <c r="AZ401" s="3442"/>
      <c r="BA401" s="3443"/>
      <c r="BB401" s="3441"/>
      <c r="BC401" s="3442"/>
      <c r="BD401" s="3442"/>
      <c r="BE401" s="3442"/>
      <c r="BF401" s="3442"/>
      <c r="BG401" s="3442"/>
      <c r="BH401" s="3442"/>
      <c r="BI401" s="3443"/>
      <c r="BJ401" s="3441"/>
      <c r="BK401" s="3442"/>
      <c r="BL401" s="3442"/>
      <c r="BM401" s="3442"/>
      <c r="BN401" s="3442"/>
      <c r="BO401" s="3442"/>
      <c r="BP401" s="3442"/>
      <c r="BQ401" s="3443"/>
      <c r="BR401" s="3441"/>
      <c r="BS401" s="3442"/>
      <c r="BT401" s="3442"/>
      <c r="BU401" s="3442"/>
      <c r="BV401" s="3442"/>
      <c r="BW401" s="3442"/>
      <c r="BX401" s="3442"/>
      <c r="BY401" s="3443"/>
      <c r="BZ401" s="3441"/>
      <c r="CA401" s="3442"/>
      <c r="CB401" s="3442"/>
      <c r="CC401" s="3442"/>
      <c r="CD401" s="3442"/>
      <c r="CE401" s="3442"/>
      <c r="CF401" s="3442"/>
      <c r="CG401" s="3443"/>
      <c r="CH401" s="3441"/>
      <c r="CI401" s="3442"/>
      <c r="CJ401" s="3442"/>
      <c r="CK401" s="3442"/>
      <c r="CL401" s="3442"/>
      <c r="CM401" s="3442"/>
      <c r="CN401" s="3442"/>
      <c r="CO401" s="3443"/>
      <c r="CP401" s="3443"/>
      <c r="CQ401" s="3737"/>
      <c r="CR401" s="3581"/>
      <c r="CS401" s="3728"/>
      <c r="CT401" s="3728" t="str">
        <f>IF(T401="","",T401)</f>
        <v/>
      </c>
      <c r="CU401" s="3728"/>
      <c r="CV401" s="3728"/>
    </row>
    <row s="8853" customFormat="1" customHeight="1" ht="21">
      <c r="A402" s="3716"/>
      <c r="B402" s="3716"/>
      <c r="C402" s="3716"/>
      <c r="D402" s="3716"/>
      <c r="E402" s="3717"/>
      <c r="F402" s="3717" t="s">
        <v>92</v>
      </c>
      <c r="G402" s="3717"/>
      <c r="H402" s="3717"/>
      <c r="I402" s="3739"/>
      <c r="J402" s="3730" t="str">
        <f>I401&amp;".1"</f>
        <v>2.5.1.1.1.1</v>
      </c>
      <c r="K402" s="3716"/>
      <c r="L402" s="3719" t="s">
        <v>621</v>
      </c>
      <c r="M402" s="3573"/>
      <c r="N402" s="3573"/>
      <c r="O402" s="3731"/>
      <c r="P402" s="3732"/>
      <c r="Q402" s="3732">
        <v>1</v>
      </c>
      <c r="R402" s="3740"/>
      <c r="S402" s="3724" t="str">
        <f>$J402</f>
        <v>2.5.1.1.1.1</v>
      </c>
      <c r="T402" s="3741" t="s">
        <v>622</v>
      </c>
      <c r="U402" s="3726"/>
      <c r="V402" s="3445"/>
      <c r="W402" s="3446"/>
      <c r="X402" s="3446"/>
      <c r="Y402" s="3446"/>
      <c r="Z402" s="3446"/>
      <c r="AA402" s="3446"/>
      <c r="AB402" s="3446"/>
      <c r="AC402" s="3447"/>
      <c r="AD402" s="3445" t="s">
        <v>665</v>
      </c>
      <c r="AE402" s="3446"/>
      <c r="AF402" s="3446"/>
      <c r="AG402" s="3446"/>
      <c r="AH402" s="3446"/>
      <c r="AI402" s="3446"/>
      <c r="AJ402" s="3446"/>
      <c r="AK402" s="3446"/>
      <c r="AL402" s="3445"/>
      <c r="AM402" s="3446"/>
      <c r="AN402" s="3446"/>
      <c r="AO402" s="3446"/>
      <c r="AP402" s="3446"/>
      <c r="AQ402" s="3446"/>
      <c r="AR402" s="3446"/>
      <c r="AS402" s="3447"/>
      <c r="AT402" s="3445"/>
      <c r="AU402" s="3446"/>
      <c r="AV402" s="3446"/>
      <c r="AW402" s="3446"/>
      <c r="AX402" s="3446"/>
      <c r="AY402" s="3446"/>
      <c r="AZ402" s="3446"/>
      <c r="BA402" s="3447"/>
      <c r="BB402" s="3445"/>
      <c r="BC402" s="3446"/>
      <c r="BD402" s="3446"/>
      <c r="BE402" s="3446"/>
      <c r="BF402" s="3446"/>
      <c r="BG402" s="3446"/>
      <c r="BH402" s="3446"/>
      <c r="BI402" s="3447"/>
      <c r="BJ402" s="3445"/>
      <c r="BK402" s="3446"/>
      <c r="BL402" s="3446"/>
      <c r="BM402" s="3446"/>
      <c r="BN402" s="3446"/>
      <c r="BO402" s="3446"/>
      <c r="BP402" s="3446"/>
      <c r="BQ402" s="3447"/>
      <c r="BR402" s="3445"/>
      <c r="BS402" s="3446"/>
      <c r="BT402" s="3446"/>
      <c r="BU402" s="3446"/>
      <c r="BV402" s="3446"/>
      <c r="BW402" s="3446"/>
      <c r="BX402" s="3446"/>
      <c r="BY402" s="3447"/>
      <c r="BZ402" s="3445"/>
      <c r="CA402" s="3446"/>
      <c r="CB402" s="3446"/>
      <c r="CC402" s="3446"/>
      <c r="CD402" s="3446"/>
      <c r="CE402" s="3446"/>
      <c r="CF402" s="3446"/>
      <c r="CG402" s="3447"/>
      <c r="CH402" s="3445"/>
      <c r="CI402" s="3446"/>
      <c r="CJ402" s="3446"/>
      <c r="CK402" s="3446"/>
      <c r="CL402" s="3446"/>
      <c r="CM402" s="3446"/>
      <c r="CN402" s="3446"/>
      <c r="CO402" s="3447"/>
      <c r="CP402" s="3447"/>
      <c r="CQ402" s="3727" t="s">
        <v>623</v>
      </c>
      <c r="CR402" s="3581"/>
      <c r="CS402" s="3728"/>
      <c r="CT402" s="3728" t="str">
        <f>IF(T402="","",T402)</f>
        <v>Группа потребителей</v>
      </c>
      <c r="CU402" s="3728"/>
      <c r="CV402" s="3728"/>
    </row>
    <row s="8854" customFormat="1" customHeight="1" ht="21">
      <c r="A403" s="3716"/>
      <c r="B403" s="3716"/>
      <c r="C403" s="3716"/>
      <c r="D403" s="3716"/>
      <c r="E403" s="3717"/>
      <c r="F403" s="3717" t="s">
        <v>92</v>
      </c>
      <c r="G403" s="3717"/>
      <c r="H403" s="3717"/>
      <c r="I403" s="3739"/>
      <c r="J403" s="3739"/>
      <c r="K403" s="3730" t="str">
        <f>J402&amp;".1"</f>
        <v>2.5.1.1.1.1.1</v>
      </c>
      <c r="L403" s="3719" t="s">
        <v>624</v>
      </c>
      <c r="M403" s="3573"/>
      <c r="N403" s="3573"/>
      <c r="O403" s="3573"/>
      <c r="P403" s="3732"/>
      <c r="Q403" s="3732"/>
      <c r="R403" s="3740">
        <v>1</v>
      </c>
      <c r="S403" s="3724" t="str">
        <f>$K403</f>
        <v>2.5.1.1.1.1.1</v>
      </c>
      <c r="T403" s="3743" t="s">
        <v>663</v>
      </c>
      <c r="U403" s="3726"/>
      <c r="V403" s="3448"/>
      <c r="W403" s="3449"/>
      <c r="X403" s="3448"/>
      <c r="Y403" s="3450"/>
      <c r="Z403" s="3451"/>
      <c r="AA403" s="2872" t="s">
        <v>63</v>
      </c>
      <c r="AB403" s="3451"/>
      <c r="AC403" s="2872" t="s">
        <v>63</v>
      </c>
      <c r="AD403" s="3448">
        <v>32.92</v>
      </c>
      <c r="AE403" s="3449"/>
      <c r="AF403" s="3448"/>
      <c r="AG403" s="3450"/>
      <c r="AH403" s="3451">
        <v>44197</v>
      </c>
      <c r="AI403" s="2872" t="s">
        <v>63</v>
      </c>
      <c r="AJ403" s="3451">
        <v>44377</v>
      </c>
      <c r="AK403" s="2872" t="s">
        <v>63</v>
      </c>
      <c r="AL403" s="3448">
        <v>36.2</v>
      </c>
      <c r="AM403" s="3449"/>
      <c r="AN403" s="3448"/>
      <c r="AO403" s="3450"/>
      <c r="AP403" s="3451">
        <v>44378</v>
      </c>
      <c r="AQ403" s="2872" t="s">
        <v>63</v>
      </c>
      <c r="AR403" s="3451">
        <v>44561</v>
      </c>
      <c r="AS403" s="2872" t="s">
        <v>63</v>
      </c>
      <c r="AT403" s="3448">
        <v>36.2</v>
      </c>
      <c r="AU403" s="3449"/>
      <c r="AV403" s="3448"/>
      <c r="AW403" s="3450"/>
      <c r="AX403" s="3451">
        <v>44562</v>
      </c>
      <c r="AY403" s="2872" t="s">
        <v>63</v>
      </c>
      <c r="AZ403" s="3451">
        <v>44601</v>
      </c>
      <c r="BA403" s="2872" t="s">
        <v>63</v>
      </c>
      <c r="BB403" s="3448">
        <v>36.2</v>
      </c>
      <c r="BC403" s="3449"/>
      <c r="BD403" s="3448"/>
      <c r="BE403" s="3450"/>
      <c r="BF403" s="3451">
        <v>44602</v>
      </c>
      <c r="BG403" s="2872" t="s">
        <v>63</v>
      </c>
      <c r="BH403" s="3451">
        <v>44742</v>
      </c>
      <c r="BI403" s="2872" t="s">
        <v>63</v>
      </c>
      <c r="BJ403" s="3448">
        <v>39.1</v>
      </c>
      <c r="BK403" s="3449"/>
      <c r="BL403" s="3448"/>
      <c r="BM403" s="3450"/>
      <c r="BN403" s="3451">
        <v>44743</v>
      </c>
      <c r="BO403" s="2872" t="s">
        <v>63</v>
      </c>
      <c r="BP403" s="3451">
        <v>44804</v>
      </c>
      <c r="BQ403" s="2872" t="s">
        <v>63</v>
      </c>
      <c r="BR403" s="3448">
        <v>39.1</v>
      </c>
      <c r="BS403" s="3449"/>
      <c r="BT403" s="3448"/>
      <c r="BU403" s="3450"/>
      <c r="BV403" s="3451">
        <v>44805</v>
      </c>
      <c r="BW403" s="2872" t="s">
        <v>63</v>
      </c>
      <c r="BX403" s="3451">
        <v>44895</v>
      </c>
      <c r="BY403" s="2872" t="s">
        <v>63</v>
      </c>
      <c r="BZ403" s="3448">
        <v>41.45</v>
      </c>
      <c r="CA403" s="3449"/>
      <c r="CB403" s="3448"/>
      <c r="CC403" s="3450"/>
      <c r="CD403" s="3451">
        <v>44896</v>
      </c>
      <c r="CE403" s="2872" t="s">
        <v>63</v>
      </c>
      <c r="CF403" s="3451">
        <v>45174</v>
      </c>
      <c r="CG403" s="2872" t="s">
        <v>63</v>
      </c>
      <c r="CH403" s="3448">
        <v>41.45</v>
      </c>
      <c r="CI403" s="3449"/>
      <c r="CJ403" s="3448"/>
      <c r="CK403" s="3450"/>
      <c r="CL403" s="3451">
        <v>45175</v>
      </c>
      <c r="CM403" s="2872" t="s">
        <v>63</v>
      </c>
      <c r="CN403" s="3451">
        <v>45291</v>
      </c>
      <c r="CO403" s="2872" t="s">
        <v>63</v>
      </c>
      <c r="CP403" s="3449"/>
      <c r="CQ403" s="3744" t="s">
        <v>625</v>
      </c>
      <c r="CR403" s="3581">
        <f>STRCHECKDATE(V404:CP404)</f>
      </c>
      <c r="CS403" s="3728"/>
      <c r="CT403" s="3728" t="str">
        <f>IF(T403="","",T403)</f>
        <v>вода</v>
      </c>
      <c r="CU403" s="3728"/>
      <c r="CV403" s="3728"/>
    </row>
    <row s="8855" customFormat="1" customHeight="1" ht="0.75">
      <c r="A404" s="3716"/>
      <c r="B404" s="3716"/>
      <c r="C404" s="3716"/>
      <c r="D404" s="3716"/>
      <c r="E404" s="3717"/>
      <c r="F404" s="3717" t="s">
        <v>92</v>
      </c>
      <c r="G404" s="3717"/>
      <c r="H404" s="3717"/>
      <c r="I404" s="3739"/>
      <c r="J404" s="3739"/>
      <c r="K404" s="3730"/>
      <c r="L404" s="3719"/>
      <c r="M404" s="3573"/>
      <c r="N404" s="3573"/>
      <c r="O404" s="3573"/>
      <c r="P404" s="3732"/>
      <c r="Q404" s="3732"/>
      <c r="R404" s="3740"/>
      <c r="S404" s="3746"/>
      <c r="T404" s="3726"/>
      <c r="U404" s="3726"/>
      <c r="V404" s="3449"/>
      <c r="W404" s="3449"/>
      <c r="X404" s="3449"/>
      <c r="Y404" s="3452" t="str">
        <f>Z403&amp;"-"&amp;AB403</f>
        <v>-</v>
      </c>
      <c r="Z404" s="3453"/>
      <c r="AA404" s="2872"/>
      <c r="AB404" s="3453"/>
      <c r="AC404" s="2872"/>
      <c r="AD404" s="3449"/>
      <c r="AE404" s="3449"/>
      <c r="AF404" s="3449"/>
      <c r="AG404" s="3452" t="str">
        <f>AH403&amp;"-"&amp;AJ403</f>
        <v>44197-44377</v>
      </c>
      <c r="AH404" s="3453"/>
      <c r="AI404" s="2872"/>
      <c r="AJ404" s="3453"/>
      <c r="AK404" s="2872"/>
      <c r="AL404" s="3449"/>
      <c r="AM404" s="3449"/>
      <c r="AN404" s="3449"/>
      <c r="AO404" s="3452" t="str">
        <f>AP403&amp;"-"&amp;AR403</f>
        <v>44378-44561</v>
      </c>
      <c r="AP404" s="3453"/>
      <c r="AQ404" s="2872"/>
      <c r="AR404" s="3453"/>
      <c r="AS404" s="2872"/>
      <c r="AT404" s="3449"/>
      <c r="AU404" s="3449"/>
      <c r="AV404" s="3449"/>
      <c r="AW404" s="3452" t="str">
        <f>AX403&amp;"-"&amp;AZ403</f>
        <v>44562-44601</v>
      </c>
      <c r="AX404" s="3453"/>
      <c r="AY404" s="2872"/>
      <c r="AZ404" s="3453"/>
      <c r="BA404" s="2872"/>
      <c r="BB404" s="3449"/>
      <c r="BC404" s="3449"/>
      <c r="BD404" s="3449"/>
      <c r="BE404" s="3452" t="str">
        <f>BF403&amp;"-"&amp;BH403</f>
        <v>44602-44742</v>
      </c>
      <c r="BF404" s="3453"/>
      <c r="BG404" s="2872"/>
      <c r="BH404" s="3453"/>
      <c r="BI404" s="2872"/>
      <c r="BJ404" s="3449"/>
      <c r="BK404" s="3449"/>
      <c r="BL404" s="3449"/>
      <c r="BM404" s="3452" t="str">
        <f>BN403&amp;"-"&amp;BP403</f>
        <v>44743-44804</v>
      </c>
      <c r="BN404" s="3453"/>
      <c r="BO404" s="2872"/>
      <c r="BP404" s="3453"/>
      <c r="BQ404" s="2872"/>
      <c r="BR404" s="3449"/>
      <c r="BS404" s="3449"/>
      <c r="BT404" s="3449"/>
      <c r="BU404" s="3452" t="str">
        <f>BV403&amp;"-"&amp;BX403</f>
        <v>44805-44895</v>
      </c>
      <c r="BV404" s="3453"/>
      <c r="BW404" s="2872"/>
      <c r="BX404" s="3453"/>
      <c r="BY404" s="2872"/>
      <c r="BZ404" s="3449"/>
      <c r="CA404" s="3449"/>
      <c r="CB404" s="3449"/>
      <c r="CC404" s="3452" t="str">
        <f>CD403&amp;"-"&amp;CF403</f>
        <v>44896-45174</v>
      </c>
      <c r="CD404" s="3453"/>
      <c r="CE404" s="2872"/>
      <c r="CF404" s="3453"/>
      <c r="CG404" s="2872"/>
      <c r="CH404" s="3449"/>
      <c r="CI404" s="3449"/>
      <c r="CJ404" s="3449"/>
      <c r="CK404" s="3452" t="str">
        <f>CL403&amp;"-"&amp;CN403</f>
        <v>45175-45291</v>
      </c>
      <c r="CL404" s="3453"/>
      <c r="CM404" s="2872"/>
      <c r="CN404" s="3453"/>
      <c r="CO404" s="2872"/>
      <c r="CP404" s="3449"/>
      <c r="CQ404" s="3747"/>
      <c r="CR404" s="3581"/>
      <c r="CS404" s="3728"/>
      <c r="CT404" s="3728" t="str">
        <f>IF(T404="","",T404)</f>
        <v/>
      </c>
      <c r="CU404" s="3728"/>
      <c r="CV404" s="3728"/>
    </row>
    <row s="8856" customFormat="1" customHeight="1" ht="15">
      <c r="A405" s="3716"/>
      <c r="B405" s="3716"/>
      <c r="C405" s="3716"/>
      <c r="D405" s="3716"/>
      <c r="E405" s="3717"/>
      <c r="F405" s="3717" t="s">
        <v>92</v>
      </c>
      <c r="G405" s="3717"/>
      <c r="H405" s="3717"/>
      <c r="I405" s="3739"/>
      <c r="J405" s="3730"/>
      <c r="K405" s="3716"/>
      <c r="L405" s="3719"/>
      <c r="M405" s="3573"/>
      <c r="N405" s="3573"/>
      <c r="O405" s="3731"/>
      <c r="P405" s="3732"/>
      <c r="Q405" s="3732"/>
      <c r="R405" s="3733"/>
      <c r="S405" s="8857"/>
      <c r="T405" s="8858" t="s">
        <v>626</v>
      </c>
      <c r="U405" s="8859"/>
      <c r="V405" s="8860"/>
      <c r="W405" s="8861"/>
      <c r="X405" s="8862"/>
      <c r="Y405" s="8863"/>
      <c r="Z405" s="8864"/>
      <c r="AA405" s="8865"/>
      <c r="AB405" s="8866"/>
      <c r="AC405" s="8867"/>
      <c r="AD405" s="8868"/>
      <c r="AE405" s="8869"/>
      <c r="AF405" s="8870"/>
      <c r="AG405" s="8871"/>
      <c r="AH405" s="8872"/>
      <c r="AI405" s="8873"/>
      <c r="AJ405" s="8874"/>
      <c r="AK405" s="8875"/>
      <c r="AL405" s="8876"/>
      <c r="AM405" s="8877"/>
      <c r="AN405" s="8878"/>
      <c r="AO405" s="8879"/>
      <c r="AP405" s="8880"/>
      <c r="AQ405" s="8881"/>
      <c r="AR405" s="8882"/>
      <c r="AS405" s="8883"/>
      <c r="AT405" s="8884"/>
      <c r="AU405" s="8885"/>
      <c r="AV405" s="8886"/>
      <c r="AW405" s="8887"/>
      <c r="AX405" s="8888"/>
      <c r="AY405" s="8889"/>
      <c r="AZ405" s="8890"/>
      <c r="BA405" s="8891"/>
      <c r="BB405" s="8892"/>
      <c r="BC405" s="8893"/>
      <c r="BD405" s="8894"/>
      <c r="BE405" s="8895"/>
      <c r="BF405" s="8896"/>
      <c r="BG405" s="8897"/>
      <c r="BH405" s="8898"/>
      <c r="BI405" s="8899"/>
      <c r="BJ405" s="8900"/>
      <c r="BK405" s="8901"/>
      <c r="BL405" s="8902"/>
      <c r="BM405" s="8903"/>
      <c r="BN405" s="8904"/>
      <c r="BO405" s="8905"/>
      <c r="BP405" s="8906"/>
      <c r="BQ405" s="8907"/>
      <c r="BR405" s="8908"/>
      <c r="BS405" s="8909"/>
      <c r="BT405" s="8910"/>
      <c r="BU405" s="8911"/>
      <c r="BV405" s="8912"/>
      <c r="BW405" s="8913"/>
      <c r="BX405" s="8914"/>
      <c r="BY405" s="8915"/>
      <c r="BZ405" s="8916"/>
      <c r="CA405" s="8917"/>
      <c r="CB405" s="8918"/>
      <c r="CC405" s="8919"/>
      <c r="CD405" s="8920"/>
      <c r="CE405" s="8921"/>
      <c r="CF405" s="8922"/>
      <c r="CG405" s="8923"/>
      <c r="CH405" s="8924"/>
      <c r="CI405" s="8925"/>
      <c r="CJ405" s="8926"/>
      <c r="CK405" s="8927"/>
      <c r="CL405" s="8928"/>
      <c r="CM405" s="8929"/>
      <c r="CN405" s="8930"/>
      <c r="CO405" s="8931"/>
      <c r="CP405" s="8932"/>
      <c r="CQ405" s="3825"/>
      <c r="CR405" s="3581"/>
      <c r="CS405" s="3728"/>
      <c r="CT405" s="3728" t="str">
        <f>IF(T405="","",T405)</f>
        <v>Добавить вид теплоносителя (параметры теплоносителя)</v>
      </c>
      <c r="CU405" s="3728"/>
      <c r="CV405" s="3728"/>
    </row>
    <row s="8933" customFormat="1" customHeight="1" ht="15">
      <c r="A406" s="3716"/>
      <c r="B406" s="3716"/>
      <c r="C406" s="3716"/>
      <c r="D406" s="3716"/>
      <c r="E406" s="3717"/>
      <c r="F406" s="3717" t="s">
        <v>92</v>
      </c>
      <c r="G406" s="3717"/>
      <c r="H406" s="3717"/>
      <c r="I406" s="3730"/>
      <c r="J406" s="3716"/>
      <c r="K406" s="3716"/>
      <c r="L406" s="3719"/>
      <c r="M406" s="3573"/>
      <c r="N406" s="3731"/>
      <c r="O406" s="3731"/>
      <c r="P406" s="3732"/>
      <c r="Q406" s="3732"/>
      <c r="R406" s="3733"/>
      <c r="S406" s="8934"/>
      <c r="T406" s="8935" t="s">
        <v>627</v>
      </c>
      <c r="U406" s="8936"/>
      <c r="V406" s="8937"/>
      <c r="W406" s="8938"/>
      <c r="X406" s="8939"/>
      <c r="Y406" s="8940"/>
      <c r="Z406" s="8941"/>
      <c r="AA406" s="8942"/>
      <c r="AB406" s="8943"/>
      <c r="AC406" s="8944"/>
      <c r="AD406" s="8945"/>
      <c r="AE406" s="8946"/>
      <c r="AF406" s="8947"/>
      <c r="AG406" s="8948"/>
      <c r="AH406" s="8949"/>
      <c r="AI406" s="8950"/>
      <c r="AJ406" s="8951"/>
      <c r="AK406" s="8952"/>
      <c r="AL406" s="8953"/>
      <c r="AM406" s="8954"/>
      <c r="AN406" s="8955"/>
      <c r="AO406" s="8956"/>
      <c r="AP406" s="8957"/>
      <c r="AQ406" s="8958"/>
      <c r="AR406" s="8959"/>
      <c r="AS406" s="8960"/>
      <c r="AT406" s="8961"/>
      <c r="AU406" s="8962"/>
      <c r="AV406" s="8963"/>
      <c r="AW406" s="8964"/>
      <c r="AX406" s="8965"/>
      <c r="AY406" s="8966"/>
      <c r="AZ406" s="8967"/>
      <c r="BA406" s="8968"/>
      <c r="BB406" s="8969"/>
      <c r="BC406" s="8970"/>
      <c r="BD406" s="8971"/>
      <c r="BE406" s="8972"/>
      <c r="BF406" s="8973"/>
      <c r="BG406" s="8974"/>
      <c r="BH406" s="8975"/>
      <c r="BI406" s="8976"/>
      <c r="BJ406" s="8977"/>
      <c r="BK406" s="8978"/>
      <c r="BL406" s="8979"/>
      <c r="BM406" s="8980"/>
      <c r="BN406" s="8981"/>
      <c r="BO406" s="8982"/>
      <c r="BP406" s="8983"/>
      <c r="BQ406" s="8984"/>
      <c r="BR406" s="8985"/>
      <c r="BS406" s="8986"/>
      <c r="BT406" s="8987"/>
      <c r="BU406" s="8988"/>
      <c r="BV406" s="8989"/>
      <c r="BW406" s="8990"/>
      <c r="BX406" s="8991"/>
      <c r="BY406" s="8992"/>
      <c r="BZ406" s="8993"/>
      <c r="CA406" s="8994"/>
      <c r="CB406" s="8995"/>
      <c r="CC406" s="8996"/>
      <c r="CD406" s="8997"/>
      <c r="CE406" s="8998"/>
      <c r="CF406" s="8999"/>
      <c r="CG406" s="9000"/>
      <c r="CH406" s="9001"/>
      <c r="CI406" s="9002"/>
      <c r="CJ406" s="9003"/>
      <c r="CK406" s="9004"/>
      <c r="CL406" s="9005"/>
      <c r="CM406" s="9006"/>
      <c r="CN406" s="9007"/>
      <c r="CO406" s="9008"/>
      <c r="CP406" s="9009"/>
      <c r="CQ406" s="9010"/>
      <c r="CR406" s="3581"/>
      <c r="CS406" s="3728"/>
      <c r="CT406" s="3728" t="str">
        <f>IF(T406="","",T406)</f>
        <v>Добавить группу потребителей</v>
      </c>
      <c r="CU406" s="3728"/>
      <c r="CV406" s="3728"/>
    </row>
    <row s="9011" customFormat="1" customHeight="1" ht="14.25">
      <c r="A407" s="3716"/>
      <c r="B407" s="3716"/>
      <c r="C407" s="3716"/>
      <c r="D407" s="3716"/>
      <c r="E407" s="3717"/>
      <c r="F407" s="3717" t="s">
        <v>92</v>
      </c>
      <c r="G407" s="3717"/>
      <c r="H407" s="3718"/>
      <c r="I407" s="3716"/>
      <c r="J407" s="3716"/>
      <c r="K407" s="3716"/>
      <c r="L407" s="3719"/>
      <c r="M407" s="3720"/>
      <c r="N407" s="3720"/>
      <c r="O407" s="3573"/>
      <c r="P407" s="3905"/>
      <c r="Q407" s="3906"/>
      <c r="R407" s="3907"/>
      <c r="S407" s="3908"/>
      <c r="T407" s="3909"/>
      <c r="U407" s="3569"/>
      <c r="V407" s="3569"/>
      <c r="W407" s="3569"/>
      <c r="X407" s="3569"/>
      <c r="Y407" s="3569"/>
      <c r="Z407" s="3569"/>
      <c r="AA407" s="3569"/>
      <c r="AB407" s="3569"/>
      <c r="AC407" s="3569"/>
      <c r="AD407" s="3569"/>
      <c r="AE407" s="3569"/>
      <c r="AF407" s="3569"/>
      <c r="AG407" s="3569"/>
      <c r="AH407" s="3569"/>
      <c r="AI407" s="3569"/>
      <c r="AJ407" s="3569"/>
      <c r="AK407" s="3569"/>
      <c r="AL407" s="3569"/>
      <c r="AM407" s="3569"/>
      <c r="AN407" s="3569"/>
      <c r="AO407" s="3569"/>
      <c r="AP407" s="3569"/>
      <c r="AQ407" s="3569"/>
      <c r="AR407" s="3569"/>
      <c r="AS407" s="3569"/>
      <c r="AT407" s="3569"/>
      <c r="AU407" s="3569"/>
      <c r="AV407" s="3569"/>
      <c r="AW407" s="3569"/>
      <c r="AX407" s="3569"/>
      <c r="AY407" s="3569"/>
      <c r="AZ407" s="3569"/>
      <c r="BA407" s="3569"/>
      <c r="BB407" s="3569"/>
      <c r="BC407" s="3569"/>
      <c r="BD407" s="3569"/>
      <c r="BE407" s="3569"/>
      <c r="BF407" s="3569"/>
      <c r="BG407" s="3569"/>
      <c r="BH407" s="3569"/>
      <c r="BI407" s="3569"/>
      <c r="BJ407" s="3569"/>
      <c r="BK407" s="3569"/>
      <c r="BL407" s="3569"/>
      <c r="BM407" s="3569"/>
      <c r="BN407" s="3569"/>
      <c r="BO407" s="3569"/>
      <c r="BP407" s="3569"/>
      <c r="BQ407" s="3569"/>
      <c r="BR407" s="3569"/>
      <c r="BS407" s="3569"/>
      <c r="BT407" s="3569"/>
      <c r="BU407" s="3569"/>
      <c r="BV407" s="3569"/>
      <c r="BW407" s="3569"/>
      <c r="BX407" s="3569"/>
      <c r="BY407" s="3569"/>
      <c r="BZ407" s="3569"/>
      <c r="CA407" s="3569"/>
      <c r="CB407" s="3569"/>
      <c r="CC407" s="3569"/>
      <c r="CD407" s="3569"/>
      <c r="CE407" s="3569"/>
      <c r="CF407" s="3569"/>
      <c r="CG407" s="3569"/>
      <c r="CH407" s="3569"/>
      <c r="CI407" s="3569"/>
      <c r="CJ407" s="3569"/>
      <c r="CK407" s="3569"/>
      <c r="CL407" s="3569"/>
      <c r="CM407" s="3569"/>
      <c r="CN407" s="3569"/>
      <c r="CO407" s="3569"/>
      <c r="CP407" s="3569"/>
      <c r="CQ407" s="3910"/>
      <c r="CR407" s="3581"/>
      <c r="CS407" s="3728"/>
      <c r="CT407" s="3728" t="str">
        <f>IF(T407="","",T407)</f>
        <v/>
      </c>
      <c r="CU407" s="3728"/>
      <c r="CV407" s="3728"/>
    </row>
    <row s="9012" customFormat="1" customHeight="1" ht="0.75">
      <c r="A408" s="4239"/>
      <c r="B408" s="4239"/>
      <c r="C408" s="4239"/>
      <c r="D408" s="4239"/>
      <c r="E408" s="3717"/>
      <c r="F408" s="3717" t="s">
        <v>92</v>
      </c>
      <c r="G408" s="3718"/>
      <c r="H408" s="4239"/>
      <c r="I408" s="4239"/>
      <c r="J408" s="4239"/>
      <c r="K408" s="4239"/>
      <c r="L408" s="4240"/>
      <c r="M408" s="4241"/>
      <c r="N408" s="4241"/>
      <c r="O408" s="3581"/>
      <c r="P408" s="4242"/>
      <c r="Q408" s="4243"/>
      <c r="R408" s="4242"/>
      <c r="S408" s="4244"/>
      <c r="T408" s="4245" t="s">
        <v>254</v>
      </c>
      <c r="U408" s="3571"/>
      <c r="V408" s="3571"/>
      <c r="W408" s="3571"/>
      <c r="X408" s="3571"/>
      <c r="Y408" s="3571"/>
      <c r="Z408" s="3571"/>
      <c r="AA408" s="3571"/>
      <c r="AB408" s="3571"/>
      <c r="AC408" s="3571"/>
      <c r="AD408" s="3571"/>
      <c r="AE408" s="3571"/>
      <c r="AF408" s="3571"/>
      <c r="AG408" s="3571"/>
      <c r="AH408" s="3571"/>
      <c r="AI408" s="3571"/>
      <c r="AJ408" s="3571"/>
      <c r="AK408" s="3571"/>
      <c r="AL408" s="3571"/>
      <c r="AM408" s="3571"/>
      <c r="AN408" s="3571"/>
      <c r="AO408" s="3571"/>
      <c r="AP408" s="3571"/>
      <c r="AQ408" s="3571"/>
      <c r="AR408" s="3571"/>
      <c r="AS408" s="3571"/>
      <c r="AT408" s="3571"/>
      <c r="AU408" s="3571"/>
      <c r="AV408" s="3571"/>
      <c r="AW408" s="3571"/>
      <c r="AX408" s="3571"/>
      <c r="AY408" s="3571"/>
      <c r="AZ408" s="3571"/>
      <c r="BA408" s="3571"/>
      <c r="BB408" s="3571"/>
      <c r="BC408" s="3571"/>
      <c r="BD408" s="3571"/>
      <c r="BE408" s="3571"/>
      <c r="BF408" s="3571"/>
      <c r="BG408" s="3571"/>
      <c r="BH408" s="3571"/>
      <c r="BI408" s="3571"/>
      <c r="BJ408" s="3571"/>
      <c r="BK408" s="3571"/>
      <c r="BL408" s="3571"/>
      <c r="BM408" s="3571"/>
      <c r="BN408" s="3571"/>
      <c r="BO408" s="3571"/>
      <c r="BP408" s="3571"/>
      <c r="BQ408" s="3571"/>
      <c r="BR408" s="3571"/>
      <c r="BS408" s="3571"/>
      <c r="BT408" s="3571"/>
      <c r="BU408" s="3571"/>
      <c r="BV408" s="3571"/>
      <c r="BW408" s="3571"/>
      <c r="BX408" s="3571"/>
      <c r="BY408" s="3571"/>
      <c r="BZ408" s="3571"/>
      <c r="CA408" s="3571"/>
      <c r="CB408" s="3571"/>
      <c r="CC408" s="3571"/>
      <c r="CD408" s="3571"/>
      <c r="CE408" s="3571"/>
      <c r="CF408" s="3571"/>
      <c r="CG408" s="3571"/>
      <c r="CH408" s="3571"/>
      <c r="CI408" s="3571"/>
      <c r="CJ408" s="3571"/>
      <c r="CK408" s="3571"/>
      <c r="CL408" s="3571"/>
      <c r="CM408" s="3571"/>
      <c r="CN408" s="3571"/>
      <c r="CO408" s="3571"/>
      <c r="CP408" s="3571"/>
      <c r="CQ408" s="3571"/>
      <c r="CR408" s="3581"/>
      <c r="CS408" s="3728"/>
      <c r="CT408" s="3728" t="str">
        <f>IF(T408="","",T408)</f>
        <v>Добавить источник для дифференциации</v>
      </c>
      <c r="CU408" s="3728"/>
      <c r="CV408" s="3728"/>
    </row>
    <row s="9013" customFormat="1" customHeight="1" ht="0.75">
      <c r="A409" s="4239"/>
      <c r="B409" s="4239"/>
      <c r="C409" s="4239"/>
      <c r="D409" s="4239"/>
      <c r="E409" s="3717"/>
      <c r="F409" s="3718" t="s">
        <v>92</v>
      </c>
      <c r="G409" s="4239"/>
      <c r="H409" s="4239"/>
      <c r="I409" s="4239"/>
      <c r="J409" s="4239"/>
      <c r="K409" s="4239"/>
      <c r="L409" s="4240"/>
      <c r="M409" s="4247"/>
      <c r="N409" s="4247"/>
      <c r="O409" s="3581"/>
      <c r="P409" s="4242"/>
      <c r="Q409" s="4243"/>
      <c r="R409" s="4242"/>
      <c r="S409" s="4248"/>
      <c r="T409" s="4249" t="s">
        <v>255</v>
      </c>
      <c r="U409" s="3572"/>
      <c r="V409" s="3572"/>
      <c r="W409" s="3572"/>
      <c r="X409" s="3572"/>
      <c r="Y409" s="3572"/>
      <c r="Z409" s="3572"/>
      <c r="AA409" s="3572"/>
      <c r="AB409" s="3572"/>
      <c r="AC409" s="3572"/>
      <c r="AD409" s="3572"/>
      <c r="AE409" s="3572"/>
      <c r="AF409" s="3572"/>
      <c r="AG409" s="3572"/>
      <c r="AH409" s="3572"/>
      <c r="AI409" s="3572"/>
      <c r="AJ409" s="3572"/>
      <c r="AK409" s="3572"/>
      <c r="AL409" s="3572"/>
      <c r="AM409" s="3572"/>
      <c r="AN409" s="3572"/>
      <c r="AO409" s="3572"/>
      <c r="AP409" s="3572"/>
      <c r="AQ409" s="3572"/>
      <c r="AR409" s="3572"/>
      <c r="AS409" s="3572"/>
      <c r="AT409" s="3572"/>
      <c r="AU409" s="3572"/>
      <c r="AV409" s="3572"/>
      <c r="AW409" s="3572"/>
      <c r="AX409" s="3572"/>
      <c r="AY409" s="3572"/>
      <c r="AZ409" s="3572"/>
      <c r="BA409" s="3572"/>
      <c r="BB409" s="3572"/>
      <c r="BC409" s="3572"/>
      <c r="BD409" s="3572"/>
      <c r="BE409" s="3572"/>
      <c r="BF409" s="3572"/>
      <c r="BG409" s="3572"/>
      <c r="BH409" s="3572"/>
      <c r="BI409" s="3572"/>
      <c r="BJ409" s="3572"/>
      <c r="BK409" s="3572"/>
      <c r="BL409" s="3572"/>
      <c r="BM409" s="3572"/>
      <c r="BN409" s="3572"/>
      <c r="BO409" s="3572"/>
      <c r="BP409" s="3572"/>
      <c r="BQ409" s="3572"/>
      <c r="BR409" s="3572"/>
      <c r="BS409" s="3572"/>
      <c r="BT409" s="3572"/>
      <c r="BU409" s="3572"/>
      <c r="BV409" s="3572"/>
      <c r="BW409" s="3572"/>
      <c r="BX409" s="3572"/>
      <c r="BY409" s="3572"/>
      <c r="BZ409" s="3572"/>
      <c r="CA409" s="3572"/>
      <c r="CB409" s="3572"/>
      <c r="CC409" s="3572"/>
      <c r="CD409" s="3572"/>
      <c r="CE409" s="3572"/>
      <c r="CF409" s="3572"/>
      <c r="CG409" s="3572"/>
      <c r="CH409" s="3572"/>
      <c r="CI409" s="3572"/>
      <c r="CJ409" s="3572"/>
      <c r="CK409" s="3572"/>
      <c r="CL409" s="3572"/>
      <c r="CM409" s="3572"/>
      <c r="CN409" s="3572"/>
      <c r="CO409" s="3572"/>
      <c r="CP409" s="3572"/>
      <c r="CQ409" s="3572"/>
      <c r="CR409" s="3581"/>
      <c r="CS409" s="3728"/>
      <c r="CT409" s="3728" t="str">
        <f>IF(T409="","",T409)</f>
        <v>Добавить централизованную систему для дифференциации</v>
      </c>
      <c r="CU409" s="3728"/>
      <c r="CV409" s="3728"/>
    </row>
    <row s="9014" customFormat="1" customHeight="1" ht="21">
      <c r="A410" s="3716"/>
      <c r="B410" s="3716" t="s">
        <v>349</v>
      </c>
      <c r="C410" s="3716"/>
      <c r="D410" s="3716"/>
      <c r="E410" s="3717"/>
      <c r="F410" s="3718" t="s">
        <v>93</v>
      </c>
      <c r="G410" s="3716"/>
      <c r="H410" s="3716"/>
      <c r="I410" s="3716"/>
      <c r="J410" s="3716"/>
      <c r="K410" s="3716"/>
      <c r="L410" s="3719"/>
      <c r="M410" s="3720"/>
      <c r="N410" s="3720"/>
      <c r="O410" s="3720"/>
      <c r="P410" s="4073"/>
      <c r="Q410" s="3722"/>
      <c r="R410" s="3723"/>
      <c r="S410" s="3724" t="str">
        <f>INDEX(PT_DIFFERENTIATION_NUM_TER,MATCH(B410,PT_DIFFERENTIATION_TER_ID,0))</f>
        <v>2.6</v>
      </c>
      <c r="T410" s="4074" t="s">
        <v>612</v>
      </c>
      <c r="U410" s="3726"/>
      <c r="V410" s="3432"/>
      <c r="W410" s="3433"/>
      <c r="X410" s="3433"/>
      <c r="Y410" s="3433"/>
      <c r="Z410" s="3433"/>
      <c r="AA410" s="3433"/>
      <c r="AB410" s="3433"/>
      <c r="AC410" s="3434"/>
      <c r="AD410" s="3432" t="str">
        <f>INDEX(PT_DIFFERENTIATION_TER,MATCH(B410,PT_DIFFERENTIATION_TER_ID,0))</f>
        <v>Территория 6</v>
      </c>
      <c r="AE410" s="3433"/>
      <c r="AF410" s="3433"/>
      <c r="AG410" s="3433"/>
      <c r="AH410" s="3433"/>
      <c r="AI410" s="3433"/>
      <c r="AJ410" s="3433"/>
      <c r="AK410" s="3433"/>
      <c r="AL410" s="3432"/>
      <c r="AM410" s="3433"/>
      <c r="AN410" s="3433"/>
      <c r="AO410" s="3433"/>
      <c r="AP410" s="3433"/>
      <c r="AQ410" s="3433"/>
      <c r="AR410" s="3433"/>
      <c r="AS410" s="3434"/>
      <c r="AT410" s="3432"/>
      <c r="AU410" s="3433"/>
      <c r="AV410" s="3433"/>
      <c r="AW410" s="3433"/>
      <c r="AX410" s="3433"/>
      <c r="AY410" s="3433"/>
      <c r="AZ410" s="3433"/>
      <c r="BA410" s="3434"/>
      <c r="BB410" s="3432"/>
      <c r="BC410" s="3433"/>
      <c r="BD410" s="3433"/>
      <c r="BE410" s="3433"/>
      <c r="BF410" s="3433"/>
      <c r="BG410" s="3433"/>
      <c r="BH410" s="3433"/>
      <c r="BI410" s="3434"/>
      <c r="BJ410" s="3432"/>
      <c r="BK410" s="3433"/>
      <c r="BL410" s="3433"/>
      <c r="BM410" s="3433"/>
      <c r="BN410" s="3433"/>
      <c r="BO410" s="3433"/>
      <c r="BP410" s="3433"/>
      <c r="BQ410" s="3434"/>
      <c r="BR410" s="3432"/>
      <c r="BS410" s="3433"/>
      <c r="BT410" s="3433"/>
      <c r="BU410" s="3433"/>
      <c r="BV410" s="3433"/>
      <c r="BW410" s="3433"/>
      <c r="BX410" s="3433"/>
      <c r="BY410" s="3434"/>
      <c r="BZ410" s="3432"/>
      <c r="CA410" s="3433"/>
      <c r="CB410" s="3433"/>
      <c r="CC410" s="3433"/>
      <c r="CD410" s="3433"/>
      <c r="CE410" s="3433"/>
      <c r="CF410" s="3433"/>
      <c r="CG410" s="3434"/>
      <c r="CH410" s="3432"/>
      <c r="CI410" s="3433"/>
      <c r="CJ410" s="3433"/>
      <c r="CK410" s="3433"/>
      <c r="CL410" s="3433"/>
      <c r="CM410" s="3433"/>
      <c r="CN410" s="3433"/>
      <c r="CO410" s="3434"/>
      <c r="CP410" s="3434"/>
      <c r="CQ410" s="3727" t="s">
        <v>613</v>
      </c>
      <c r="CR410" s="3581"/>
      <c r="CS410" s="3728"/>
      <c r="CT410" s="3728" t="str">
        <f>IF(T410="","",T410)</f>
        <v>Территория действия тарифа</v>
      </c>
      <c r="CU410" s="3728"/>
      <c r="CV410" s="3728"/>
    </row>
    <row s="9015" customFormat="1" customHeight="1" ht="23.25">
      <c r="A411" s="3716"/>
      <c r="B411" s="3716"/>
      <c r="C411" s="3716" t="s">
        <v>350</v>
      </c>
      <c r="D411" s="3716"/>
      <c r="E411" s="3717"/>
      <c r="F411" s="3717" t="s">
        <v>116</v>
      </c>
      <c r="G411" s="3718">
        <v>1</v>
      </c>
      <c r="H411" s="3716"/>
      <c r="I411" s="3716"/>
      <c r="J411" s="3716"/>
      <c r="K411" s="3716"/>
      <c r="L411" s="3719"/>
      <c r="M411" s="3720"/>
      <c r="N411" s="3720"/>
      <c r="O411" s="3720"/>
      <c r="P411" s="3721"/>
      <c r="Q411" s="3722"/>
      <c r="R411" s="3723"/>
      <c r="S411" s="3724" t="str">
        <f>INDEX(PT_DIFFERENTIATION_NUM_CS,MATCH(C411,PT_DIFFERENTIATION_CS_ID,0))</f>
        <v>2.6.1</v>
      </c>
      <c r="T411" s="4076" t="s">
        <v>614</v>
      </c>
      <c r="U411" s="3726"/>
      <c r="V411" s="3432"/>
      <c r="W411" s="3433"/>
      <c r="X411" s="3433"/>
      <c r="Y411" s="3433"/>
      <c r="Z411" s="3433"/>
      <c r="AA411" s="3433"/>
      <c r="AB411" s="3433"/>
      <c r="AC411" s="3434"/>
      <c r="AD411" s="3432" t="str">
        <f>INDEX(PT_DIFFERENTIATION_CS,MATCH(C411,PT_DIFFERENTIATION_CS_ID,0))</f>
        <v>без дифференциации</v>
      </c>
      <c r="AE411" s="3433"/>
      <c r="AF411" s="3433"/>
      <c r="AG411" s="3433"/>
      <c r="AH411" s="3433"/>
      <c r="AI411" s="3433"/>
      <c r="AJ411" s="3433"/>
      <c r="AK411" s="3433"/>
      <c r="AL411" s="3432"/>
      <c r="AM411" s="3433"/>
      <c r="AN411" s="3433"/>
      <c r="AO411" s="3433"/>
      <c r="AP411" s="3433"/>
      <c r="AQ411" s="3433"/>
      <c r="AR411" s="3433"/>
      <c r="AS411" s="3434"/>
      <c r="AT411" s="3432"/>
      <c r="AU411" s="3433"/>
      <c r="AV411" s="3433"/>
      <c r="AW411" s="3433"/>
      <c r="AX411" s="3433"/>
      <c r="AY411" s="3433"/>
      <c r="AZ411" s="3433"/>
      <c r="BA411" s="3434"/>
      <c r="BB411" s="3432"/>
      <c r="BC411" s="3433"/>
      <c r="BD411" s="3433"/>
      <c r="BE411" s="3433"/>
      <c r="BF411" s="3433"/>
      <c r="BG411" s="3433"/>
      <c r="BH411" s="3433"/>
      <c r="BI411" s="3434"/>
      <c r="BJ411" s="3432"/>
      <c r="BK411" s="3433"/>
      <c r="BL411" s="3433"/>
      <c r="BM411" s="3433"/>
      <c r="BN411" s="3433"/>
      <c r="BO411" s="3433"/>
      <c r="BP411" s="3433"/>
      <c r="BQ411" s="3434"/>
      <c r="BR411" s="3432"/>
      <c r="BS411" s="3433"/>
      <c r="BT411" s="3433"/>
      <c r="BU411" s="3433"/>
      <c r="BV411" s="3433"/>
      <c r="BW411" s="3433"/>
      <c r="BX411" s="3433"/>
      <c r="BY411" s="3434"/>
      <c r="BZ411" s="3432"/>
      <c r="CA411" s="3433"/>
      <c r="CB411" s="3433"/>
      <c r="CC411" s="3433"/>
      <c r="CD411" s="3433"/>
      <c r="CE411" s="3433"/>
      <c r="CF411" s="3433"/>
      <c r="CG411" s="3434"/>
      <c r="CH411" s="3432"/>
      <c r="CI411" s="3433"/>
      <c r="CJ411" s="3433"/>
      <c r="CK411" s="3433"/>
      <c r="CL411" s="3433"/>
      <c r="CM411" s="3433"/>
      <c r="CN411" s="3433"/>
      <c r="CO411" s="3434"/>
      <c r="CP411" s="3434"/>
      <c r="CQ411" s="3727" t="s">
        <v>615</v>
      </c>
      <c r="CR411" s="3581"/>
      <c r="CS411" s="3728"/>
      <c r="CT411" s="3728" t="str">
        <f>IF(T411="","",T411)</f>
        <v>Наименование системы теплоснабжения </v>
      </c>
      <c r="CU411" s="3728"/>
      <c r="CV411" s="3728"/>
    </row>
    <row s="9016" customFormat="1" customHeight="1" ht="21">
      <c r="A412" s="3716"/>
      <c r="B412" s="3716"/>
      <c r="C412" s="3716"/>
      <c r="D412" s="3716" t="s">
        <v>351</v>
      </c>
      <c r="E412" s="3717"/>
      <c r="F412" s="3717" t="s">
        <v>116</v>
      </c>
      <c r="G412" s="3717"/>
      <c r="H412" s="3718">
        <v>1</v>
      </c>
      <c r="I412" s="3716"/>
      <c r="J412" s="3716"/>
      <c r="K412" s="3716"/>
      <c r="L412" s="3719"/>
      <c r="M412" s="3720"/>
      <c r="N412" s="3720"/>
      <c r="O412" s="3720"/>
      <c r="P412" s="3721"/>
      <c r="Q412" s="3722"/>
      <c r="R412" s="3723"/>
      <c r="S412" s="3724" t="str">
        <f>INDEX(PT_DIFFERENTIATION_NUM_IST_TE,MATCH(D412,PT_DIFFERENTIATION_IST_TE_ID,0))</f>
        <v>2.6.1.1</v>
      </c>
      <c r="T412" s="3725" t="s">
        <v>616</v>
      </c>
      <c r="U412" s="3726"/>
      <c r="V412" s="3432"/>
      <c r="W412" s="3433"/>
      <c r="X412" s="3433"/>
      <c r="Y412" s="3433"/>
      <c r="Z412" s="3433"/>
      <c r="AA412" s="3433"/>
      <c r="AB412" s="3433"/>
      <c r="AC412" s="3434"/>
      <c r="AD412" s="3432" t="str">
        <f>INDEX(PT_DIFFERENTIATION_IST_TE,MATCH(D412,PT_DIFFERENTIATION_IST_TE_ID,0))</f>
        <v>г.п. Кильдинстрой, н.п.Шонгуй</v>
      </c>
      <c r="AE412" s="3433"/>
      <c r="AF412" s="3433"/>
      <c r="AG412" s="3433"/>
      <c r="AH412" s="3433"/>
      <c r="AI412" s="3433"/>
      <c r="AJ412" s="3433"/>
      <c r="AK412" s="3433"/>
      <c r="AL412" s="3432"/>
      <c r="AM412" s="3433"/>
      <c r="AN412" s="3433"/>
      <c r="AO412" s="3433"/>
      <c r="AP412" s="3433"/>
      <c r="AQ412" s="3433"/>
      <c r="AR412" s="3433"/>
      <c r="AS412" s="3434"/>
      <c r="AT412" s="3432"/>
      <c r="AU412" s="3433"/>
      <c r="AV412" s="3433"/>
      <c r="AW412" s="3433"/>
      <c r="AX412" s="3433"/>
      <c r="AY412" s="3433"/>
      <c r="AZ412" s="3433"/>
      <c r="BA412" s="3434"/>
      <c r="BB412" s="3432"/>
      <c r="BC412" s="3433"/>
      <c r="BD412" s="3433"/>
      <c r="BE412" s="3433"/>
      <c r="BF412" s="3433"/>
      <c r="BG412" s="3433"/>
      <c r="BH412" s="3433"/>
      <c r="BI412" s="3434"/>
      <c r="BJ412" s="3432"/>
      <c r="BK412" s="3433"/>
      <c r="BL412" s="3433"/>
      <c r="BM412" s="3433"/>
      <c r="BN412" s="3433"/>
      <c r="BO412" s="3433"/>
      <c r="BP412" s="3433"/>
      <c r="BQ412" s="3434"/>
      <c r="BR412" s="3432"/>
      <c r="BS412" s="3433"/>
      <c r="BT412" s="3433"/>
      <c r="BU412" s="3433"/>
      <c r="BV412" s="3433"/>
      <c r="BW412" s="3433"/>
      <c r="BX412" s="3433"/>
      <c r="BY412" s="3434"/>
      <c r="BZ412" s="3432"/>
      <c r="CA412" s="3433"/>
      <c r="CB412" s="3433"/>
      <c r="CC412" s="3433"/>
      <c r="CD412" s="3433"/>
      <c r="CE412" s="3433"/>
      <c r="CF412" s="3433"/>
      <c r="CG412" s="3434"/>
      <c r="CH412" s="3432"/>
      <c r="CI412" s="3433"/>
      <c r="CJ412" s="3433"/>
      <c r="CK412" s="3433"/>
      <c r="CL412" s="3433"/>
      <c r="CM412" s="3433"/>
      <c r="CN412" s="3433"/>
      <c r="CO412" s="3434"/>
      <c r="CP412" s="3434"/>
      <c r="CQ412" s="3727" t="s">
        <v>617</v>
      </c>
      <c r="CR412" s="3581"/>
      <c r="CS412" s="3728"/>
      <c r="CT412" s="3728" t="str">
        <f>IF(T412="","",T412)</f>
        <v>Источник тепловой энергии  </v>
      </c>
      <c r="CU412" s="3728"/>
      <c r="CV412" s="3728"/>
    </row>
    <row s="9017" customFormat="1" customHeight="1" ht="14.25">
      <c r="A413" s="3716"/>
      <c r="B413" s="3716"/>
      <c r="C413" s="3716"/>
      <c r="D413" s="3716"/>
      <c r="E413" s="3717"/>
      <c r="F413" s="3717" t="s">
        <v>116</v>
      </c>
      <c r="G413" s="3717"/>
      <c r="H413" s="3717"/>
      <c r="I413" s="3730" t="str">
        <f>S412&amp;".1"</f>
        <v>2.6.1.1.1</v>
      </c>
      <c r="J413" s="3716"/>
      <c r="K413" s="3716"/>
      <c r="L413" s="3719" t="s">
        <v>618</v>
      </c>
      <c r="M413" s="3573"/>
      <c r="N413" s="3731"/>
      <c r="O413" s="3731"/>
      <c r="P413" s="3732">
        <v>1</v>
      </c>
      <c r="Q413" s="3732"/>
      <c r="R413" s="3733"/>
      <c r="S413" s="3734"/>
      <c r="T413" s="3735"/>
      <c r="U413" s="3736"/>
      <c r="V413" s="3441"/>
      <c r="W413" s="3442"/>
      <c r="X413" s="3442"/>
      <c r="Y413" s="3442"/>
      <c r="Z413" s="3442"/>
      <c r="AA413" s="3442"/>
      <c r="AB413" s="3442"/>
      <c r="AC413" s="3443"/>
      <c r="AD413" s="3441"/>
      <c r="AE413" s="3442"/>
      <c r="AF413" s="3442"/>
      <c r="AG413" s="3442"/>
      <c r="AH413" s="3442"/>
      <c r="AI413" s="3442"/>
      <c r="AJ413" s="3442"/>
      <c r="AK413" s="3442"/>
      <c r="AL413" s="3441"/>
      <c r="AM413" s="3442"/>
      <c r="AN413" s="3442"/>
      <c r="AO413" s="3442"/>
      <c r="AP413" s="3442"/>
      <c r="AQ413" s="3442"/>
      <c r="AR413" s="3442"/>
      <c r="AS413" s="3443"/>
      <c r="AT413" s="3441"/>
      <c r="AU413" s="3442"/>
      <c r="AV413" s="3442"/>
      <c r="AW413" s="3442"/>
      <c r="AX413" s="3442"/>
      <c r="AY413" s="3442"/>
      <c r="AZ413" s="3442"/>
      <c r="BA413" s="3443"/>
      <c r="BB413" s="3441"/>
      <c r="BC413" s="3442"/>
      <c r="BD413" s="3442"/>
      <c r="BE413" s="3442"/>
      <c r="BF413" s="3442"/>
      <c r="BG413" s="3442"/>
      <c r="BH413" s="3442"/>
      <c r="BI413" s="3443"/>
      <c r="BJ413" s="3441"/>
      <c r="BK413" s="3442"/>
      <c r="BL413" s="3442"/>
      <c r="BM413" s="3442"/>
      <c r="BN413" s="3442"/>
      <c r="BO413" s="3442"/>
      <c r="BP413" s="3442"/>
      <c r="BQ413" s="3443"/>
      <c r="BR413" s="3441"/>
      <c r="BS413" s="3442"/>
      <c r="BT413" s="3442"/>
      <c r="BU413" s="3442"/>
      <c r="BV413" s="3442"/>
      <c r="BW413" s="3442"/>
      <c r="BX413" s="3442"/>
      <c r="BY413" s="3443"/>
      <c r="BZ413" s="3441"/>
      <c r="CA413" s="3442"/>
      <c r="CB413" s="3442"/>
      <c r="CC413" s="3442"/>
      <c r="CD413" s="3442"/>
      <c r="CE413" s="3442"/>
      <c r="CF413" s="3442"/>
      <c r="CG413" s="3443"/>
      <c r="CH413" s="3441"/>
      <c r="CI413" s="3442"/>
      <c r="CJ413" s="3442"/>
      <c r="CK413" s="3442"/>
      <c r="CL413" s="3442"/>
      <c r="CM413" s="3442"/>
      <c r="CN413" s="3442"/>
      <c r="CO413" s="3443"/>
      <c r="CP413" s="3443"/>
      <c r="CQ413" s="3737"/>
      <c r="CR413" s="3581"/>
      <c r="CS413" s="3728"/>
      <c r="CT413" s="3728" t="str">
        <f>IF(T413="","",T413)</f>
        <v/>
      </c>
      <c r="CU413" s="3728"/>
      <c r="CV413" s="3728"/>
    </row>
    <row s="9018" customFormat="1" customHeight="1" ht="21">
      <c r="A414" s="3716"/>
      <c r="B414" s="3716"/>
      <c r="C414" s="3716"/>
      <c r="D414" s="3716"/>
      <c r="E414" s="3717"/>
      <c r="F414" s="3717" t="s">
        <v>116</v>
      </c>
      <c r="G414" s="3717"/>
      <c r="H414" s="3717"/>
      <c r="I414" s="3739"/>
      <c r="J414" s="3730" t="str">
        <f>I413&amp;".1"</f>
        <v>2.6.1.1.1.1</v>
      </c>
      <c r="K414" s="3716"/>
      <c r="L414" s="3719" t="s">
        <v>621</v>
      </c>
      <c r="M414" s="3573"/>
      <c r="N414" s="3573"/>
      <c r="O414" s="3731"/>
      <c r="P414" s="3732"/>
      <c r="Q414" s="3732">
        <v>1</v>
      </c>
      <c r="R414" s="3740"/>
      <c r="S414" s="3724" t="str">
        <f>$J414</f>
        <v>2.6.1.1.1.1</v>
      </c>
      <c r="T414" s="3741" t="s">
        <v>622</v>
      </c>
      <c r="U414" s="3726"/>
      <c r="V414" s="3445"/>
      <c r="W414" s="3446"/>
      <c r="X414" s="3446"/>
      <c r="Y414" s="3446"/>
      <c r="Z414" s="3446"/>
      <c r="AA414" s="3446"/>
      <c r="AB414" s="3446"/>
      <c r="AC414" s="3447"/>
      <c r="AD414" s="3445" t="s">
        <v>665</v>
      </c>
      <c r="AE414" s="3446"/>
      <c r="AF414" s="3446"/>
      <c r="AG414" s="3446"/>
      <c r="AH414" s="3446"/>
      <c r="AI414" s="3446"/>
      <c r="AJ414" s="3446"/>
      <c r="AK414" s="3446"/>
      <c r="AL414" s="3445"/>
      <c r="AM414" s="3446"/>
      <c r="AN414" s="3446"/>
      <c r="AO414" s="3446"/>
      <c r="AP414" s="3446"/>
      <c r="AQ414" s="3446"/>
      <c r="AR414" s="3446"/>
      <c r="AS414" s="3447"/>
      <c r="AT414" s="3445"/>
      <c r="AU414" s="3446"/>
      <c r="AV414" s="3446"/>
      <c r="AW414" s="3446"/>
      <c r="AX414" s="3446"/>
      <c r="AY414" s="3446"/>
      <c r="AZ414" s="3446"/>
      <c r="BA414" s="3447"/>
      <c r="BB414" s="3445"/>
      <c r="BC414" s="3446"/>
      <c r="BD414" s="3446"/>
      <c r="BE414" s="3446"/>
      <c r="BF414" s="3446"/>
      <c r="BG414" s="3446"/>
      <c r="BH414" s="3446"/>
      <c r="BI414" s="3447"/>
      <c r="BJ414" s="3445"/>
      <c r="BK414" s="3446"/>
      <c r="BL414" s="3446"/>
      <c r="BM414" s="3446"/>
      <c r="BN414" s="3446"/>
      <c r="BO414" s="3446"/>
      <c r="BP414" s="3446"/>
      <c r="BQ414" s="3447"/>
      <c r="BR414" s="3445"/>
      <c r="BS414" s="3446"/>
      <c r="BT414" s="3446"/>
      <c r="BU414" s="3446"/>
      <c r="BV414" s="3446"/>
      <c r="BW414" s="3446"/>
      <c r="BX414" s="3446"/>
      <c r="BY414" s="3447"/>
      <c r="BZ414" s="3445"/>
      <c r="CA414" s="3446"/>
      <c r="CB414" s="3446"/>
      <c r="CC414" s="3446"/>
      <c r="CD414" s="3446"/>
      <c r="CE414" s="3446"/>
      <c r="CF414" s="3446"/>
      <c r="CG414" s="3447"/>
      <c r="CH414" s="3445"/>
      <c r="CI414" s="3446"/>
      <c r="CJ414" s="3446"/>
      <c r="CK414" s="3446"/>
      <c r="CL414" s="3446"/>
      <c r="CM414" s="3446"/>
      <c r="CN414" s="3446"/>
      <c r="CO414" s="3447"/>
      <c r="CP414" s="3447"/>
      <c r="CQ414" s="3727" t="s">
        <v>623</v>
      </c>
      <c r="CR414" s="3581"/>
      <c r="CS414" s="3728"/>
      <c r="CT414" s="3728" t="str">
        <f>IF(T414="","",T414)</f>
        <v>Группа потребителей</v>
      </c>
      <c r="CU414" s="3728"/>
      <c r="CV414" s="3728"/>
    </row>
    <row s="9019" customFormat="1" customHeight="1" ht="21">
      <c r="A415" s="3716"/>
      <c r="B415" s="3716"/>
      <c r="C415" s="3716"/>
      <c r="D415" s="3716"/>
      <c r="E415" s="3717"/>
      <c r="F415" s="3717" t="s">
        <v>116</v>
      </c>
      <c r="G415" s="3717"/>
      <c r="H415" s="3717"/>
      <c r="I415" s="3739"/>
      <c r="J415" s="3739"/>
      <c r="K415" s="3730" t="str">
        <f>J414&amp;".1"</f>
        <v>2.6.1.1.1.1.1</v>
      </c>
      <c r="L415" s="3719" t="s">
        <v>624</v>
      </c>
      <c r="M415" s="3573"/>
      <c r="N415" s="3573"/>
      <c r="O415" s="3573"/>
      <c r="P415" s="3732"/>
      <c r="Q415" s="3732"/>
      <c r="R415" s="3740">
        <v>1</v>
      </c>
      <c r="S415" s="3724" t="str">
        <f>$K415</f>
        <v>2.6.1.1.1.1.1</v>
      </c>
      <c r="T415" s="3743" t="s">
        <v>663</v>
      </c>
      <c r="U415" s="3726"/>
      <c r="V415" s="3448"/>
      <c r="W415" s="3449"/>
      <c r="X415" s="3448"/>
      <c r="Y415" s="3450"/>
      <c r="Z415" s="3451"/>
      <c r="AA415" s="2872" t="s">
        <v>63</v>
      </c>
      <c r="AB415" s="3451"/>
      <c r="AC415" s="2872" t="s">
        <v>63</v>
      </c>
      <c r="AD415" s="3448">
        <v>32.92</v>
      </c>
      <c r="AE415" s="3449"/>
      <c r="AF415" s="3448"/>
      <c r="AG415" s="3450"/>
      <c r="AH415" s="3451">
        <v>44197</v>
      </c>
      <c r="AI415" s="2872" t="s">
        <v>63</v>
      </c>
      <c r="AJ415" s="3451">
        <v>44377</v>
      </c>
      <c r="AK415" s="2872" t="s">
        <v>63</v>
      </c>
      <c r="AL415" s="3448">
        <v>36.2</v>
      </c>
      <c r="AM415" s="3449"/>
      <c r="AN415" s="3448"/>
      <c r="AO415" s="3450"/>
      <c r="AP415" s="3451">
        <v>44378</v>
      </c>
      <c r="AQ415" s="2872" t="s">
        <v>63</v>
      </c>
      <c r="AR415" s="3451">
        <v>44561</v>
      </c>
      <c r="AS415" s="2872" t="s">
        <v>63</v>
      </c>
      <c r="AT415" s="3448">
        <v>36.2</v>
      </c>
      <c r="AU415" s="3449"/>
      <c r="AV415" s="3448"/>
      <c r="AW415" s="3450"/>
      <c r="AX415" s="3451">
        <v>44562</v>
      </c>
      <c r="AY415" s="2872" t="s">
        <v>63</v>
      </c>
      <c r="AZ415" s="3451">
        <v>44601</v>
      </c>
      <c r="BA415" s="2872" t="s">
        <v>63</v>
      </c>
      <c r="BB415" s="3448">
        <v>36.2</v>
      </c>
      <c r="BC415" s="3449"/>
      <c r="BD415" s="3448"/>
      <c r="BE415" s="3450"/>
      <c r="BF415" s="3451">
        <v>44602</v>
      </c>
      <c r="BG415" s="2872" t="s">
        <v>63</v>
      </c>
      <c r="BH415" s="3451">
        <v>44742</v>
      </c>
      <c r="BI415" s="2872" t="s">
        <v>63</v>
      </c>
      <c r="BJ415" s="3448">
        <v>39.1</v>
      </c>
      <c r="BK415" s="3449"/>
      <c r="BL415" s="3448"/>
      <c r="BM415" s="3450"/>
      <c r="BN415" s="3451">
        <v>44743</v>
      </c>
      <c r="BO415" s="2872" t="s">
        <v>63</v>
      </c>
      <c r="BP415" s="3451">
        <v>44804</v>
      </c>
      <c r="BQ415" s="2872" t="s">
        <v>63</v>
      </c>
      <c r="BR415" s="3448">
        <v>39.1</v>
      </c>
      <c r="BS415" s="3449"/>
      <c r="BT415" s="3448"/>
      <c r="BU415" s="3450"/>
      <c r="BV415" s="3451">
        <v>44805</v>
      </c>
      <c r="BW415" s="2872" t="s">
        <v>63</v>
      </c>
      <c r="BX415" s="3451">
        <v>44895</v>
      </c>
      <c r="BY415" s="2872" t="s">
        <v>63</v>
      </c>
      <c r="BZ415" s="3448">
        <v>41.45</v>
      </c>
      <c r="CA415" s="3449"/>
      <c r="CB415" s="3448"/>
      <c r="CC415" s="3450"/>
      <c r="CD415" s="3451">
        <v>44896</v>
      </c>
      <c r="CE415" s="2872" t="s">
        <v>63</v>
      </c>
      <c r="CF415" s="3451">
        <v>45174</v>
      </c>
      <c r="CG415" s="2872" t="s">
        <v>63</v>
      </c>
      <c r="CH415" s="3448">
        <v>41.45</v>
      </c>
      <c r="CI415" s="3449"/>
      <c r="CJ415" s="3448"/>
      <c r="CK415" s="3450"/>
      <c r="CL415" s="3451">
        <v>45175</v>
      </c>
      <c r="CM415" s="2872" t="s">
        <v>63</v>
      </c>
      <c r="CN415" s="3451">
        <v>45291</v>
      </c>
      <c r="CO415" s="2872" t="s">
        <v>63</v>
      </c>
      <c r="CP415" s="3449"/>
      <c r="CQ415" s="3744" t="s">
        <v>625</v>
      </c>
      <c r="CR415" s="3581">
        <f>STRCHECKDATE(V416:CP416)</f>
      </c>
      <c r="CS415" s="3728"/>
      <c r="CT415" s="3728" t="str">
        <f>IF(T415="","",T415)</f>
        <v>вода</v>
      </c>
      <c r="CU415" s="3728"/>
      <c r="CV415" s="3728"/>
    </row>
    <row s="9020" customFormat="1" customHeight="1" ht="0.75">
      <c r="A416" s="3716"/>
      <c r="B416" s="3716"/>
      <c r="C416" s="3716"/>
      <c r="D416" s="3716"/>
      <c r="E416" s="3717"/>
      <c r="F416" s="3717" t="s">
        <v>116</v>
      </c>
      <c r="G416" s="3717"/>
      <c r="H416" s="3717"/>
      <c r="I416" s="3739"/>
      <c r="J416" s="3739"/>
      <c r="K416" s="3730"/>
      <c r="L416" s="3719"/>
      <c r="M416" s="3573"/>
      <c r="N416" s="3573"/>
      <c r="O416" s="3573"/>
      <c r="P416" s="3732"/>
      <c r="Q416" s="3732"/>
      <c r="R416" s="3740"/>
      <c r="S416" s="3746"/>
      <c r="T416" s="3726"/>
      <c r="U416" s="3726"/>
      <c r="V416" s="3449"/>
      <c r="W416" s="3449"/>
      <c r="X416" s="3449"/>
      <c r="Y416" s="3452" t="str">
        <f>Z415&amp;"-"&amp;AB415</f>
        <v>-</v>
      </c>
      <c r="Z416" s="3453"/>
      <c r="AA416" s="2872"/>
      <c r="AB416" s="3453"/>
      <c r="AC416" s="2872"/>
      <c r="AD416" s="3449"/>
      <c r="AE416" s="3449"/>
      <c r="AF416" s="3449"/>
      <c r="AG416" s="3452" t="str">
        <f>AH415&amp;"-"&amp;AJ415</f>
        <v>44197-44377</v>
      </c>
      <c r="AH416" s="3453"/>
      <c r="AI416" s="2872"/>
      <c r="AJ416" s="3453"/>
      <c r="AK416" s="2872"/>
      <c r="AL416" s="3449"/>
      <c r="AM416" s="3449"/>
      <c r="AN416" s="3449"/>
      <c r="AO416" s="3452" t="str">
        <f>AP415&amp;"-"&amp;AR415</f>
        <v>44378-44561</v>
      </c>
      <c r="AP416" s="3453"/>
      <c r="AQ416" s="2872"/>
      <c r="AR416" s="3453"/>
      <c r="AS416" s="2872"/>
      <c r="AT416" s="3449"/>
      <c r="AU416" s="3449"/>
      <c r="AV416" s="3449"/>
      <c r="AW416" s="3452" t="str">
        <f>AX415&amp;"-"&amp;AZ415</f>
        <v>44562-44601</v>
      </c>
      <c r="AX416" s="3453"/>
      <c r="AY416" s="2872"/>
      <c r="AZ416" s="3453"/>
      <c r="BA416" s="2872"/>
      <c r="BB416" s="3449"/>
      <c r="BC416" s="3449"/>
      <c r="BD416" s="3449"/>
      <c r="BE416" s="3452" t="str">
        <f>BF415&amp;"-"&amp;BH415</f>
        <v>44602-44742</v>
      </c>
      <c r="BF416" s="3453"/>
      <c r="BG416" s="2872"/>
      <c r="BH416" s="3453"/>
      <c r="BI416" s="2872"/>
      <c r="BJ416" s="3449"/>
      <c r="BK416" s="3449"/>
      <c r="BL416" s="3449"/>
      <c r="BM416" s="3452" t="str">
        <f>BN415&amp;"-"&amp;BP415</f>
        <v>44743-44804</v>
      </c>
      <c r="BN416" s="3453"/>
      <c r="BO416" s="2872"/>
      <c r="BP416" s="3453"/>
      <c r="BQ416" s="2872"/>
      <c r="BR416" s="3449"/>
      <c r="BS416" s="3449"/>
      <c r="BT416" s="3449"/>
      <c r="BU416" s="3452" t="str">
        <f>BV415&amp;"-"&amp;BX415</f>
        <v>44805-44895</v>
      </c>
      <c r="BV416" s="3453"/>
      <c r="BW416" s="2872"/>
      <c r="BX416" s="3453"/>
      <c r="BY416" s="2872"/>
      <c r="BZ416" s="3449"/>
      <c r="CA416" s="3449"/>
      <c r="CB416" s="3449"/>
      <c r="CC416" s="3452" t="str">
        <f>CD415&amp;"-"&amp;CF415</f>
        <v>44896-45174</v>
      </c>
      <c r="CD416" s="3453"/>
      <c r="CE416" s="2872"/>
      <c r="CF416" s="3453"/>
      <c r="CG416" s="2872"/>
      <c r="CH416" s="3449"/>
      <c r="CI416" s="3449"/>
      <c r="CJ416" s="3449"/>
      <c r="CK416" s="3452" t="str">
        <f>CL415&amp;"-"&amp;CN415</f>
        <v>45175-45291</v>
      </c>
      <c r="CL416" s="3453"/>
      <c r="CM416" s="2872"/>
      <c r="CN416" s="3453"/>
      <c r="CO416" s="2872"/>
      <c r="CP416" s="3449"/>
      <c r="CQ416" s="3747"/>
      <c r="CR416" s="3581"/>
      <c r="CS416" s="3728"/>
      <c r="CT416" s="3728" t="str">
        <f>IF(T416="","",T416)</f>
        <v/>
      </c>
      <c r="CU416" s="3728"/>
      <c r="CV416" s="3728"/>
    </row>
    <row s="9021" customFormat="1" customHeight="1" ht="15">
      <c r="A417" s="3716"/>
      <c r="B417" s="3716"/>
      <c r="C417" s="3716"/>
      <c r="D417" s="3716"/>
      <c r="E417" s="3717"/>
      <c r="F417" s="3717" t="s">
        <v>116</v>
      </c>
      <c r="G417" s="3717"/>
      <c r="H417" s="3717"/>
      <c r="I417" s="3739"/>
      <c r="J417" s="3730"/>
      <c r="K417" s="3716"/>
      <c r="L417" s="3719"/>
      <c r="M417" s="3573"/>
      <c r="N417" s="3573"/>
      <c r="O417" s="3731"/>
      <c r="P417" s="3732"/>
      <c r="Q417" s="3732"/>
      <c r="R417" s="3733"/>
      <c r="S417" s="9022"/>
      <c r="T417" s="9023" t="s">
        <v>626</v>
      </c>
      <c r="U417" s="9024"/>
      <c r="V417" s="9025"/>
      <c r="W417" s="9026"/>
      <c r="X417" s="9027"/>
      <c r="Y417" s="9028"/>
      <c r="Z417" s="9029"/>
      <c r="AA417" s="9030"/>
      <c r="AB417" s="9031"/>
      <c r="AC417" s="9032"/>
      <c r="AD417" s="9033"/>
      <c r="AE417" s="9034"/>
      <c r="AF417" s="9035"/>
      <c r="AG417" s="9036"/>
      <c r="AH417" s="9037"/>
      <c r="AI417" s="9038"/>
      <c r="AJ417" s="9039"/>
      <c r="AK417" s="9040"/>
      <c r="AL417" s="9041"/>
      <c r="AM417" s="9042"/>
      <c r="AN417" s="9043"/>
      <c r="AO417" s="9044"/>
      <c r="AP417" s="9045"/>
      <c r="AQ417" s="9046"/>
      <c r="AR417" s="9047"/>
      <c r="AS417" s="9048"/>
      <c r="AT417" s="9049"/>
      <c r="AU417" s="9050"/>
      <c r="AV417" s="9051"/>
      <c r="AW417" s="9052"/>
      <c r="AX417" s="9053"/>
      <c r="AY417" s="9054"/>
      <c r="AZ417" s="9055"/>
      <c r="BA417" s="9056"/>
      <c r="BB417" s="9057"/>
      <c r="BC417" s="9058"/>
      <c r="BD417" s="9059"/>
      <c r="BE417" s="9060"/>
      <c r="BF417" s="9061"/>
      <c r="BG417" s="9062"/>
      <c r="BH417" s="9063"/>
      <c r="BI417" s="9064"/>
      <c r="BJ417" s="9065"/>
      <c r="BK417" s="9066"/>
      <c r="BL417" s="9067"/>
      <c r="BM417" s="9068"/>
      <c r="BN417" s="9069"/>
      <c r="BO417" s="9070"/>
      <c r="BP417" s="9071"/>
      <c r="BQ417" s="9072"/>
      <c r="BR417" s="9073"/>
      <c r="BS417" s="9074"/>
      <c r="BT417" s="9075"/>
      <c r="BU417" s="9076"/>
      <c r="BV417" s="9077"/>
      <c r="BW417" s="9078"/>
      <c r="BX417" s="9079"/>
      <c r="BY417" s="9080"/>
      <c r="BZ417" s="9081"/>
      <c r="CA417" s="9082"/>
      <c r="CB417" s="9083"/>
      <c r="CC417" s="9084"/>
      <c r="CD417" s="9085"/>
      <c r="CE417" s="9086"/>
      <c r="CF417" s="9087"/>
      <c r="CG417" s="9088"/>
      <c r="CH417" s="9089"/>
      <c r="CI417" s="9090"/>
      <c r="CJ417" s="9091"/>
      <c r="CK417" s="9092"/>
      <c r="CL417" s="9093"/>
      <c r="CM417" s="9094"/>
      <c r="CN417" s="9095"/>
      <c r="CO417" s="9096"/>
      <c r="CP417" s="9097"/>
      <c r="CQ417" s="3825"/>
      <c r="CR417" s="3581"/>
      <c r="CS417" s="3728"/>
      <c r="CT417" s="3728" t="str">
        <f>IF(T417="","",T417)</f>
        <v>Добавить вид теплоносителя (параметры теплоносителя)</v>
      </c>
      <c r="CU417" s="3728"/>
      <c r="CV417" s="3728"/>
    </row>
    <row s="9098" customFormat="1" customHeight="1" ht="15">
      <c r="A418" s="3716"/>
      <c r="B418" s="3716"/>
      <c r="C418" s="3716"/>
      <c r="D418" s="3716"/>
      <c r="E418" s="3717"/>
      <c r="F418" s="3717" t="s">
        <v>116</v>
      </c>
      <c r="G418" s="3717"/>
      <c r="H418" s="3717"/>
      <c r="I418" s="3730"/>
      <c r="J418" s="3716"/>
      <c r="K418" s="3716"/>
      <c r="L418" s="3719"/>
      <c r="M418" s="3573"/>
      <c r="N418" s="3731"/>
      <c r="O418" s="3731"/>
      <c r="P418" s="3732"/>
      <c r="Q418" s="3732"/>
      <c r="R418" s="3733"/>
      <c r="S418" s="9099"/>
      <c r="T418" s="9100" t="s">
        <v>627</v>
      </c>
      <c r="U418" s="9101"/>
      <c r="V418" s="9102"/>
      <c r="W418" s="9103"/>
      <c r="X418" s="9104"/>
      <c r="Y418" s="9105"/>
      <c r="Z418" s="9106"/>
      <c r="AA418" s="9107"/>
      <c r="AB418" s="9108"/>
      <c r="AC418" s="9109"/>
      <c r="AD418" s="9110"/>
      <c r="AE418" s="9111"/>
      <c r="AF418" s="9112"/>
      <c r="AG418" s="9113"/>
      <c r="AH418" s="9114"/>
      <c r="AI418" s="9115"/>
      <c r="AJ418" s="9116"/>
      <c r="AK418" s="9117"/>
      <c r="AL418" s="9118"/>
      <c r="AM418" s="9119"/>
      <c r="AN418" s="9120"/>
      <c r="AO418" s="9121"/>
      <c r="AP418" s="9122"/>
      <c r="AQ418" s="9123"/>
      <c r="AR418" s="9124"/>
      <c r="AS418" s="9125"/>
      <c r="AT418" s="9126"/>
      <c r="AU418" s="9127"/>
      <c r="AV418" s="9128"/>
      <c r="AW418" s="9129"/>
      <c r="AX418" s="9130"/>
      <c r="AY418" s="9131"/>
      <c r="AZ418" s="9132"/>
      <c r="BA418" s="9133"/>
      <c r="BB418" s="9134"/>
      <c r="BC418" s="9135"/>
      <c r="BD418" s="9136"/>
      <c r="BE418" s="9137"/>
      <c r="BF418" s="9138"/>
      <c r="BG418" s="9139"/>
      <c r="BH418" s="9140"/>
      <c r="BI418" s="9141"/>
      <c r="BJ418" s="9142"/>
      <c r="BK418" s="9143"/>
      <c r="BL418" s="9144"/>
      <c r="BM418" s="9145"/>
      <c r="BN418" s="9146"/>
      <c r="BO418" s="9147"/>
      <c r="BP418" s="9148"/>
      <c r="BQ418" s="9149"/>
      <c r="BR418" s="9150"/>
      <c r="BS418" s="9151"/>
      <c r="BT418" s="9152"/>
      <c r="BU418" s="9153"/>
      <c r="BV418" s="9154"/>
      <c r="BW418" s="9155"/>
      <c r="BX418" s="9156"/>
      <c r="BY418" s="9157"/>
      <c r="BZ418" s="9158"/>
      <c r="CA418" s="9159"/>
      <c r="CB418" s="9160"/>
      <c r="CC418" s="9161"/>
      <c r="CD418" s="9162"/>
      <c r="CE418" s="9163"/>
      <c r="CF418" s="9164"/>
      <c r="CG418" s="9165"/>
      <c r="CH418" s="9166"/>
      <c r="CI418" s="9167"/>
      <c r="CJ418" s="9168"/>
      <c r="CK418" s="9169"/>
      <c r="CL418" s="9170"/>
      <c r="CM418" s="9171"/>
      <c r="CN418" s="9172"/>
      <c r="CO418" s="9173"/>
      <c r="CP418" s="9174"/>
      <c r="CQ418" s="9175"/>
      <c r="CR418" s="3581"/>
      <c r="CS418" s="3728"/>
      <c r="CT418" s="3728" t="str">
        <f>IF(T418="","",T418)</f>
        <v>Добавить группу потребителей</v>
      </c>
      <c r="CU418" s="3728"/>
      <c r="CV418" s="3728"/>
    </row>
    <row s="9176" customFormat="1" customHeight="1" ht="14.25">
      <c r="A419" s="3716"/>
      <c r="B419" s="3716"/>
      <c r="C419" s="3716"/>
      <c r="D419" s="3716"/>
      <c r="E419" s="3717"/>
      <c r="F419" s="3717" t="s">
        <v>116</v>
      </c>
      <c r="G419" s="3717"/>
      <c r="H419" s="3718"/>
      <c r="I419" s="3716"/>
      <c r="J419" s="3716"/>
      <c r="K419" s="3716"/>
      <c r="L419" s="3719"/>
      <c r="M419" s="3720"/>
      <c r="N419" s="3720"/>
      <c r="O419" s="3573"/>
      <c r="P419" s="3905"/>
      <c r="Q419" s="3906"/>
      <c r="R419" s="3907"/>
      <c r="S419" s="3908"/>
      <c r="T419" s="3909"/>
      <c r="U419" s="3569"/>
      <c r="V419" s="3569"/>
      <c r="W419" s="3569"/>
      <c r="X419" s="3569"/>
      <c r="Y419" s="3569"/>
      <c r="Z419" s="3569"/>
      <c r="AA419" s="3569"/>
      <c r="AB419" s="3569"/>
      <c r="AC419" s="3569"/>
      <c r="AD419" s="3569"/>
      <c r="AE419" s="3569"/>
      <c r="AF419" s="3569"/>
      <c r="AG419" s="3569"/>
      <c r="AH419" s="3569"/>
      <c r="AI419" s="3569"/>
      <c r="AJ419" s="3569"/>
      <c r="AK419" s="3569"/>
      <c r="AL419" s="3569"/>
      <c r="AM419" s="3569"/>
      <c r="AN419" s="3569"/>
      <c r="AO419" s="3569"/>
      <c r="AP419" s="3569"/>
      <c r="AQ419" s="3569"/>
      <c r="AR419" s="3569"/>
      <c r="AS419" s="3569"/>
      <c r="AT419" s="3569"/>
      <c r="AU419" s="3569"/>
      <c r="AV419" s="3569"/>
      <c r="AW419" s="3569"/>
      <c r="AX419" s="3569"/>
      <c r="AY419" s="3569"/>
      <c r="AZ419" s="3569"/>
      <c r="BA419" s="3569"/>
      <c r="BB419" s="3569"/>
      <c r="BC419" s="3569"/>
      <c r="BD419" s="3569"/>
      <c r="BE419" s="3569"/>
      <c r="BF419" s="3569"/>
      <c r="BG419" s="3569"/>
      <c r="BH419" s="3569"/>
      <c r="BI419" s="3569"/>
      <c r="BJ419" s="3569"/>
      <c r="BK419" s="3569"/>
      <c r="BL419" s="3569"/>
      <c r="BM419" s="3569"/>
      <c r="BN419" s="3569"/>
      <c r="BO419" s="3569"/>
      <c r="BP419" s="3569"/>
      <c r="BQ419" s="3569"/>
      <c r="BR419" s="3569"/>
      <c r="BS419" s="3569"/>
      <c r="BT419" s="3569"/>
      <c r="BU419" s="3569"/>
      <c r="BV419" s="3569"/>
      <c r="BW419" s="3569"/>
      <c r="BX419" s="3569"/>
      <c r="BY419" s="3569"/>
      <c r="BZ419" s="3569"/>
      <c r="CA419" s="3569"/>
      <c r="CB419" s="3569"/>
      <c r="CC419" s="3569"/>
      <c r="CD419" s="3569"/>
      <c r="CE419" s="3569"/>
      <c r="CF419" s="3569"/>
      <c r="CG419" s="3569"/>
      <c r="CH419" s="3569"/>
      <c r="CI419" s="3569"/>
      <c r="CJ419" s="3569"/>
      <c r="CK419" s="3569"/>
      <c r="CL419" s="3569"/>
      <c r="CM419" s="3569"/>
      <c r="CN419" s="3569"/>
      <c r="CO419" s="3569"/>
      <c r="CP419" s="3569"/>
      <c r="CQ419" s="3910"/>
      <c r="CR419" s="3581"/>
      <c r="CS419" s="3728"/>
      <c r="CT419" s="3728" t="str">
        <f>IF(T419="","",T419)</f>
        <v/>
      </c>
      <c r="CU419" s="3728"/>
      <c r="CV419" s="3728"/>
    </row>
    <row s="9177" customFormat="1" customHeight="1" ht="0.75">
      <c r="A420" s="4239"/>
      <c r="B420" s="4239"/>
      <c r="C420" s="4239"/>
      <c r="D420" s="4239"/>
      <c r="E420" s="3717"/>
      <c r="F420" s="3717" t="s">
        <v>116</v>
      </c>
      <c r="G420" s="3718"/>
      <c r="H420" s="4239"/>
      <c r="I420" s="4239"/>
      <c r="J420" s="4239"/>
      <c r="K420" s="4239"/>
      <c r="L420" s="4240"/>
      <c r="M420" s="4241"/>
      <c r="N420" s="4241"/>
      <c r="O420" s="3581"/>
      <c r="P420" s="4242"/>
      <c r="Q420" s="4243"/>
      <c r="R420" s="4242"/>
      <c r="S420" s="4244"/>
      <c r="T420" s="4245" t="s">
        <v>254</v>
      </c>
      <c r="U420" s="3571"/>
      <c r="V420" s="3571"/>
      <c r="W420" s="3571"/>
      <c r="X420" s="3571"/>
      <c r="Y420" s="3571"/>
      <c r="Z420" s="3571"/>
      <c r="AA420" s="3571"/>
      <c r="AB420" s="3571"/>
      <c r="AC420" s="3571"/>
      <c r="AD420" s="3571"/>
      <c r="AE420" s="3571"/>
      <c r="AF420" s="3571"/>
      <c r="AG420" s="3571"/>
      <c r="AH420" s="3571"/>
      <c r="AI420" s="3571"/>
      <c r="AJ420" s="3571"/>
      <c r="AK420" s="3571"/>
      <c r="AL420" s="3571"/>
      <c r="AM420" s="3571"/>
      <c r="AN420" s="3571"/>
      <c r="AO420" s="3571"/>
      <c r="AP420" s="3571"/>
      <c r="AQ420" s="3571"/>
      <c r="AR420" s="3571"/>
      <c r="AS420" s="3571"/>
      <c r="AT420" s="3571"/>
      <c r="AU420" s="3571"/>
      <c r="AV420" s="3571"/>
      <c r="AW420" s="3571"/>
      <c r="AX420" s="3571"/>
      <c r="AY420" s="3571"/>
      <c r="AZ420" s="3571"/>
      <c r="BA420" s="3571"/>
      <c r="BB420" s="3571"/>
      <c r="BC420" s="3571"/>
      <c r="BD420" s="3571"/>
      <c r="BE420" s="3571"/>
      <c r="BF420" s="3571"/>
      <c r="BG420" s="3571"/>
      <c r="BH420" s="3571"/>
      <c r="BI420" s="3571"/>
      <c r="BJ420" s="3571"/>
      <c r="BK420" s="3571"/>
      <c r="BL420" s="3571"/>
      <c r="BM420" s="3571"/>
      <c r="BN420" s="3571"/>
      <c r="BO420" s="3571"/>
      <c r="BP420" s="3571"/>
      <c r="BQ420" s="3571"/>
      <c r="BR420" s="3571"/>
      <c r="BS420" s="3571"/>
      <c r="BT420" s="3571"/>
      <c r="BU420" s="3571"/>
      <c r="BV420" s="3571"/>
      <c r="BW420" s="3571"/>
      <c r="BX420" s="3571"/>
      <c r="BY420" s="3571"/>
      <c r="BZ420" s="3571"/>
      <c r="CA420" s="3571"/>
      <c r="CB420" s="3571"/>
      <c r="CC420" s="3571"/>
      <c r="CD420" s="3571"/>
      <c r="CE420" s="3571"/>
      <c r="CF420" s="3571"/>
      <c r="CG420" s="3571"/>
      <c r="CH420" s="3571"/>
      <c r="CI420" s="3571"/>
      <c r="CJ420" s="3571"/>
      <c r="CK420" s="3571"/>
      <c r="CL420" s="3571"/>
      <c r="CM420" s="3571"/>
      <c r="CN420" s="3571"/>
      <c r="CO420" s="3571"/>
      <c r="CP420" s="3571"/>
      <c r="CQ420" s="3571"/>
      <c r="CR420" s="3581"/>
      <c r="CS420" s="3728"/>
      <c r="CT420" s="3728" t="str">
        <f>IF(T420="","",T420)</f>
        <v>Добавить источник для дифференциации</v>
      </c>
      <c r="CU420" s="3728"/>
      <c r="CV420" s="3728"/>
    </row>
    <row s="9178" customFormat="1" customHeight="1" ht="0.75">
      <c r="A421" s="4239"/>
      <c r="B421" s="4239"/>
      <c r="C421" s="4239"/>
      <c r="D421" s="4239"/>
      <c r="E421" s="3717"/>
      <c r="F421" s="3718" t="s">
        <v>116</v>
      </c>
      <c r="G421" s="4239"/>
      <c r="H421" s="4239"/>
      <c r="I421" s="4239"/>
      <c r="J421" s="4239"/>
      <c r="K421" s="4239"/>
      <c r="L421" s="4240"/>
      <c r="M421" s="4247"/>
      <c r="N421" s="4247"/>
      <c r="O421" s="3581"/>
      <c r="P421" s="4242"/>
      <c r="Q421" s="4243"/>
      <c r="R421" s="4242"/>
      <c r="S421" s="4248"/>
      <c r="T421" s="4249" t="s">
        <v>255</v>
      </c>
      <c r="U421" s="3572"/>
      <c r="V421" s="3572"/>
      <c r="W421" s="3572"/>
      <c r="X421" s="3572"/>
      <c r="Y421" s="3572"/>
      <c r="Z421" s="3572"/>
      <c r="AA421" s="3572"/>
      <c r="AB421" s="3572"/>
      <c r="AC421" s="3572"/>
      <c r="AD421" s="3572"/>
      <c r="AE421" s="3572"/>
      <c r="AF421" s="3572"/>
      <c r="AG421" s="3572"/>
      <c r="AH421" s="3572"/>
      <c r="AI421" s="3572"/>
      <c r="AJ421" s="3572"/>
      <c r="AK421" s="3572"/>
      <c r="AL421" s="3572"/>
      <c r="AM421" s="3572"/>
      <c r="AN421" s="3572"/>
      <c r="AO421" s="3572"/>
      <c r="AP421" s="3572"/>
      <c r="AQ421" s="3572"/>
      <c r="AR421" s="3572"/>
      <c r="AS421" s="3572"/>
      <c r="AT421" s="3572"/>
      <c r="AU421" s="3572"/>
      <c r="AV421" s="3572"/>
      <c r="AW421" s="3572"/>
      <c r="AX421" s="3572"/>
      <c r="AY421" s="3572"/>
      <c r="AZ421" s="3572"/>
      <c r="BA421" s="3572"/>
      <c r="BB421" s="3572"/>
      <c r="BC421" s="3572"/>
      <c r="BD421" s="3572"/>
      <c r="BE421" s="3572"/>
      <c r="BF421" s="3572"/>
      <c r="BG421" s="3572"/>
      <c r="BH421" s="3572"/>
      <c r="BI421" s="3572"/>
      <c r="BJ421" s="3572"/>
      <c r="BK421" s="3572"/>
      <c r="BL421" s="3572"/>
      <c r="BM421" s="3572"/>
      <c r="BN421" s="3572"/>
      <c r="BO421" s="3572"/>
      <c r="BP421" s="3572"/>
      <c r="BQ421" s="3572"/>
      <c r="BR421" s="3572"/>
      <c r="BS421" s="3572"/>
      <c r="BT421" s="3572"/>
      <c r="BU421" s="3572"/>
      <c r="BV421" s="3572"/>
      <c r="BW421" s="3572"/>
      <c r="BX421" s="3572"/>
      <c r="BY421" s="3572"/>
      <c r="BZ421" s="3572"/>
      <c r="CA421" s="3572"/>
      <c r="CB421" s="3572"/>
      <c r="CC421" s="3572"/>
      <c r="CD421" s="3572"/>
      <c r="CE421" s="3572"/>
      <c r="CF421" s="3572"/>
      <c r="CG421" s="3572"/>
      <c r="CH421" s="3572"/>
      <c r="CI421" s="3572"/>
      <c r="CJ421" s="3572"/>
      <c r="CK421" s="3572"/>
      <c r="CL421" s="3572"/>
      <c r="CM421" s="3572"/>
      <c r="CN421" s="3572"/>
      <c r="CO421" s="3572"/>
      <c r="CP421" s="3572"/>
      <c r="CQ421" s="3572"/>
      <c r="CR421" s="3581"/>
      <c r="CS421" s="3728"/>
      <c r="CT421" s="3728" t="str">
        <f>IF(T421="","",T421)</f>
        <v>Добавить централизованную систему для дифференциации</v>
      </c>
      <c r="CU421" s="3728"/>
      <c r="CV421" s="3728"/>
    </row>
    <row s="9179" customFormat="1" customHeight="1" ht="21">
      <c r="A422" s="3716"/>
      <c r="B422" s="3716" t="s">
        <v>352</v>
      </c>
      <c r="C422" s="3716"/>
      <c r="D422" s="3716"/>
      <c r="E422" s="3717"/>
      <c r="F422" s="3718" t="s">
        <v>94</v>
      </c>
      <c r="G422" s="3716"/>
      <c r="H422" s="3716"/>
      <c r="I422" s="3716"/>
      <c r="J422" s="3716"/>
      <c r="K422" s="3716"/>
      <c r="L422" s="3719"/>
      <c r="M422" s="3720"/>
      <c r="N422" s="3720"/>
      <c r="O422" s="3720"/>
      <c r="P422" s="4073"/>
      <c r="Q422" s="3722"/>
      <c r="R422" s="3723"/>
      <c r="S422" s="3724" t="str">
        <f>INDEX(PT_DIFFERENTIATION_NUM_TER,MATCH(B422,PT_DIFFERENTIATION_TER_ID,0))</f>
        <v>2.7</v>
      </c>
      <c r="T422" s="4074" t="s">
        <v>612</v>
      </c>
      <c r="U422" s="3726"/>
      <c r="V422" s="3432"/>
      <c r="W422" s="3433"/>
      <c r="X422" s="3433"/>
      <c r="Y422" s="3433"/>
      <c r="Z422" s="3433"/>
      <c r="AA422" s="3433"/>
      <c r="AB422" s="3433"/>
      <c r="AC422" s="3434"/>
      <c r="AD422" s="3432" t="str">
        <f>INDEX(PT_DIFFERENTIATION_TER,MATCH(B422,PT_DIFFERENTIATION_TER_ID,0))</f>
        <v>Территория 7</v>
      </c>
      <c r="AE422" s="3433"/>
      <c r="AF422" s="3433"/>
      <c r="AG422" s="3433"/>
      <c r="AH422" s="3433"/>
      <c r="AI422" s="3433"/>
      <c r="AJ422" s="3433"/>
      <c r="AK422" s="3433"/>
      <c r="AL422" s="3432"/>
      <c r="AM422" s="3433"/>
      <c r="AN422" s="3433"/>
      <c r="AO422" s="3433"/>
      <c r="AP422" s="3433"/>
      <c r="AQ422" s="3433"/>
      <c r="AR422" s="3433"/>
      <c r="AS422" s="3434"/>
      <c r="AT422" s="3432"/>
      <c r="AU422" s="3433"/>
      <c r="AV422" s="3433"/>
      <c r="AW422" s="3433"/>
      <c r="AX422" s="3433"/>
      <c r="AY422" s="3433"/>
      <c r="AZ422" s="3433"/>
      <c r="BA422" s="3434"/>
      <c r="BB422" s="3432"/>
      <c r="BC422" s="3433"/>
      <c r="BD422" s="3433"/>
      <c r="BE422" s="3433"/>
      <c r="BF422" s="3433"/>
      <c r="BG422" s="3433"/>
      <c r="BH422" s="3433"/>
      <c r="BI422" s="3434"/>
      <c r="BJ422" s="3432"/>
      <c r="BK422" s="3433"/>
      <c r="BL422" s="3433"/>
      <c r="BM422" s="3433"/>
      <c r="BN422" s="3433"/>
      <c r="BO422" s="3433"/>
      <c r="BP422" s="3433"/>
      <c r="BQ422" s="3434"/>
      <c r="BR422" s="3432"/>
      <c r="BS422" s="3433"/>
      <c r="BT422" s="3433"/>
      <c r="BU422" s="3433"/>
      <c r="BV422" s="3433"/>
      <c r="BW422" s="3433"/>
      <c r="BX422" s="3433"/>
      <c r="BY422" s="3434"/>
      <c r="BZ422" s="3432"/>
      <c r="CA422" s="3433"/>
      <c r="CB422" s="3433"/>
      <c r="CC422" s="3433"/>
      <c r="CD422" s="3433"/>
      <c r="CE422" s="3433"/>
      <c r="CF422" s="3433"/>
      <c r="CG422" s="3434"/>
      <c r="CH422" s="3432"/>
      <c r="CI422" s="3433"/>
      <c r="CJ422" s="3433"/>
      <c r="CK422" s="3433"/>
      <c r="CL422" s="3433"/>
      <c r="CM422" s="3433"/>
      <c r="CN422" s="3433"/>
      <c r="CO422" s="3434"/>
      <c r="CP422" s="3434"/>
      <c r="CQ422" s="3727" t="s">
        <v>613</v>
      </c>
      <c r="CR422" s="3581"/>
      <c r="CS422" s="3728"/>
      <c r="CT422" s="3728" t="str">
        <f>IF(T422="","",T422)</f>
        <v>Территория действия тарифа</v>
      </c>
      <c r="CU422" s="3728"/>
      <c r="CV422" s="3728"/>
    </row>
    <row s="9180" customFormat="1" customHeight="1" ht="23.25">
      <c r="A423" s="3716"/>
      <c r="B423" s="3716"/>
      <c r="C423" s="3716" t="s">
        <v>353</v>
      </c>
      <c r="D423" s="3716"/>
      <c r="E423" s="3717"/>
      <c r="F423" s="3717" t="s">
        <v>93</v>
      </c>
      <c r="G423" s="3718">
        <v>1</v>
      </c>
      <c r="H423" s="3716"/>
      <c r="I423" s="3716"/>
      <c r="J423" s="3716"/>
      <c r="K423" s="3716"/>
      <c r="L423" s="3719"/>
      <c r="M423" s="3720"/>
      <c r="N423" s="3720"/>
      <c r="O423" s="3720"/>
      <c r="P423" s="3721"/>
      <c r="Q423" s="3722"/>
      <c r="R423" s="3723"/>
      <c r="S423" s="3724" t="str">
        <f>INDEX(PT_DIFFERENTIATION_NUM_CS,MATCH(C423,PT_DIFFERENTIATION_CS_ID,0))</f>
        <v>2.7.1</v>
      </c>
      <c r="T423" s="4076" t="s">
        <v>614</v>
      </c>
      <c r="U423" s="3726"/>
      <c r="V423" s="3432"/>
      <c r="W423" s="3433"/>
      <c r="X423" s="3433"/>
      <c r="Y423" s="3433"/>
      <c r="Z423" s="3433"/>
      <c r="AA423" s="3433"/>
      <c r="AB423" s="3433"/>
      <c r="AC423" s="3434"/>
      <c r="AD423" s="3432" t="str">
        <f>INDEX(PT_DIFFERENTIATION_CS,MATCH(C423,PT_DIFFERENTIATION_CS_ID,0))</f>
        <v>без дифференциации</v>
      </c>
      <c r="AE423" s="3433"/>
      <c r="AF423" s="3433"/>
      <c r="AG423" s="3433"/>
      <c r="AH423" s="3433"/>
      <c r="AI423" s="3433"/>
      <c r="AJ423" s="3433"/>
      <c r="AK423" s="3433"/>
      <c r="AL423" s="3432"/>
      <c r="AM423" s="3433"/>
      <c r="AN423" s="3433"/>
      <c r="AO423" s="3433"/>
      <c r="AP423" s="3433"/>
      <c r="AQ423" s="3433"/>
      <c r="AR423" s="3433"/>
      <c r="AS423" s="3434"/>
      <c r="AT423" s="3432"/>
      <c r="AU423" s="3433"/>
      <c r="AV423" s="3433"/>
      <c r="AW423" s="3433"/>
      <c r="AX423" s="3433"/>
      <c r="AY423" s="3433"/>
      <c r="AZ423" s="3433"/>
      <c r="BA423" s="3434"/>
      <c r="BB423" s="3432"/>
      <c r="BC423" s="3433"/>
      <c r="BD423" s="3433"/>
      <c r="BE423" s="3433"/>
      <c r="BF423" s="3433"/>
      <c r="BG423" s="3433"/>
      <c r="BH423" s="3433"/>
      <c r="BI423" s="3434"/>
      <c r="BJ423" s="3432"/>
      <c r="BK423" s="3433"/>
      <c r="BL423" s="3433"/>
      <c r="BM423" s="3433"/>
      <c r="BN423" s="3433"/>
      <c r="BO423" s="3433"/>
      <c r="BP423" s="3433"/>
      <c r="BQ423" s="3434"/>
      <c r="BR423" s="3432"/>
      <c r="BS423" s="3433"/>
      <c r="BT423" s="3433"/>
      <c r="BU423" s="3433"/>
      <c r="BV423" s="3433"/>
      <c r="BW423" s="3433"/>
      <c r="BX423" s="3433"/>
      <c r="BY423" s="3434"/>
      <c r="BZ423" s="3432"/>
      <c r="CA423" s="3433"/>
      <c r="CB423" s="3433"/>
      <c r="CC423" s="3433"/>
      <c r="CD423" s="3433"/>
      <c r="CE423" s="3433"/>
      <c r="CF423" s="3433"/>
      <c r="CG423" s="3434"/>
      <c r="CH423" s="3432"/>
      <c r="CI423" s="3433"/>
      <c r="CJ423" s="3433"/>
      <c r="CK423" s="3433"/>
      <c r="CL423" s="3433"/>
      <c r="CM423" s="3433"/>
      <c r="CN423" s="3433"/>
      <c r="CO423" s="3434"/>
      <c r="CP423" s="3434"/>
      <c r="CQ423" s="3727" t="s">
        <v>615</v>
      </c>
      <c r="CR423" s="3581"/>
      <c r="CS423" s="3728"/>
      <c r="CT423" s="3728" t="str">
        <f>IF(T423="","",T423)</f>
        <v>Наименование системы теплоснабжения </v>
      </c>
      <c r="CU423" s="3728"/>
      <c r="CV423" s="3728"/>
    </row>
    <row s="9181" customFormat="1" customHeight="1" ht="21">
      <c r="A424" s="3716"/>
      <c r="B424" s="3716"/>
      <c r="C424" s="3716"/>
      <c r="D424" s="3716" t="s">
        <v>354</v>
      </c>
      <c r="E424" s="3717"/>
      <c r="F424" s="3717" t="s">
        <v>93</v>
      </c>
      <c r="G424" s="3717"/>
      <c r="H424" s="3718">
        <v>1</v>
      </c>
      <c r="I424" s="3716"/>
      <c r="J424" s="3716"/>
      <c r="K424" s="3716"/>
      <c r="L424" s="3719"/>
      <c r="M424" s="3720"/>
      <c r="N424" s="3720"/>
      <c r="O424" s="3720"/>
      <c r="P424" s="3721"/>
      <c r="Q424" s="3722"/>
      <c r="R424" s="3723"/>
      <c r="S424" s="3724" t="str">
        <f>INDEX(PT_DIFFERENTIATION_NUM_IST_TE,MATCH(D424,PT_DIFFERENTIATION_IST_TE_ID,0))</f>
        <v>2.7.1.1</v>
      </c>
      <c r="T424" s="3725" t="s">
        <v>616</v>
      </c>
      <c r="U424" s="3726"/>
      <c r="V424" s="3432"/>
      <c r="W424" s="3433"/>
      <c r="X424" s="3433"/>
      <c r="Y424" s="3433"/>
      <c r="Z424" s="3433"/>
      <c r="AA424" s="3433"/>
      <c r="AB424" s="3433"/>
      <c r="AC424" s="3434"/>
      <c r="AD424" s="3432" t="str">
        <f>INDEX(PT_DIFFERENTIATION_IST_TE,MATCH(D424,PT_DIFFERENTIATION_IST_TE_ID,0))</f>
        <v>без дифференциации</v>
      </c>
      <c r="AE424" s="3433"/>
      <c r="AF424" s="3433"/>
      <c r="AG424" s="3433"/>
      <c r="AH424" s="3433"/>
      <c r="AI424" s="3433"/>
      <c r="AJ424" s="3433"/>
      <c r="AK424" s="3433"/>
      <c r="AL424" s="3432"/>
      <c r="AM424" s="3433"/>
      <c r="AN424" s="3433"/>
      <c r="AO424" s="3433"/>
      <c r="AP424" s="3433"/>
      <c r="AQ424" s="3433"/>
      <c r="AR424" s="3433"/>
      <c r="AS424" s="3434"/>
      <c r="AT424" s="3432"/>
      <c r="AU424" s="3433"/>
      <c r="AV424" s="3433"/>
      <c r="AW424" s="3433"/>
      <c r="AX424" s="3433"/>
      <c r="AY424" s="3433"/>
      <c r="AZ424" s="3433"/>
      <c r="BA424" s="3434"/>
      <c r="BB424" s="3432"/>
      <c r="BC424" s="3433"/>
      <c r="BD424" s="3433"/>
      <c r="BE424" s="3433"/>
      <c r="BF424" s="3433"/>
      <c r="BG424" s="3433"/>
      <c r="BH424" s="3433"/>
      <c r="BI424" s="3434"/>
      <c r="BJ424" s="3432"/>
      <c r="BK424" s="3433"/>
      <c r="BL424" s="3433"/>
      <c r="BM424" s="3433"/>
      <c r="BN424" s="3433"/>
      <c r="BO424" s="3433"/>
      <c r="BP424" s="3433"/>
      <c r="BQ424" s="3434"/>
      <c r="BR424" s="3432"/>
      <c r="BS424" s="3433"/>
      <c r="BT424" s="3433"/>
      <c r="BU424" s="3433"/>
      <c r="BV424" s="3433"/>
      <c r="BW424" s="3433"/>
      <c r="BX424" s="3433"/>
      <c r="BY424" s="3434"/>
      <c r="BZ424" s="3432"/>
      <c r="CA424" s="3433"/>
      <c r="CB424" s="3433"/>
      <c r="CC424" s="3433"/>
      <c r="CD424" s="3433"/>
      <c r="CE424" s="3433"/>
      <c r="CF424" s="3433"/>
      <c r="CG424" s="3434"/>
      <c r="CH424" s="3432"/>
      <c r="CI424" s="3433"/>
      <c r="CJ424" s="3433"/>
      <c r="CK424" s="3433"/>
      <c r="CL424" s="3433"/>
      <c r="CM424" s="3433"/>
      <c r="CN424" s="3433"/>
      <c r="CO424" s="3434"/>
      <c r="CP424" s="3434"/>
      <c r="CQ424" s="3727" t="s">
        <v>617</v>
      </c>
      <c r="CR424" s="3581"/>
      <c r="CS424" s="3728"/>
      <c r="CT424" s="3728" t="str">
        <f>IF(T424="","",T424)</f>
        <v>Источник тепловой энергии  </v>
      </c>
      <c r="CU424" s="3728"/>
      <c r="CV424" s="3728"/>
    </row>
    <row s="9182" customFormat="1" customHeight="1" ht="14.25">
      <c r="A425" s="3716"/>
      <c r="B425" s="3716"/>
      <c r="C425" s="3716"/>
      <c r="D425" s="3716"/>
      <c r="E425" s="3717"/>
      <c r="F425" s="3717" t="s">
        <v>93</v>
      </c>
      <c r="G425" s="3717"/>
      <c r="H425" s="3717"/>
      <c r="I425" s="3730" t="str">
        <f>S424&amp;".1"</f>
        <v>2.7.1.1.1</v>
      </c>
      <c r="J425" s="3716"/>
      <c r="K425" s="3716"/>
      <c r="L425" s="3719" t="s">
        <v>618</v>
      </c>
      <c r="M425" s="3573"/>
      <c r="N425" s="3731"/>
      <c r="O425" s="3731"/>
      <c r="P425" s="3732">
        <v>1</v>
      </c>
      <c r="Q425" s="3732"/>
      <c r="R425" s="3733"/>
      <c r="S425" s="3734"/>
      <c r="T425" s="3735"/>
      <c r="U425" s="3736"/>
      <c r="V425" s="3441"/>
      <c r="W425" s="3442"/>
      <c r="X425" s="3442"/>
      <c r="Y425" s="3442"/>
      <c r="Z425" s="3442"/>
      <c r="AA425" s="3442"/>
      <c r="AB425" s="3442"/>
      <c r="AC425" s="3443"/>
      <c r="AD425" s="3441"/>
      <c r="AE425" s="3442"/>
      <c r="AF425" s="3442"/>
      <c r="AG425" s="3442"/>
      <c r="AH425" s="3442"/>
      <c r="AI425" s="3442"/>
      <c r="AJ425" s="3442"/>
      <c r="AK425" s="3442"/>
      <c r="AL425" s="3441"/>
      <c r="AM425" s="3442"/>
      <c r="AN425" s="3442"/>
      <c r="AO425" s="3442"/>
      <c r="AP425" s="3442"/>
      <c r="AQ425" s="3442"/>
      <c r="AR425" s="3442"/>
      <c r="AS425" s="3443"/>
      <c r="AT425" s="3441"/>
      <c r="AU425" s="3442"/>
      <c r="AV425" s="3442"/>
      <c r="AW425" s="3442"/>
      <c r="AX425" s="3442"/>
      <c r="AY425" s="3442"/>
      <c r="AZ425" s="3442"/>
      <c r="BA425" s="3443"/>
      <c r="BB425" s="3441"/>
      <c r="BC425" s="3442"/>
      <c r="BD425" s="3442"/>
      <c r="BE425" s="3442"/>
      <c r="BF425" s="3442"/>
      <c r="BG425" s="3442"/>
      <c r="BH425" s="3442"/>
      <c r="BI425" s="3443"/>
      <c r="BJ425" s="3441"/>
      <c r="BK425" s="3442"/>
      <c r="BL425" s="3442"/>
      <c r="BM425" s="3442"/>
      <c r="BN425" s="3442"/>
      <c r="BO425" s="3442"/>
      <c r="BP425" s="3442"/>
      <c r="BQ425" s="3443"/>
      <c r="BR425" s="3441"/>
      <c r="BS425" s="3442"/>
      <c r="BT425" s="3442"/>
      <c r="BU425" s="3442"/>
      <c r="BV425" s="3442"/>
      <c r="BW425" s="3442"/>
      <c r="BX425" s="3442"/>
      <c r="BY425" s="3443"/>
      <c r="BZ425" s="3441"/>
      <c r="CA425" s="3442"/>
      <c r="CB425" s="3442"/>
      <c r="CC425" s="3442"/>
      <c r="CD425" s="3442"/>
      <c r="CE425" s="3442"/>
      <c r="CF425" s="3442"/>
      <c r="CG425" s="3443"/>
      <c r="CH425" s="3441"/>
      <c r="CI425" s="3442"/>
      <c r="CJ425" s="3442"/>
      <c r="CK425" s="3442"/>
      <c r="CL425" s="3442"/>
      <c r="CM425" s="3442"/>
      <c r="CN425" s="3442"/>
      <c r="CO425" s="3443"/>
      <c r="CP425" s="3443"/>
      <c r="CQ425" s="3737"/>
      <c r="CR425" s="3581"/>
      <c r="CS425" s="3728"/>
      <c r="CT425" s="3728" t="str">
        <f>IF(T425="","",T425)</f>
        <v/>
      </c>
      <c r="CU425" s="3728"/>
      <c r="CV425" s="3728"/>
    </row>
    <row s="9183" customFormat="1" customHeight="1" ht="21">
      <c r="A426" s="3716"/>
      <c r="B426" s="3716"/>
      <c r="C426" s="3716"/>
      <c r="D426" s="3716"/>
      <c r="E426" s="3717"/>
      <c r="F426" s="3717" t="s">
        <v>93</v>
      </c>
      <c r="G426" s="3717"/>
      <c r="H426" s="3717"/>
      <c r="I426" s="3739"/>
      <c r="J426" s="3730" t="str">
        <f>I425&amp;".1"</f>
        <v>2.7.1.1.1.1</v>
      </c>
      <c r="K426" s="3716"/>
      <c r="L426" s="3719" t="s">
        <v>621</v>
      </c>
      <c r="M426" s="3573"/>
      <c r="N426" s="3573"/>
      <c r="O426" s="3731"/>
      <c r="P426" s="3732"/>
      <c r="Q426" s="3732">
        <v>1</v>
      </c>
      <c r="R426" s="3740"/>
      <c r="S426" s="3724" t="str">
        <f>$J426</f>
        <v>2.7.1.1.1.1</v>
      </c>
      <c r="T426" s="3741" t="s">
        <v>622</v>
      </c>
      <c r="U426" s="3726"/>
      <c r="V426" s="3445"/>
      <c r="W426" s="3446"/>
      <c r="X426" s="3446"/>
      <c r="Y426" s="3446"/>
      <c r="Z426" s="3446"/>
      <c r="AA426" s="3446"/>
      <c r="AB426" s="3446"/>
      <c r="AC426" s="3447"/>
      <c r="AD426" s="3445" t="s">
        <v>665</v>
      </c>
      <c r="AE426" s="3446"/>
      <c r="AF426" s="3446"/>
      <c r="AG426" s="3446"/>
      <c r="AH426" s="3446"/>
      <c r="AI426" s="3446"/>
      <c r="AJ426" s="3446"/>
      <c r="AK426" s="3446"/>
      <c r="AL426" s="3445"/>
      <c r="AM426" s="3446"/>
      <c r="AN426" s="3446"/>
      <c r="AO426" s="3446"/>
      <c r="AP426" s="3446"/>
      <c r="AQ426" s="3446"/>
      <c r="AR426" s="3446"/>
      <c r="AS426" s="3447"/>
      <c r="AT426" s="3445"/>
      <c r="AU426" s="3446"/>
      <c r="AV426" s="3446"/>
      <c r="AW426" s="3446"/>
      <c r="AX426" s="3446"/>
      <c r="AY426" s="3446"/>
      <c r="AZ426" s="3446"/>
      <c r="BA426" s="3447"/>
      <c r="BB426" s="3445"/>
      <c r="BC426" s="3446"/>
      <c r="BD426" s="3446"/>
      <c r="BE426" s="3446"/>
      <c r="BF426" s="3446"/>
      <c r="BG426" s="3446"/>
      <c r="BH426" s="3446"/>
      <c r="BI426" s="3447"/>
      <c r="BJ426" s="3445"/>
      <c r="BK426" s="3446"/>
      <c r="BL426" s="3446"/>
      <c r="BM426" s="3446"/>
      <c r="BN426" s="3446"/>
      <c r="BO426" s="3446"/>
      <c r="BP426" s="3446"/>
      <c r="BQ426" s="3447"/>
      <c r="BR426" s="3445"/>
      <c r="BS426" s="3446"/>
      <c r="BT426" s="3446"/>
      <c r="BU426" s="3446"/>
      <c r="BV426" s="3446"/>
      <c r="BW426" s="3446"/>
      <c r="BX426" s="3446"/>
      <c r="BY426" s="3447"/>
      <c r="BZ426" s="3445"/>
      <c r="CA426" s="3446"/>
      <c r="CB426" s="3446"/>
      <c r="CC426" s="3446"/>
      <c r="CD426" s="3446"/>
      <c r="CE426" s="3446"/>
      <c r="CF426" s="3446"/>
      <c r="CG426" s="3447"/>
      <c r="CH426" s="3445"/>
      <c r="CI426" s="3446"/>
      <c r="CJ426" s="3446"/>
      <c r="CK426" s="3446"/>
      <c r="CL426" s="3446"/>
      <c r="CM426" s="3446"/>
      <c r="CN426" s="3446"/>
      <c r="CO426" s="3447"/>
      <c r="CP426" s="3447"/>
      <c r="CQ426" s="3727" t="s">
        <v>623</v>
      </c>
      <c r="CR426" s="3581"/>
      <c r="CS426" s="3728"/>
      <c r="CT426" s="3728" t="str">
        <f>IF(T426="","",T426)</f>
        <v>Группа потребителей</v>
      </c>
      <c r="CU426" s="3728"/>
      <c r="CV426" s="3728"/>
    </row>
    <row s="9184" customFormat="1" customHeight="1" ht="21">
      <c r="A427" s="3716"/>
      <c r="B427" s="3716"/>
      <c r="C427" s="3716"/>
      <c r="D427" s="3716"/>
      <c r="E427" s="3717"/>
      <c r="F427" s="3717" t="s">
        <v>93</v>
      </c>
      <c r="G427" s="3717"/>
      <c r="H427" s="3717"/>
      <c r="I427" s="3739"/>
      <c r="J427" s="3739"/>
      <c r="K427" s="3730" t="str">
        <f>J426&amp;".1"</f>
        <v>2.7.1.1.1.1.1</v>
      </c>
      <c r="L427" s="3719" t="s">
        <v>624</v>
      </c>
      <c r="M427" s="3573"/>
      <c r="N427" s="3573"/>
      <c r="O427" s="3573"/>
      <c r="P427" s="3732"/>
      <c r="Q427" s="3732"/>
      <c r="R427" s="3740">
        <v>1</v>
      </c>
      <c r="S427" s="3724" t="str">
        <f>$K427</f>
        <v>2.7.1.1.1.1.1</v>
      </c>
      <c r="T427" s="3743" t="s">
        <v>663</v>
      </c>
      <c r="U427" s="3726"/>
      <c r="V427" s="3448"/>
      <c r="W427" s="3449"/>
      <c r="X427" s="3448"/>
      <c r="Y427" s="3450"/>
      <c r="Z427" s="3451"/>
      <c r="AA427" s="2872" t="s">
        <v>63</v>
      </c>
      <c r="AB427" s="3451"/>
      <c r="AC427" s="2872" t="s">
        <v>63</v>
      </c>
      <c r="AD427" s="3448">
        <v>30.73</v>
      </c>
      <c r="AE427" s="3449"/>
      <c r="AF427" s="3448"/>
      <c r="AG427" s="3450"/>
      <c r="AH427" s="3451">
        <v>44197</v>
      </c>
      <c r="AI427" s="2872" t="s">
        <v>63</v>
      </c>
      <c r="AJ427" s="3451">
        <v>44377</v>
      </c>
      <c r="AK427" s="2872" t="s">
        <v>63</v>
      </c>
      <c r="AL427" s="3448">
        <v>33.8</v>
      </c>
      <c r="AM427" s="3449"/>
      <c r="AN427" s="3448"/>
      <c r="AO427" s="3450"/>
      <c r="AP427" s="3451">
        <v>44378</v>
      </c>
      <c r="AQ427" s="2872" t="s">
        <v>63</v>
      </c>
      <c r="AR427" s="3451">
        <v>44561</v>
      </c>
      <c r="AS427" s="2872" t="s">
        <v>63</v>
      </c>
      <c r="AT427" s="3448">
        <v>33.8</v>
      </c>
      <c r="AU427" s="3449"/>
      <c r="AV427" s="3448"/>
      <c r="AW427" s="3450"/>
      <c r="AX427" s="3451">
        <v>44562</v>
      </c>
      <c r="AY427" s="2872" t="s">
        <v>63</v>
      </c>
      <c r="AZ427" s="3451">
        <v>44601</v>
      </c>
      <c r="BA427" s="2872" t="s">
        <v>63</v>
      </c>
      <c r="BB427" s="3448">
        <v>33.8</v>
      </c>
      <c r="BC427" s="3449"/>
      <c r="BD427" s="3448"/>
      <c r="BE427" s="3450"/>
      <c r="BF427" s="3451">
        <v>44602</v>
      </c>
      <c r="BG427" s="2872" t="s">
        <v>63</v>
      </c>
      <c r="BH427" s="3451">
        <v>44742</v>
      </c>
      <c r="BI427" s="2872" t="s">
        <v>63</v>
      </c>
      <c r="BJ427" s="3448">
        <v>35.5</v>
      </c>
      <c r="BK427" s="3449"/>
      <c r="BL427" s="3448"/>
      <c r="BM427" s="3450"/>
      <c r="BN427" s="3451">
        <v>44743</v>
      </c>
      <c r="BO427" s="2872" t="s">
        <v>63</v>
      </c>
      <c r="BP427" s="3451">
        <v>44804</v>
      </c>
      <c r="BQ427" s="2872" t="s">
        <v>63</v>
      </c>
      <c r="BR427" s="3448">
        <v>35.5</v>
      </c>
      <c r="BS427" s="3449"/>
      <c r="BT427" s="3448"/>
      <c r="BU427" s="3450"/>
      <c r="BV427" s="3451">
        <v>44805</v>
      </c>
      <c r="BW427" s="2872" t="s">
        <v>63</v>
      </c>
      <c r="BX427" s="3451">
        <v>44895</v>
      </c>
      <c r="BY427" s="2872" t="s">
        <v>63</v>
      </c>
      <c r="BZ427" s="3448">
        <v>37.63</v>
      </c>
      <c r="CA427" s="3449"/>
      <c r="CB427" s="3448"/>
      <c r="CC427" s="3450"/>
      <c r="CD427" s="3451">
        <v>44896</v>
      </c>
      <c r="CE427" s="2872" t="s">
        <v>63</v>
      </c>
      <c r="CF427" s="3451">
        <v>45174</v>
      </c>
      <c r="CG427" s="2872" t="s">
        <v>63</v>
      </c>
      <c r="CH427" s="3448">
        <v>37.63</v>
      </c>
      <c r="CI427" s="3449"/>
      <c r="CJ427" s="3448"/>
      <c r="CK427" s="3450"/>
      <c r="CL427" s="3451">
        <v>45175</v>
      </c>
      <c r="CM427" s="2872" t="s">
        <v>63</v>
      </c>
      <c r="CN427" s="3451">
        <v>45291</v>
      </c>
      <c r="CO427" s="2872" t="s">
        <v>63</v>
      </c>
      <c r="CP427" s="3449"/>
      <c r="CQ427" s="3744" t="s">
        <v>625</v>
      </c>
      <c r="CR427" s="3581">
        <f>STRCHECKDATE(V428:CP428)</f>
      </c>
      <c r="CS427" s="3728"/>
      <c r="CT427" s="3728" t="str">
        <f>IF(T427="","",T427)</f>
        <v>вода</v>
      </c>
      <c r="CU427" s="3728"/>
      <c r="CV427" s="3728"/>
    </row>
    <row s="9185" customFormat="1" customHeight="1" ht="0.75">
      <c r="A428" s="3716"/>
      <c r="B428" s="3716"/>
      <c r="C428" s="3716"/>
      <c r="D428" s="3716"/>
      <c r="E428" s="3717"/>
      <c r="F428" s="3717" t="s">
        <v>93</v>
      </c>
      <c r="G428" s="3717"/>
      <c r="H428" s="3717"/>
      <c r="I428" s="3739"/>
      <c r="J428" s="3739"/>
      <c r="K428" s="3730"/>
      <c r="L428" s="3719"/>
      <c r="M428" s="3573"/>
      <c r="N428" s="3573"/>
      <c r="O428" s="3573"/>
      <c r="P428" s="3732"/>
      <c r="Q428" s="3732"/>
      <c r="R428" s="3740"/>
      <c r="S428" s="3746"/>
      <c r="T428" s="3726"/>
      <c r="U428" s="3726"/>
      <c r="V428" s="3449"/>
      <c r="W428" s="3449"/>
      <c r="X428" s="3449"/>
      <c r="Y428" s="3452" t="str">
        <f>Z427&amp;"-"&amp;AB427</f>
        <v>-</v>
      </c>
      <c r="Z428" s="3453"/>
      <c r="AA428" s="2872"/>
      <c r="AB428" s="3453"/>
      <c r="AC428" s="2872"/>
      <c r="AD428" s="3449"/>
      <c r="AE428" s="3449"/>
      <c r="AF428" s="3449"/>
      <c r="AG428" s="3452" t="str">
        <f>AH427&amp;"-"&amp;AJ427</f>
        <v>44197-44377</v>
      </c>
      <c r="AH428" s="3453"/>
      <c r="AI428" s="2872"/>
      <c r="AJ428" s="3453"/>
      <c r="AK428" s="2872"/>
      <c r="AL428" s="3449"/>
      <c r="AM428" s="3449"/>
      <c r="AN428" s="3449"/>
      <c r="AO428" s="3452" t="str">
        <f>AP427&amp;"-"&amp;AR427</f>
        <v>44378-44561</v>
      </c>
      <c r="AP428" s="3453"/>
      <c r="AQ428" s="2872"/>
      <c r="AR428" s="3453"/>
      <c r="AS428" s="2872"/>
      <c r="AT428" s="3449"/>
      <c r="AU428" s="3449"/>
      <c r="AV428" s="3449"/>
      <c r="AW428" s="3452" t="str">
        <f>AX427&amp;"-"&amp;AZ427</f>
        <v>44562-44601</v>
      </c>
      <c r="AX428" s="3453"/>
      <c r="AY428" s="2872"/>
      <c r="AZ428" s="3453"/>
      <c r="BA428" s="2872"/>
      <c r="BB428" s="3449"/>
      <c r="BC428" s="3449"/>
      <c r="BD428" s="3449"/>
      <c r="BE428" s="3452" t="str">
        <f>BF427&amp;"-"&amp;BH427</f>
        <v>44602-44742</v>
      </c>
      <c r="BF428" s="3453"/>
      <c r="BG428" s="2872"/>
      <c r="BH428" s="3453"/>
      <c r="BI428" s="2872"/>
      <c r="BJ428" s="3449"/>
      <c r="BK428" s="3449"/>
      <c r="BL428" s="3449"/>
      <c r="BM428" s="3452" t="str">
        <f>BN427&amp;"-"&amp;BP427</f>
        <v>44743-44804</v>
      </c>
      <c r="BN428" s="3453"/>
      <c r="BO428" s="2872"/>
      <c r="BP428" s="3453"/>
      <c r="BQ428" s="2872"/>
      <c r="BR428" s="3449"/>
      <c r="BS428" s="3449"/>
      <c r="BT428" s="3449"/>
      <c r="BU428" s="3452" t="str">
        <f>BV427&amp;"-"&amp;BX427</f>
        <v>44805-44895</v>
      </c>
      <c r="BV428" s="3453"/>
      <c r="BW428" s="2872"/>
      <c r="BX428" s="3453"/>
      <c r="BY428" s="2872"/>
      <c r="BZ428" s="3449"/>
      <c r="CA428" s="3449"/>
      <c r="CB428" s="3449"/>
      <c r="CC428" s="3452" t="str">
        <f>CD427&amp;"-"&amp;CF427</f>
        <v>44896-45174</v>
      </c>
      <c r="CD428" s="3453"/>
      <c r="CE428" s="2872"/>
      <c r="CF428" s="3453"/>
      <c r="CG428" s="2872"/>
      <c r="CH428" s="3449"/>
      <c r="CI428" s="3449"/>
      <c r="CJ428" s="3449"/>
      <c r="CK428" s="3452" t="str">
        <f>CL427&amp;"-"&amp;CN427</f>
        <v>45175-45291</v>
      </c>
      <c r="CL428" s="3453"/>
      <c r="CM428" s="2872"/>
      <c r="CN428" s="3453"/>
      <c r="CO428" s="2872"/>
      <c r="CP428" s="3449"/>
      <c r="CQ428" s="3747"/>
      <c r="CR428" s="3581"/>
      <c r="CS428" s="3728"/>
      <c r="CT428" s="3728" t="str">
        <f>IF(T428="","",T428)</f>
        <v/>
      </c>
      <c r="CU428" s="3728"/>
      <c r="CV428" s="3728"/>
    </row>
    <row s="9186" customFormat="1" customHeight="1" ht="15">
      <c r="A429" s="3716"/>
      <c r="B429" s="3716"/>
      <c r="C429" s="3716"/>
      <c r="D429" s="3716"/>
      <c r="E429" s="3717"/>
      <c r="F429" s="3717" t="s">
        <v>93</v>
      </c>
      <c r="G429" s="3717"/>
      <c r="H429" s="3717"/>
      <c r="I429" s="3739"/>
      <c r="J429" s="3730"/>
      <c r="K429" s="3716"/>
      <c r="L429" s="3719"/>
      <c r="M429" s="3573"/>
      <c r="N429" s="3573"/>
      <c r="O429" s="3731"/>
      <c r="P429" s="3732"/>
      <c r="Q429" s="3732"/>
      <c r="R429" s="3733"/>
      <c r="S429" s="9187"/>
      <c r="T429" s="9188" t="s">
        <v>626</v>
      </c>
      <c r="U429" s="9189"/>
      <c r="V429" s="9190"/>
      <c r="W429" s="9191"/>
      <c r="X429" s="9192"/>
      <c r="Y429" s="9193"/>
      <c r="Z429" s="9194"/>
      <c r="AA429" s="9195"/>
      <c r="AB429" s="9196"/>
      <c r="AC429" s="9197"/>
      <c r="AD429" s="9198"/>
      <c r="AE429" s="9199"/>
      <c r="AF429" s="9200"/>
      <c r="AG429" s="9201"/>
      <c r="AH429" s="9202"/>
      <c r="AI429" s="9203"/>
      <c r="AJ429" s="9204"/>
      <c r="AK429" s="9205"/>
      <c r="AL429" s="9206"/>
      <c r="AM429" s="9207"/>
      <c r="AN429" s="9208"/>
      <c r="AO429" s="9209"/>
      <c r="AP429" s="9210"/>
      <c r="AQ429" s="9211"/>
      <c r="AR429" s="9212"/>
      <c r="AS429" s="9213"/>
      <c r="AT429" s="9214"/>
      <c r="AU429" s="9215"/>
      <c r="AV429" s="9216"/>
      <c r="AW429" s="9217"/>
      <c r="AX429" s="9218"/>
      <c r="AY429" s="9219"/>
      <c r="AZ429" s="9220"/>
      <c r="BA429" s="9221"/>
      <c r="BB429" s="9222"/>
      <c r="BC429" s="9223"/>
      <c r="BD429" s="9224"/>
      <c r="BE429" s="9225"/>
      <c r="BF429" s="9226"/>
      <c r="BG429" s="9227"/>
      <c r="BH429" s="9228"/>
      <c r="BI429" s="9229"/>
      <c r="BJ429" s="9230"/>
      <c r="BK429" s="9231"/>
      <c r="BL429" s="9232"/>
      <c r="BM429" s="9233"/>
      <c r="BN429" s="9234"/>
      <c r="BO429" s="9235"/>
      <c r="BP429" s="9236"/>
      <c r="BQ429" s="9237"/>
      <c r="BR429" s="9238"/>
      <c r="BS429" s="9239"/>
      <c r="BT429" s="9240"/>
      <c r="BU429" s="9241"/>
      <c r="BV429" s="9242"/>
      <c r="BW429" s="9243"/>
      <c r="BX429" s="9244"/>
      <c r="BY429" s="9245"/>
      <c r="BZ429" s="9246"/>
      <c r="CA429" s="9247"/>
      <c r="CB429" s="9248"/>
      <c r="CC429" s="9249"/>
      <c r="CD429" s="9250"/>
      <c r="CE429" s="9251"/>
      <c r="CF429" s="9252"/>
      <c r="CG429" s="9253"/>
      <c r="CH429" s="9254"/>
      <c r="CI429" s="9255"/>
      <c r="CJ429" s="9256"/>
      <c r="CK429" s="9257"/>
      <c r="CL429" s="9258"/>
      <c r="CM429" s="9259"/>
      <c r="CN429" s="9260"/>
      <c r="CO429" s="9261"/>
      <c r="CP429" s="9262"/>
      <c r="CQ429" s="3825"/>
      <c r="CR429" s="3581"/>
      <c r="CS429" s="3728"/>
      <c r="CT429" s="3728" t="str">
        <f>IF(T429="","",T429)</f>
        <v>Добавить вид теплоносителя (параметры теплоносителя)</v>
      </c>
      <c r="CU429" s="3728"/>
      <c r="CV429" s="3728"/>
    </row>
    <row s="9263" customFormat="1" customHeight="1" ht="15">
      <c r="A430" s="3716"/>
      <c r="B430" s="3716"/>
      <c r="C430" s="3716"/>
      <c r="D430" s="3716"/>
      <c r="E430" s="3717"/>
      <c r="F430" s="3717" t="s">
        <v>93</v>
      </c>
      <c r="G430" s="3717"/>
      <c r="H430" s="3717"/>
      <c r="I430" s="3730"/>
      <c r="J430" s="3716"/>
      <c r="K430" s="3716"/>
      <c r="L430" s="3719"/>
      <c r="M430" s="3573"/>
      <c r="N430" s="3731"/>
      <c r="O430" s="3731"/>
      <c r="P430" s="3732"/>
      <c r="Q430" s="3732"/>
      <c r="R430" s="3733"/>
      <c r="S430" s="9264"/>
      <c r="T430" s="9265" t="s">
        <v>627</v>
      </c>
      <c r="U430" s="9266"/>
      <c r="V430" s="9267"/>
      <c r="W430" s="9268"/>
      <c r="X430" s="9269"/>
      <c r="Y430" s="9270"/>
      <c r="Z430" s="9271"/>
      <c r="AA430" s="9272"/>
      <c r="AB430" s="9273"/>
      <c r="AC430" s="9274"/>
      <c r="AD430" s="9275"/>
      <c r="AE430" s="9276"/>
      <c r="AF430" s="9277"/>
      <c r="AG430" s="9278"/>
      <c r="AH430" s="9279"/>
      <c r="AI430" s="9280"/>
      <c r="AJ430" s="9281"/>
      <c r="AK430" s="9282"/>
      <c r="AL430" s="9283"/>
      <c r="AM430" s="9284"/>
      <c r="AN430" s="9285"/>
      <c r="AO430" s="9286"/>
      <c r="AP430" s="9287"/>
      <c r="AQ430" s="9288"/>
      <c r="AR430" s="9289"/>
      <c r="AS430" s="9290"/>
      <c r="AT430" s="9291"/>
      <c r="AU430" s="9292"/>
      <c r="AV430" s="9293"/>
      <c r="AW430" s="9294"/>
      <c r="AX430" s="9295"/>
      <c r="AY430" s="9296"/>
      <c r="AZ430" s="9297"/>
      <c r="BA430" s="9298"/>
      <c r="BB430" s="9299"/>
      <c r="BC430" s="9300"/>
      <c r="BD430" s="9301"/>
      <c r="BE430" s="9302"/>
      <c r="BF430" s="9303"/>
      <c r="BG430" s="9304"/>
      <c r="BH430" s="9305"/>
      <c r="BI430" s="9306"/>
      <c r="BJ430" s="9307"/>
      <c r="BK430" s="9308"/>
      <c r="BL430" s="9309"/>
      <c r="BM430" s="9310"/>
      <c r="BN430" s="9311"/>
      <c r="BO430" s="9312"/>
      <c r="BP430" s="9313"/>
      <c r="BQ430" s="9314"/>
      <c r="BR430" s="9315"/>
      <c r="BS430" s="9316"/>
      <c r="BT430" s="9317"/>
      <c r="BU430" s="9318"/>
      <c r="BV430" s="9319"/>
      <c r="BW430" s="9320"/>
      <c r="BX430" s="9321"/>
      <c r="BY430" s="9322"/>
      <c r="BZ430" s="9323"/>
      <c r="CA430" s="9324"/>
      <c r="CB430" s="9325"/>
      <c r="CC430" s="9326"/>
      <c r="CD430" s="9327"/>
      <c r="CE430" s="9328"/>
      <c r="CF430" s="9329"/>
      <c r="CG430" s="9330"/>
      <c r="CH430" s="9331"/>
      <c r="CI430" s="9332"/>
      <c r="CJ430" s="9333"/>
      <c r="CK430" s="9334"/>
      <c r="CL430" s="9335"/>
      <c r="CM430" s="9336"/>
      <c r="CN430" s="9337"/>
      <c r="CO430" s="9338"/>
      <c r="CP430" s="9339"/>
      <c r="CQ430" s="9340"/>
      <c r="CR430" s="3581"/>
      <c r="CS430" s="3728"/>
      <c r="CT430" s="3728" t="str">
        <f>IF(T430="","",T430)</f>
        <v>Добавить группу потребителей</v>
      </c>
      <c r="CU430" s="3728"/>
      <c r="CV430" s="3728"/>
    </row>
    <row s="9341" customFormat="1" customHeight="1" ht="14.25">
      <c r="A431" s="3716"/>
      <c r="B431" s="3716"/>
      <c r="C431" s="3716"/>
      <c r="D431" s="3716"/>
      <c r="E431" s="3717"/>
      <c r="F431" s="3717" t="s">
        <v>93</v>
      </c>
      <c r="G431" s="3717"/>
      <c r="H431" s="3718"/>
      <c r="I431" s="3716"/>
      <c r="J431" s="3716"/>
      <c r="K431" s="3716"/>
      <c r="L431" s="3719"/>
      <c r="M431" s="3720"/>
      <c r="N431" s="3720"/>
      <c r="O431" s="3573"/>
      <c r="P431" s="3905"/>
      <c r="Q431" s="3906"/>
      <c r="R431" s="3907"/>
      <c r="S431" s="3908"/>
      <c r="T431" s="3909"/>
      <c r="U431" s="3569"/>
      <c r="V431" s="3569"/>
      <c r="W431" s="3569"/>
      <c r="X431" s="3569"/>
      <c r="Y431" s="3569"/>
      <c r="Z431" s="3569"/>
      <c r="AA431" s="3569"/>
      <c r="AB431" s="3569"/>
      <c r="AC431" s="3569"/>
      <c r="AD431" s="3569"/>
      <c r="AE431" s="3569"/>
      <c r="AF431" s="3569"/>
      <c r="AG431" s="3569"/>
      <c r="AH431" s="3569"/>
      <c r="AI431" s="3569"/>
      <c r="AJ431" s="3569"/>
      <c r="AK431" s="3569"/>
      <c r="AL431" s="3569"/>
      <c r="AM431" s="3569"/>
      <c r="AN431" s="3569"/>
      <c r="AO431" s="3569"/>
      <c r="AP431" s="3569"/>
      <c r="AQ431" s="3569"/>
      <c r="AR431" s="3569"/>
      <c r="AS431" s="3569"/>
      <c r="AT431" s="3569"/>
      <c r="AU431" s="3569"/>
      <c r="AV431" s="3569"/>
      <c r="AW431" s="3569"/>
      <c r="AX431" s="3569"/>
      <c r="AY431" s="3569"/>
      <c r="AZ431" s="3569"/>
      <c r="BA431" s="3569"/>
      <c r="BB431" s="3569"/>
      <c r="BC431" s="3569"/>
      <c r="BD431" s="3569"/>
      <c r="BE431" s="3569"/>
      <c r="BF431" s="3569"/>
      <c r="BG431" s="3569"/>
      <c r="BH431" s="3569"/>
      <c r="BI431" s="3569"/>
      <c r="BJ431" s="3569"/>
      <c r="BK431" s="3569"/>
      <c r="BL431" s="3569"/>
      <c r="BM431" s="3569"/>
      <c r="BN431" s="3569"/>
      <c r="BO431" s="3569"/>
      <c r="BP431" s="3569"/>
      <c r="BQ431" s="3569"/>
      <c r="BR431" s="3569"/>
      <c r="BS431" s="3569"/>
      <c r="BT431" s="3569"/>
      <c r="BU431" s="3569"/>
      <c r="BV431" s="3569"/>
      <c r="BW431" s="3569"/>
      <c r="BX431" s="3569"/>
      <c r="BY431" s="3569"/>
      <c r="BZ431" s="3569"/>
      <c r="CA431" s="3569"/>
      <c r="CB431" s="3569"/>
      <c r="CC431" s="3569"/>
      <c r="CD431" s="3569"/>
      <c r="CE431" s="3569"/>
      <c r="CF431" s="3569"/>
      <c r="CG431" s="3569"/>
      <c r="CH431" s="3569"/>
      <c r="CI431" s="3569"/>
      <c r="CJ431" s="3569"/>
      <c r="CK431" s="3569"/>
      <c r="CL431" s="3569"/>
      <c r="CM431" s="3569"/>
      <c r="CN431" s="3569"/>
      <c r="CO431" s="3569"/>
      <c r="CP431" s="3569"/>
      <c r="CQ431" s="3910"/>
      <c r="CR431" s="3581"/>
      <c r="CS431" s="3728"/>
      <c r="CT431" s="3728" t="str">
        <f>IF(T431="","",T431)</f>
        <v/>
      </c>
      <c r="CU431" s="3728"/>
      <c r="CV431" s="3728"/>
    </row>
    <row s="9342" customFormat="1" customHeight="1" ht="0.75">
      <c r="A432" s="4239"/>
      <c r="B432" s="4239"/>
      <c r="C432" s="4239"/>
      <c r="D432" s="4239"/>
      <c r="E432" s="3717"/>
      <c r="F432" s="3717" t="s">
        <v>93</v>
      </c>
      <c r="G432" s="3718"/>
      <c r="H432" s="4239"/>
      <c r="I432" s="4239"/>
      <c r="J432" s="4239"/>
      <c r="K432" s="4239"/>
      <c r="L432" s="4240"/>
      <c r="M432" s="4241"/>
      <c r="N432" s="4241"/>
      <c r="O432" s="3581"/>
      <c r="P432" s="4242"/>
      <c r="Q432" s="4243"/>
      <c r="R432" s="4242"/>
      <c r="S432" s="4244"/>
      <c r="T432" s="4245" t="s">
        <v>254</v>
      </c>
      <c r="U432" s="3571"/>
      <c r="V432" s="3571"/>
      <c r="W432" s="3571"/>
      <c r="X432" s="3571"/>
      <c r="Y432" s="3571"/>
      <c r="Z432" s="3571"/>
      <c r="AA432" s="3571"/>
      <c r="AB432" s="3571"/>
      <c r="AC432" s="3571"/>
      <c r="AD432" s="3571"/>
      <c r="AE432" s="3571"/>
      <c r="AF432" s="3571"/>
      <c r="AG432" s="3571"/>
      <c r="AH432" s="3571"/>
      <c r="AI432" s="3571"/>
      <c r="AJ432" s="3571"/>
      <c r="AK432" s="3571"/>
      <c r="AL432" s="3571"/>
      <c r="AM432" s="3571"/>
      <c r="AN432" s="3571"/>
      <c r="AO432" s="3571"/>
      <c r="AP432" s="3571"/>
      <c r="AQ432" s="3571"/>
      <c r="AR432" s="3571"/>
      <c r="AS432" s="3571"/>
      <c r="AT432" s="3571"/>
      <c r="AU432" s="3571"/>
      <c r="AV432" s="3571"/>
      <c r="AW432" s="3571"/>
      <c r="AX432" s="3571"/>
      <c r="AY432" s="3571"/>
      <c r="AZ432" s="3571"/>
      <c r="BA432" s="3571"/>
      <c r="BB432" s="3571"/>
      <c r="BC432" s="3571"/>
      <c r="BD432" s="3571"/>
      <c r="BE432" s="3571"/>
      <c r="BF432" s="3571"/>
      <c r="BG432" s="3571"/>
      <c r="BH432" s="3571"/>
      <c r="BI432" s="3571"/>
      <c r="BJ432" s="3571"/>
      <c r="BK432" s="3571"/>
      <c r="BL432" s="3571"/>
      <c r="BM432" s="3571"/>
      <c r="BN432" s="3571"/>
      <c r="BO432" s="3571"/>
      <c r="BP432" s="3571"/>
      <c r="BQ432" s="3571"/>
      <c r="BR432" s="3571"/>
      <c r="BS432" s="3571"/>
      <c r="BT432" s="3571"/>
      <c r="BU432" s="3571"/>
      <c r="BV432" s="3571"/>
      <c r="BW432" s="3571"/>
      <c r="BX432" s="3571"/>
      <c r="BY432" s="3571"/>
      <c r="BZ432" s="3571"/>
      <c r="CA432" s="3571"/>
      <c r="CB432" s="3571"/>
      <c r="CC432" s="3571"/>
      <c r="CD432" s="3571"/>
      <c r="CE432" s="3571"/>
      <c r="CF432" s="3571"/>
      <c r="CG432" s="3571"/>
      <c r="CH432" s="3571"/>
      <c r="CI432" s="3571"/>
      <c r="CJ432" s="3571"/>
      <c r="CK432" s="3571"/>
      <c r="CL432" s="3571"/>
      <c r="CM432" s="3571"/>
      <c r="CN432" s="3571"/>
      <c r="CO432" s="3571"/>
      <c r="CP432" s="3571"/>
      <c r="CQ432" s="3571"/>
      <c r="CR432" s="3581"/>
      <c r="CS432" s="3728"/>
      <c r="CT432" s="3728" t="str">
        <f>IF(T432="","",T432)</f>
        <v>Добавить источник для дифференциации</v>
      </c>
      <c r="CU432" s="3728"/>
      <c r="CV432" s="3728"/>
    </row>
    <row s="9343" customFormat="1" customHeight="1" ht="0.75">
      <c r="A433" s="4239"/>
      <c r="B433" s="4239"/>
      <c r="C433" s="4239"/>
      <c r="D433" s="4239"/>
      <c r="E433" s="3717"/>
      <c r="F433" s="3718" t="s">
        <v>93</v>
      </c>
      <c r="G433" s="4239"/>
      <c r="H433" s="4239"/>
      <c r="I433" s="4239"/>
      <c r="J433" s="4239"/>
      <c r="K433" s="4239"/>
      <c r="L433" s="4240"/>
      <c r="M433" s="4247"/>
      <c r="N433" s="4247"/>
      <c r="O433" s="3581"/>
      <c r="P433" s="4242"/>
      <c r="Q433" s="4243"/>
      <c r="R433" s="4242"/>
      <c r="S433" s="4248"/>
      <c r="T433" s="4249" t="s">
        <v>255</v>
      </c>
      <c r="U433" s="3572"/>
      <c r="V433" s="3572"/>
      <c r="W433" s="3572"/>
      <c r="X433" s="3572"/>
      <c r="Y433" s="3572"/>
      <c r="Z433" s="3572"/>
      <c r="AA433" s="3572"/>
      <c r="AB433" s="3572"/>
      <c r="AC433" s="3572"/>
      <c r="AD433" s="3572"/>
      <c r="AE433" s="3572"/>
      <c r="AF433" s="3572"/>
      <c r="AG433" s="3572"/>
      <c r="AH433" s="3572"/>
      <c r="AI433" s="3572"/>
      <c r="AJ433" s="3572"/>
      <c r="AK433" s="3572"/>
      <c r="AL433" s="3572"/>
      <c r="AM433" s="3572"/>
      <c r="AN433" s="3572"/>
      <c r="AO433" s="3572"/>
      <c r="AP433" s="3572"/>
      <c r="AQ433" s="3572"/>
      <c r="AR433" s="3572"/>
      <c r="AS433" s="3572"/>
      <c r="AT433" s="3572"/>
      <c r="AU433" s="3572"/>
      <c r="AV433" s="3572"/>
      <c r="AW433" s="3572"/>
      <c r="AX433" s="3572"/>
      <c r="AY433" s="3572"/>
      <c r="AZ433" s="3572"/>
      <c r="BA433" s="3572"/>
      <c r="BB433" s="3572"/>
      <c r="BC433" s="3572"/>
      <c r="BD433" s="3572"/>
      <c r="BE433" s="3572"/>
      <c r="BF433" s="3572"/>
      <c r="BG433" s="3572"/>
      <c r="BH433" s="3572"/>
      <c r="BI433" s="3572"/>
      <c r="BJ433" s="3572"/>
      <c r="BK433" s="3572"/>
      <c r="BL433" s="3572"/>
      <c r="BM433" s="3572"/>
      <c r="BN433" s="3572"/>
      <c r="BO433" s="3572"/>
      <c r="BP433" s="3572"/>
      <c r="BQ433" s="3572"/>
      <c r="BR433" s="3572"/>
      <c r="BS433" s="3572"/>
      <c r="BT433" s="3572"/>
      <c r="BU433" s="3572"/>
      <c r="BV433" s="3572"/>
      <c r="BW433" s="3572"/>
      <c r="BX433" s="3572"/>
      <c r="BY433" s="3572"/>
      <c r="BZ433" s="3572"/>
      <c r="CA433" s="3572"/>
      <c r="CB433" s="3572"/>
      <c r="CC433" s="3572"/>
      <c r="CD433" s="3572"/>
      <c r="CE433" s="3572"/>
      <c r="CF433" s="3572"/>
      <c r="CG433" s="3572"/>
      <c r="CH433" s="3572"/>
      <c r="CI433" s="3572"/>
      <c r="CJ433" s="3572"/>
      <c r="CK433" s="3572"/>
      <c r="CL433" s="3572"/>
      <c r="CM433" s="3572"/>
      <c r="CN433" s="3572"/>
      <c r="CO433" s="3572"/>
      <c r="CP433" s="3572"/>
      <c r="CQ433" s="3572"/>
      <c r="CR433" s="3581"/>
      <c r="CS433" s="3728"/>
      <c r="CT433" s="3728" t="str">
        <f>IF(T433="","",T433)</f>
        <v>Добавить централизованную систему для дифференциации</v>
      </c>
      <c r="CU433" s="3728"/>
      <c r="CV433" s="3728"/>
    </row>
    <row s="9344" customFormat="1" customHeight="1" ht="21">
      <c r="A434" s="3716"/>
      <c r="B434" s="3716" t="s">
        <v>355</v>
      </c>
      <c r="C434" s="3716"/>
      <c r="D434" s="3716"/>
      <c r="E434" s="3717"/>
      <c r="F434" s="3718" t="s">
        <v>130</v>
      </c>
      <c r="G434" s="3716"/>
      <c r="H434" s="3716"/>
      <c r="I434" s="3716"/>
      <c r="J434" s="3716"/>
      <c r="K434" s="3716"/>
      <c r="L434" s="3719"/>
      <c r="M434" s="3720"/>
      <c r="N434" s="3720"/>
      <c r="O434" s="3720"/>
      <c r="P434" s="4073"/>
      <c r="Q434" s="3722"/>
      <c r="R434" s="3723"/>
      <c r="S434" s="3724" t="str">
        <f>INDEX(PT_DIFFERENTIATION_NUM_TER,MATCH(B434,PT_DIFFERENTIATION_TER_ID,0))</f>
        <v>2.8</v>
      </c>
      <c r="T434" s="4074" t="s">
        <v>612</v>
      </c>
      <c r="U434" s="3726"/>
      <c r="V434" s="3432"/>
      <c r="W434" s="3433"/>
      <c r="X434" s="3433"/>
      <c r="Y434" s="3433"/>
      <c r="Z434" s="3433"/>
      <c r="AA434" s="3433"/>
      <c r="AB434" s="3433"/>
      <c r="AC434" s="3434"/>
      <c r="AD434" s="3432" t="str">
        <f>INDEX(PT_DIFFERENTIATION_TER,MATCH(B434,PT_DIFFERENTIATION_TER_ID,0))</f>
        <v>Территория 8</v>
      </c>
      <c r="AE434" s="3433"/>
      <c r="AF434" s="3433"/>
      <c r="AG434" s="3433"/>
      <c r="AH434" s="3433"/>
      <c r="AI434" s="3433"/>
      <c r="AJ434" s="3433"/>
      <c r="AK434" s="3433"/>
      <c r="AL434" s="3432"/>
      <c r="AM434" s="3433"/>
      <c r="AN434" s="3433"/>
      <c r="AO434" s="3433"/>
      <c r="AP434" s="3433"/>
      <c r="AQ434" s="3433"/>
      <c r="AR434" s="3433"/>
      <c r="AS434" s="3434"/>
      <c r="AT434" s="3432"/>
      <c r="AU434" s="3433"/>
      <c r="AV434" s="3433"/>
      <c r="AW434" s="3433"/>
      <c r="AX434" s="3433"/>
      <c r="AY434" s="3433"/>
      <c r="AZ434" s="3433"/>
      <c r="BA434" s="3434"/>
      <c r="BB434" s="3432"/>
      <c r="BC434" s="3433"/>
      <c r="BD434" s="3433"/>
      <c r="BE434" s="3433"/>
      <c r="BF434" s="3433"/>
      <c r="BG434" s="3433"/>
      <c r="BH434" s="3433"/>
      <c r="BI434" s="3434"/>
      <c r="BJ434" s="3432"/>
      <c r="BK434" s="3433"/>
      <c r="BL434" s="3433"/>
      <c r="BM434" s="3433"/>
      <c r="BN434" s="3433"/>
      <c r="BO434" s="3433"/>
      <c r="BP434" s="3433"/>
      <c r="BQ434" s="3434"/>
      <c r="BR434" s="3432"/>
      <c r="BS434" s="3433"/>
      <c r="BT434" s="3433"/>
      <c r="BU434" s="3433"/>
      <c r="BV434" s="3433"/>
      <c r="BW434" s="3433"/>
      <c r="BX434" s="3433"/>
      <c r="BY434" s="3434"/>
      <c r="BZ434" s="3432"/>
      <c r="CA434" s="3433"/>
      <c r="CB434" s="3433"/>
      <c r="CC434" s="3433"/>
      <c r="CD434" s="3433"/>
      <c r="CE434" s="3433"/>
      <c r="CF434" s="3433"/>
      <c r="CG434" s="3434"/>
      <c r="CH434" s="3432"/>
      <c r="CI434" s="3433"/>
      <c r="CJ434" s="3433"/>
      <c r="CK434" s="3433"/>
      <c r="CL434" s="3433"/>
      <c r="CM434" s="3433"/>
      <c r="CN434" s="3433"/>
      <c r="CO434" s="3434"/>
      <c r="CP434" s="3434"/>
      <c r="CQ434" s="3727" t="s">
        <v>613</v>
      </c>
      <c r="CR434" s="3581"/>
      <c r="CS434" s="3728"/>
      <c r="CT434" s="3728" t="str">
        <f>IF(T434="","",T434)</f>
        <v>Территория действия тарифа</v>
      </c>
      <c r="CU434" s="3728"/>
      <c r="CV434" s="3728"/>
    </row>
    <row s="9345" customFormat="1" customHeight="1" ht="23.25">
      <c r="A435" s="3716"/>
      <c r="B435" s="3716"/>
      <c r="C435" s="3716" t="s">
        <v>356</v>
      </c>
      <c r="D435" s="3716"/>
      <c r="E435" s="3717"/>
      <c r="F435" s="3717" t="s">
        <v>94</v>
      </c>
      <c r="G435" s="3718">
        <v>1</v>
      </c>
      <c r="H435" s="3716"/>
      <c r="I435" s="3716"/>
      <c r="J435" s="3716"/>
      <c r="K435" s="3716"/>
      <c r="L435" s="3719"/>
      <c r="M435" s="3720"/>
      <c r="N435" s="3720"/>
      <c r="O435" s="3720"/>
      <c r="P435" s="3721"/>
      <c r="Q435" s="3722"/>
      <c r="R435" s="3723"/>
      <c r="S435" s="3724" t="str">
        <f>INDEX(PT_DIFFERENTIATION_NUM_CS,MATCH(C435,PT_DIFFERENTIATION_CS_ID,0))</f>
        <v>2.8.1</v>
      </c>
      <c r="T435" s="4076" t="s">
        <v>614</v>
      </c>
      <c r="U435" s="3726"/>
      <c r="V435" s="3432"/>
      <c r="W435" s="3433"/>
      <c r="X435" s="3433"/>
      <c r="Y435" s="3433"/>
      <c r="Z435" s="3433"/>
      <c r="AA435" s="3433"/>
      <c r="AB435" s="3433"/>
      <c r="AC435" s="3434"/>
      <c r="AD435" s="3432" t="str">
        <f>INDEX(PT_DIFFERENTIATION_CS,MATCH(C435,PT_DIFFERENTIATION_CS_ID,0))</f>
        <v>без дифференциации</v>
      </c>
      <c r="AE435" s="3433"/>
      <c r="AF435" s="3433"/>
      <c r="AG435" s="3433"/>
      <c r="AH435" s="3433"/>
      <c r="AI435" s="3433"/>
      <c r="AJ435" s="3433"/>
      <c r="AK435" s="3433"/>
      <c r="AL435" s="3432"/>
      <c r="AM435" s="3433"/>
      <c r="AN435" s="3433"/>
      <c r="AO435" s="3433"/>
      <c r="AP435" s="3433"/>
      <c r="AQ435" s="3433"/>
      <c r="AR435" s="3433"/>
      <c r="AS435" s="3434"/>
      <c r="AT435" s="3432"/>
      <c r="AU435" s="3433"/>
      <c r="AV435" s="3433"/>
      <c r="AW435" s="3433"/>
      <c r="AX435" s="3433"/>
      <c r="AY435" s="3433"/>
      <c r="AZ435" s="3433"/>
      <c r="BA435" s="3434"/>
      <c r="BB435" s="3432"/>
      <c r="BC435" s="3433"/>
      <c r="BD435" s="3433"/>
      <c r="BE435" s="3433"/>
      <c r="BF435" s="3433"/>
      <c r="BG435" s="3433"/>
      <c r="BH435" s="3433"/>
      <c r="BI435" s="3434"/>
      <c r="BJ435" s="3432"/>
      <c r="BK435" s="3433"/>
      <c r="BL435" s="3433"/>
      <c r="BM435" s="3433"/>
      <c r="BN435" s="3433"/>
      <c r="BO435" s="3433"/>
      <c r="BP435" s="3433"/>
      <c r="BQ435" s="3434"/>
      <c r="BR435" s="3432"/>
      <c r="BS435" s="3433"/>
      <c r="BT435" s="3433"/>
      <c r="BU435" s="3433"/>
      <c r="BV435" s="3433"/>
      <c r="BW435" s="3433"/>
      <c r="BX435" s="3433"/>
      <c r="BY435" s="3434"/>
      <c r="BZ435" s="3432"/>
      <c r="CA435" s="3433"/>
      <c r="CB435" s="3433"/>
      <c r="CC435" s="3433"/>
      <c r="CD435" s="3433"/>
      <c r="CE435" s="3433"/>
      <c r="CF435" s="3433"/>
      <c r="CG435" s="3434"/>
      <c r="CH435" s="3432"/>
      <c r="CI435" s="3433"/>
      <c r="CJ435" s="3433"/>
      <c r="CK435" s="3433"/>
      <c r="CL435" s="3433"/>
      <c r="CM435" s="3433"/>
      <c r="CN435" s="3433"/>
      <c r="CO435" s="3434"/>
      <c r="CP435" s="3434"/>
      <c r="CQ435" s="3727" t="s">
        <v>615</v>
      </c>
      <c r="CR435" s="3581"/>
      <c r="CS435" s="3728"/>
      <c r="CT435" s="3728" t="str">
        <f>IF(T435="","",T435)</f>
        <v>Наименование системы теплоснабжения </v>
      </c>
      <c r="CU435" s="3728"/>
      <c r="CV435" s="3728"/>
    </row>
    <row s="9346" customFormat="1" customHeight="1" ht="21">
      <c r="A436" s="3716"/>
      <c r="B436" s="3716"/>
      <c r="C436" s="3716"/>
      <c r="D436" s="3716" t="s">
        <v>357</v>
      </c>
      <c r="E436" s="3717"/>
      <c r="F436" s="3717" t="s">
        <v>94</v>
      </c>
      <c r="G436" s="3717"/>
      <c r="H436" s="3718">
        <v>1</v>
      </c>
      <c r="I436" s="3716"/>
      <c r="J436" s="3716"/>
      <c r="K436" s="3716"/>
      <c r="L436" s="3719"/>
      <c r="M436" s="3720"/>
      <c r="N436" s="3720"/>
      <c r="O436" s="3720"/>
      <c r="P436" s="3721"/>
      <c r="Q436" s="3722"/>
      <c r="R436" s="3723"/>
      <c r="S436" s="3724" t="str">
        <f>INDEX(PT_DIFFERENTIATION_NUM_IST_TE,MATCH(D436,PT_DIFFERENTIATION_IST_TE_ID,0))</f>
        <v>2.8.1.1</v>
      </c>
      <c r="T436" s="3725" t="s">
        <v>616</v>
      </c>
      <c r="U436" s="3726"/>
      <c r="V436" s="3432"/>
      <c r="W436" s="3433"/>
      <c r="X436" s="3433"/>
      <c r="Y436" s="3433"/>
      <c r="Z436" s="3433"/>
      <c r="AA436" s="3433"/>
      <c r="AB436" s="3433"/>
      <c r="AC436" s="3434"/>
      <c r="AD436" s="3432" t="str">
        <f>INDEX(PT_DIFFERENTIATION_IST_TE,MATCH(D436,PT_DIFFERENTIATION_IST_TE_ID,0))</f>
        <v>без дифференциации</v>
      </c>
      <c r="AE436" s="3433"/>
      <c r="AF436" s="3433"/>
      <c r="AG436" s="3433"/>
      <c r="AH436" s="3433"/>
      <c r="AI436" s="3433"/>
      <c r="AJ436" s="3433"/>
      <c r="AK436" s="3433"/>
      <c r="AL436" s="3432"/>
      <c r="AM436" s="3433"/>
      <c r="AN436" s="3433"/>
      <c r="AO436" s="3433"/>
      <c r="AP436" s="3433"/>
      <c r="AQ436" s="3433"/>
      <c r="AR436" s="3433"/>
      <c r="AS436" s="3434"/>
      <c r="AT436" s="3432"/>
      <c r="AU436" s="3433"/>
      <c r="AV436" s="3433"/>
      <c r="AW436" s="3433"/>
      <c r="AX436" s="3433"/>
      <c r="AY436" s="3433"/>
      <c r="AZ436" s="3433"/>
      <c r="BA436" s="3434"/>
      <c r="BB436" s="3432"/>
      <c r="BC436" s="3433"/>
      <c r="BD436" s="3433"/>
      <c r="BE436" s="3433"/>
      <c r="BF436" s="3433"/>
      <c r="BG436" s="3433"/>
      <c r="BH436" s="3433"/>
      <c r="BI436" s="3434"/>
      <c r="BJ436" s="3432"/>
      <c r="BK436" s="3433"/>
      <c r="BL436" s="3433"/>
      <c r="BM436" s="3433"/>
      <c r="BN436" s="3433"/>
      <c r="BO436" s="3433"/>
      <c r="BP436" s="3433"/>
      <c r="BQ436" s="3434"/>
      <c r="BR436" s="3432"/>
      <c r="BS436" s="3433"/>
      <c r="BT436" s="3433"/>
      <c r="BU436" s="3433"/>
      <c r="BV436" s="3433"/>
      <c r="BW436" s="3433"/>
      <c r="BX436" s="3433"/>
      <c r="BY436" s="3434"/>
      <c r="BZ436" s="3432"/>
      <c r="CA436" s="3433"/>
      <c r="CB436" s="3433"/>
      <c r="CC436" s="3433"/>
      <c r="CD436" s="3433"/>
      <c r="CE436" s="3433"/>
      <c r="CF436" s="3433"/>
      <c r="CG436" s="3434"/>
      <c r="CH436" s="3432"/>
      <c r="CI436" s="3433"/>
      <c r="CJ436" s="3433"/>
      <c r="CK436" s="3433"/>
      <c r="CL436" s="3433"/>
      <c r="CM436" s="3433"/>
      <c r="CN436" s="3433"/>
      <c r="CO436" s="3434"/>
      <c r="CP436" s="3434"/>
      <c r="CQ436" s="3727" t="s">
        <v>617</v>
      </c>
      <c r="CR436" s="3581"/>
      <c r="CS436" s="3728"/>
      <c r="CT436" s="3728" t="str">
        <f>IF(T436="","",T436)</f>
        <v>Источник тепловой энергии  </v>
      </c>
      <c r="CU436" s="3728"/>
      <c r="CV436" s="3728"/>
    </row>
    <row s="9347" customFormat="1" customHeight="1" ht="14.25">
      <c r="A437" s="3716"/>
      <c r="B437" s="3716"/>
      <c r="C437" s="3716"/>
      <c r="D437" s="3716"/>
      <c r="E437" s="3717"/>
      <c r="F437" s="3717" t="s">
        <v>94</v>
      </c>
      <c r="G437" s="3717"/>
      <c r="H437" s="3717"/>
      <c r="I437" s="3730" t="str">
        <f>S436&amp;".1"</f>
        <v>2.8.1.1.1</v>
      </c>
      <c r="J437" s="3716"/>
      <c r="K437" s="3716"/>
      <c r="L437" s="3719" t="s">
        <v>618</v>
      </c>
      <c r="M437" s="3573"/>
      <c r="N437" s="3731"/>
      <c r="O437" s="3731"/>
      <c r="P437" s="3732">
        <v>1</v>
      </c>
      <c r="Q437" s="3732"/>
      <c r="R437" s="3733"/>
      <c r="S437" s="3734"/>
      <c r="T437" s="3735"/>
      <c r="U437" s="3736"/>
      <c r="V437" s="3441"/>
      <c r="W437" s="3442"/>
      <c r="X437" s="3442"/>
      <c r="Y437" s="3442"/>
      <c r="Z437" s="3442"/>
      <c r="AA437" s="3442"/>
      <c r="AB437" s="3442"/>
      <c r="AC437" s="3443"/>
      <c r="AD437" s="3441"/>
      <c r="AE437" s="3442"/>
      <c r="AF437" s="3442"/>
      <c r="AG437" s="3442"/>
      <c r="AH437" s="3442"/>
      <c r="AI437" s="3442"/>
      <c r="AJ437" s="3442"/>
      <c r="AK437" s="3442"/>
      <c r="AL437" s="3441"/>
      <c r="AM437" s="3442"/>
      <c r="AN437" s="3442"/>
      <c r="AO437" s="3442"/>
      <c r="AP437" s="3442"/>
      <c r="AQ437" s="3442"/>
      <c r="AR437" s="3442"/>
      <c r="AS437" s="3443"/>
      <c r="AT437" s="3441"/>
      <c r="AU437" s="3442"/>
      <c r="AV437" s="3442"/>
      <c r="AW437" s="3442"/>
      <c r="AX437" s="3442"/>
      <c r="AY437" s="3442"/>
      <c r="AZ437" s="3442"/>
      <c r="BA437" s="3443"/>
      <c r="BB437" s="3441"/>
      <c r="BC437" s="3442"/>
      <c r="BD437" s="3442"/>
      <c r="BE437" s="3442"/>
      <c r="BF437" s="3442"/>
      <c r="BG437" s="3442"/>
      <c r="BH437" s="3442"/>
      <c r="BI437" s="3443"/>
      <c r="BJ437" s="3441"/>
      <c r="BK437" s="3442"/>
      <c r="BL437" s="3442"/>
      <c r="BM437" s="3442"/>
      <c r="BN437" s="3442"/>
      <c r="BO437" s="3442"/>
      <c r="BP437" s="3442"/>
      <c r="BQ437" s="3443"/>
      <c r="BR437" s="3441"/>
      <c r="BS437" s="3442"/>
      <c r="BT437" s="3442"/>
      <c r="BU437" s="3442"/>
      <c r="BV437" s="3442"/>
      <c r="BW437" s="3442"/>
      <c r="BX437" s="3442"/>
      <c r="BY437" s="3443"/>
      <c r="BZ437" s="3441"/>
      <c r="CA437" s="3442"/>
      <c r="CB437" s="3442"/>
      <c r="CC437" s="3442"/>
      <c r="CD437" s="3442"/>
      <c r="CE437" s="3442"/>
      <c r="CF437" s="3442"/>
      <c r="CG437" s="3443"/>
      <c r="CH437" s="3441"/>
      <c r="CI437" s="3442"/>
      <c r="CJ437" s="3442"/>
      <c r="CK437" s="3442"/>
      <c r="CL437" s="3442"/>
      <c r="CM437" s="3442"/>
      <c r="CN437" s="3442"/>
      <c r="CO437" s="3443"/>
      <c r="CP437" s="3443"/>
      <c r="CQ437" s="3737"/>
      <c r="CR437" s="3581"/>
      <c r="CS437" s="3728"/>
      <c r="CT437" s="3728" t="str">
        <f>IF(T437="","",T437)</f>
        <v/>
      </c>
      <c r="CU437" s="3728"/>
      <c r="CV437" s="3728"/>
    </row>
    <row s="9348" customFormat="1" customHeight="1" ht="21">
      <c r="A438" s="3716"/>
      <c r="B438" s="3716"/>
      <c r="C438" s="3716"/>
      <c r="D438" s="3716"/>
      <c r="E438" s="3717"/>
      <c r="F438" s="3717" t="s">
        <v>94</v>
      </c>
      <c r="G438" s="3717"/>
      <c r="H438" s="3717"/>
      <c r="I438" s="3739"/>
      <c r="J438" s="3730" t="str">
        <f>I437&amp;".1"</f>
        <v>2.8.1.1.1.1</v>
      </c>
      <c r="K438" s="3716"/>
      <c r="L438" s="3719" t="s">
        <v>621</v>
      </c>
      <c r="M438" s="3573"/>
      <c r="N438" s="3573"/>
      <c r="O438" s="3731"/>
      <c r="P438" s="3732"/>
      <c r="Q438" s="3732">
        <v>1</v>
      </c>
      <c r="R438" s="3740"/>
      <c r="S438" s="3724" t="str">
        <f>$J438</f>
        <v>2.8.1.1.1.1</v>
      </c>
      <c r="T438" s="3741" t="s">
        <v>622</v>
      </c>
      <c r="U438" s="3726"/>
      <c r="V438" s="3445"/>
      <c r="W438" s="3446"/>
      <c r="X438" s="3446"/>
      <c r="Y438" s="3446"/>
      <c r="Z438" s="3446"/>
      <c r="AA438" s="3446"/>
      <c r="AB438" s="3446"/>
      <c r="AC438" s="3447"/>
      <c r="AD438" s="3445" t="s">
        <v>665</v>
      </c>
      <c r="AE438" s="3446"/>
      <c r="AF438" s="3446"/>
      <c r="AG438" s="3446"/>
      <c r="AH438" s="3446"/>
      <c r="AI438" s="3446"/>
      <c r="AJ438" s="3446"/>
      <c r="AK438" s="3446"/>
      <c r="AL438" s="3445"/>
      <c r="AM438" s="3446"/>
      <c r="AN438" s="3446"/>
      <c r="AO438" s="3446"/>
      <c r="AP438" s="3446"/>
      <c r="AQ438" s="3446"/>
      <c r="AR438" s="3446"/>
      <c r="AS438" s="3447"/>
      <c r="AT438" s="3445"/>
      <c r="AU438" s="3446"/>
      <c r="AV438" s="3446"/>
      <c r="AW438" s="3446"/>
      <c r="AX438" s="3446"/>
      <c r="AY438" s="3446"/>
      <c r="AZ438" s="3446"/>
      <c r="BA438" s="3447"/>
      <c r="BB438" s="3445"/>
      <c r="BC438" s="3446"/>
      <c r="BD438" s="3446"/>
      <c r="BE438" s="3446"/>
      <c r="BF438" s="3446"/>
      <c r="BG438" s="3446"/>
      <c r="BH438" s="3446"/>
      <c r="BI438" s="3447"/>
      <c r="BJ438" s="3445"/>
      <c r="BK438" s="3446"/>
      <c r="BL438" s="3446"/>
      <c r="BM438" s="3446"/>
      <c r="BN438" s="3446"/>
      <c r="BO438" s="3446"/>
      <c r="BP438" s="3446"/>
      <c r="BQ438" s="3447"/>
      <c r="BR438" s="3445"/>
      <c r="BS438" s="3446"/>
      <c r="BT438" s="3446"/>
      <c r="BU438" s="3446"/>
      <c r="BV438" s="3446"/>
      <c r="BW438" s="3446"/>
      <c r="BX438" s="3446"/>
      <c r="BY438" s="3447"/>
      <c r="BZ438" s="3445"/>
      <c r="CA438" s="3446"/>
      <c r="CB438" s="3446"/>
      <c r="CC438" s="3446"/>
      <c r="CD438" s="3446"/>
      <c r="CE438" s="3446"/>
      <c r="CF438" s="3446"/>
      <c r="CG438" s="3447"/>
      <c r="CH438" s="3445"/>
      <c r="CI438" s="3446"/>
      <c r="CJ438" s="3446"/>
      <c r="CK438" s="3446"/>
      <c r="CL438" s="3446"/>
      <c r="CM438" s="3446"/>
      <c r="CN438" s="3446"/>
      <c r="CO438" s="3447"/>
      <c r="CP438" s="3447"/>
      <c r="CQ438" s="3727" t="s">
        <v>623</v>
      </c>
      <c r="CR438" s="3581"/>
      <c r="CS438" s="3728"/>
      <c r="CT438" s="3728" t="str">
        <f>IF(T438="","",T438)</f>
        <v>Группа потребителей</v>
      </c>
      <c r="CU438" s="3728"/>
      <c r="CV438" s="3728"/>
    </row>
    <row s="9349" customFormat="1" customHeight="1" ht="21">
      <c r="A439" s="3716"/>
      <c r="B439" s="3716"/>
      <c r="C439" s="3716"/>
      <c r="D439" s="3716"/>
      <c r="E439" s="3717"/>
      <c r="F439" s="3717" t="s">
        <v>94</v>
      </c>
      <c r="G439" s="3717"/>
      <c r="H439" s="3717"/>
      <c r="I439" s="3739"/>
      <c r="J439" s="3739"/>
      <c r="K439" s="3730" t="str">
        <f>J438&amp;".1"</f>
        <v>2.8.1.1.1.1.1</v>
      </c>
      <c r="L439" s="3719" t="s">
        <v>624</v>
      </c>
      <c r="M439" s="3573"/>
      <c r="N439" s="3573"/>
      <c r="O439" s="3573"/>
      <c r="P439" s="3732"/>
      <c r="Q439" s="3732"/>
      <c r="R439" s="3740">
        <v>1</v>
      </c>
      <c r="S439" s="3724" t="str">
        <f>$K439</f>
        <v>2.8.1.1.1.1.1</v>
      </c>
      <c r="T439" s="3743" t="s">
        <v>663</v>
      </c>
      <c r="U439" s="3726"/>
      <c r="V439" s="3448"/>
      <c r="W439" s="3449"/>
      <c r="X439" s="3448"/>
      <c r="Y439" s="3450"/>
      <c r="Z439" s="3451"/>
      <c r="AA439" s="2872" t="s">
        <v>63</v>
      </c>
      <c r="AB439" s="3451"/>
      <c r="AC439" s="2872" t="s">
        <v>63</v>
      </c>
      <c r="AD439" s="3448">
        <v>33.4</v>
      </c>
      <c r="AE439" s="3449"/>
      <c r="AF439" s="3448"/>
      <c r="AG439" s="3450"/>
      <c r="AH439" s="3451">
        <v>44197</v>
      </c>
      <c r="AI439" s="2872" t="s">
        <v>63</v>
      </c>
      <c r="AJ439" s="3451">
        <v>44377</v>
      </c>
      <c r="AK439" s="2872" t="s">
        <v>63</v>
      </c>
      <c r="AL439" s="3448">
        <v>33.4</v>
      </c>
      <c r="AM439" s="3449"/>
      <c r="AN439" s="3448"/>
      <c r="AO439" s="3450"/>
      <c r="AP439" s="3451">
        <v>44378</v>
      </c>
      <c r="AQ439" s="2872" t="s">
        <v>63</v>
      </c>
      <c r="AR439" s="3451">
        <v>44561</v>
      </c>
      <c r="AS439" s="2872" t="s">
        <v>63</v>
      </c>
      <c r="AT439" s="3448">
        <v>33.4</v>
      </c>
      <c r="AU439" s="3449"/>
      <c r="AV439" s="3448"/>
      <c r="AW439" s="3450"/>
      <c r="AX439" s="3451">
        <v>44562</v>
      </c>
      <c r="AY439" s="2872" t="s">
        <v>63</v>
      </c>
      <c r="AZ439" s="3451">
        <v>44601</v>
      </c>
      <c r="BA439" s="2872" t="s">
        <v>63</v>
      </c>
      <c r="BB439" s="3448">
        <v>33.4</v>
      </c>
      <c r="BC439" s="3449"/>
      <c r="BD439" s="3448"/>
      <c r="BE439" s="3450"/>
      <c r="BF439" s="3451">
        <v>44602</v>
      </c>
      <c r="BG439" s="2872" t="s">
        <v>63</v>
      </c>
      <c r="BH439" s="3451">
        <v>44742</v>
      </c>
      <c r="BI439" s="2872" t="s">
        <v>63</v>
      </c>
      <c r="BJ439" s="3448">
        <v>35.69</v>
      </c>
      <c r="BK439" s="3449"/>
      <c r="BL439" s="3448"/>
      <c r="BM439" s="3450"/>
      <c r="BN439" s="3451">
        <v>44743</v>
      </c>
      <c r="BO439" s="2872" t="s">
        <v>63</v>
      </c>
      <c r="BP439" s="3451">
        <v>44804</v>
      </c>
      <c r="BQ439" s="2872" t="s">
        <v>63</v>
      </c>
      <c r="BR439" s="3448">
        <v>35.69</v>
      </c>
      <c r="BS439" s="3449"/>
      <c r="BT439" s="3448"/>
      <c r="BU439" s="3450"/>
      <c r="BV439" s="3451">
        <v>44805</v>
      </c>
      <c r="BW439" s="2872" t="s">
        <v>63</v>
      </c>
      <c r="BX439" s="3451">
        <v>44895</v>
      </c>
      <c r="BY439" s="2872" t="s">
        <v>63</v>
      </c>
      <c r="BZ439" s="3448">
        <v>36.73</v>
      </c>
      <c r="CA439" s="3449"/>
      <c r="CB439" s="3448"/>
      <c r="CC439" s="3450"/>
      <c r="CD439" s="3451">
        <v>44896</v>
      </c>
      <c r="CE439" s="2872" t="s">
        <v>63</v>
      </c>
      <c r="CF439" s="3451">
        <v>45174</v>
      </c>
      <c r="CG439" s="2872" t="s">
        <v>63</v>
      </c>
      <c r="CH439" s="3448">
        <v>36.73</v>
      </c>
      <c r="CI439" s="3449"/>
      <c r="CJ439" s="3448"/>
      <c r="CK439" s="3450"/>
      <c r="CL439" s="3451">
        <v>45175</v>
      </c>
      <c r="CM439" s="2872" t="s">
        <v>63</v>
      </c>
      <c r="CN439" s="3451">
        <v>45291</v>
      </c>
      <c r="CO439" s="2872" t="s">
        <v>63</v>
      </c>
      <c r="CP439" s="3449"/>
      <c r="CQ439" s="3744" t="s">
        <v>625</v>
      </c>
      <c r="CR439" s="3581">
        <f>STRCHECKDATE(V440:CP440)</f>
      </c>
      <c r="CS439" s="3728"/>
      <c r="CT439" s="3728" t="str">
        <f>IF(T439="","",T439)</f>
        <v>вода</v>
      </c>
      <c r="CU439" s="3728"/>
      <c r="CV439" s="3728"/>
    </row>
    <row s="9350" customFormat="1" customHeight="1" ht="0.75">
      <c r="A440" s="3716"/>
      <c r="B440" s="3716"/>
      <c r="C440" s="3716"/>
      <c r="D440" s="3716"/>
      <c r="E440" s="3717"/>
      <c r="F440" s="3717" t="s">
        <v>94</v>
      </c>
      <c r="G440" s="3717"/>
      <c r="H440" s="3717"/>
      <c r="I440" s="3739"/>
      <c r="J440" s="3739"/>
      <c r="K440" s="3730"/>
      <c r="L440" s="3719"/>
      <c r="M440" s="3573"/>
      <c r="N440" s="3573"/>
      <c r="O440" s="3573"/>
      <c r="P440" s="3732"/>
      <c r="Q440" s="3732"/>
      <c r="R440" s="3740"/>
      <c r="S440" s="3746"/>
      <c r="T440" s="3726"/>
      <c r="U440" s="3726"/>
      <c r="V440" s="3449"/>
      <c r="W440" s="3449"/>
      <c r="X440" s="3449"/>
      <c r="Y440" s="3452" t="str">
        <f>Z439&amp;"-"&amp;AB439</f>
        <v>-</v>
      </c>
      <c r="Z440" s="3453"/>
      <c r="AA440" s="2872"/>
      <c r="AB440" s="3453"/>
      <c r="AC440" s="2872"/>
      <c r="AD440" s="3449"/>
      <c r="AE440" s="3449"/>
      <c r="AF440" s="3449"/>
      <c r="AG440" s="3452" t="str">
        <f>AH439&amp;"-"&amp;AJ439</f>
        <v>44197-44377</v>
      </c>
      <c r="AH440" s="3453"/>
      <c r="AI440" s="2872"/>
      <c r="AJ440" s="3453"/>
      <c r="AK440" s="2872"/>
      <c r="AL440" s="3449"/>
      <c r="AM440" s="3449"/>
      <c r="AN440" s="3449"/>
      <c r="AO440" s="3452" t="str">
        <f>AP439&amp;"-"&amp;AR439</f>
        <v>44378-44561</v>
      </c>
      <c r="AP440" s="3453"/>
      <c r="AQ440" s="2872"/>
      <c r="AR440" s="3453"/>
      <c r="AS440" s="2872"/>
      <c r="AT440" s="3449"/>
      <c r="AU440" s="3449"/>
      <c r="AV440" s="3449"/>
      <c r="AW440" s="3452" t="str">
        <f>AX439&amp;"-"&amp;AZ439</f>
        <v>44562-44601</v>
      </c>
      <c r="AX440" s="3453"/>
      <c r="AY440" s="2872"/>
      <c r="AZ440" s="3453"/>
      <c r="BA440" s="2872"/>
      <c r="BB440" s="3449"/>
      <c r="BC440" s="3449"/>
      <c r="BD440" s="3449"/>
      <c r="BE440" s="3452" t="str">
        <f>BF439&amp;"-"&amp;BH439</f>
        <v>44602-44742</v>
      </c>
      <c r="BF440" s="3453"/>
      <c r="BG440" s="2872"/>
      <c r="BH440" s="3453"/>
      <c r="BI440" s="2872"/>
      <c r="BJ440" s="3449"/>
      <c r="BK440" s="3449"/>
      <c r="BL440" s="3449"/>
      <c r="BM440" s="3452" t="str">
        <f>BN439&amp;"-"&amp;BP439</f>
        <v>44743-44804</v>
      </c>
      <c r="BN440" s="3453"/>
      <c r="BO440" s="2872"/>
      <c r="BP440" s="3453"/>
      <c r="BQ440" s="2872"/>
      <c r="BR440" s="3449"/>
      <c r="BS440" s="3449"/>
      <c r="BT440" s="3449"/>
      <c r="BU440" s="3452" t="str">
        <f>BV439&amp;"-"&amp;BX439</f>
        <v>44805-44895</v>
      </c>
      <c r="BV440" s="3453"/>
      <c r="BW440" s="2872"/>
      <c r="BX440" s="3453"/>
      <c r="BY440" s="2872"/>
      <c r="BZ440" s="3449"/>
      <c r="CA440" s="3449"/>
      <c r="CB440" s="3449"/>
      <c r="CC440" s="3452" t="str">
        <f>CD439&amp;"-"&amp;CF439</f>
        <v>44896-45174</v>
      </c>
      <c r="CD440" s="3453"/>
      <c r="CE440" s="2872"/>
      <c r="CF440" s="3453"/>
      <c r="CG440" s="2872"/>
      <c r="CH440" s="3449"/>
      <c r="CI440" s="3449"/>
      <c r="CJ440" s="3449"/>
      <c r="CK440" s="3452" t="str">
        <f>CL439&amp;"-"&amp;CN439</f>
        <v>45175-45291</v>
      </c>
      <c r="CL440" s="3453"/>
      <c r="CM440" s="2872"/>
      <c r="CN440" s="3453"/>
      <c r="CO440" s="2872"/>
      <c r="CP440" s="3449"/>
      <c r="CQ440" s="3747"/>
      <c r="CR440" s="3581"/>
      <c r="CS440" s="3728"/>
      <c r="CT440" s="3728" t="str">
        <f>IF(T440="","",T440)</f>
        <v/>
      </c>
      <c r="CU440" s="3728"/>
      <c r="CV440" s="3728"/>
    </row>
    <row s="9351" customFormat="1" customHeight="1" ht="15">
      <c r="A441" s="3716"/>
      <c r="B441" s="3716"/>
      <c r="C441" s="3716"/>
      <c r="D441" s="3716"/>
      <c r="E441" s="3717"/>
      <c r="F441" s="3717" t="s">
        <v>94</v>
      </c>
      <c r="G441" s="3717"/>
      <c r="H441" s="3717"/>
      <c r="I441" s="3739"/>
      <c r="J441" s="3730"/>
      <c r="K441" s="3716"/>
      <c r="L441" s="3719"/>
      <c r="M441" s="3573"/>
      <c r="N441" s="3573"/>
      <c r="O441" s="3731"/>
      <c r="P441" s="3732"/>
      <c r="Q441" s="3732"/>
      <c r="R441" s="3733"/>
      <c r="S441" s="9352"/>
      <c r="T441" s="9353" t="s">
        <v>626</v>
      </c>
      <c r="U441" s="9354"/>
      <c r="V441" s="9355"/>
      <c r="W441" s="9356"/>
      <c r="X441" s="9357"/>
      <c r="Y441" s="9358"/>
      <c r="Z441" s="9359"/>
      <c r="AA441" s="9360"/>
      <c r="AB441" s="9361"/>
      <c r="AC441" s="9362"/>
      <c r="AD441" s="9363"/>
      <c r="AE441" s="9364"/>
      <c r="AF441" s="9365"/>
      <c r="AG441" s="9366"/>
      <c r="AH441" s="9367"/>
      <c r="AI441" s="9368"/>
      <c r="AJ441" s="9369"/>
      <c r="AK441" s="9370"/>
      <c r="AL441" s="9371"/>
      <c r="AM441" s="9372"/>
      <c r="AN441" s="9373"/>
      <c r="AO441" s="9374"/>
      <c r="AP441" s="9375"/>
      <c r="AQ441" s="9376"/>
      <c r="AR441" s="9377"/>
      <c r="AS441" s="9378"/>
      <c r="AT441" s="9379"/>
      <c r="AU441" s="9380"/>
      <c r="AV441" s="9381"/>
      <c r="AW441" s="9382"/>
      <c r="AX441" s="9383"/>
      <c r="AY441" s="9384"/>
      <c r="AZ441" s="9385"/>
      <c r="BA441" s="9386"/>
      <c r="BB441" s="9387"/>
      <c r="BC441" s="9388"/>
      <c r="BD441" s="9389"/>
      <c r="BE441" s="9390"/>
      <c r="BF441" s="9391"/>
      <c r="BG441" s="9392"/>
      <c r="BH441" s="9393"/>
      <c r="BI441" s="9394"/>
      <c r="BJ441" s="9395"/>
      <c r="BK441" s="9396"/>
      <c r="BL441" s="9397"/>
      <c r="BM441" s="9398"/>
      <c r="BN441" s="9399"/>
      <c r="BO441" s="9400"/>
      <c r="BP441" s="9401"/>
      <c r="BQ441" s="9402"/>
      <c r="BR441" s="9403"/>
      <c r="BS441" s="9404"/>
      <c r="BT441" s="9405"/>
      <c r="BU441" s="9406"/>
      <c r="BV441" s="9407"/>
      <c r="BW441" s="9408"/>
      <c r="BX441" s="9409"/>
      <c r="BY441" s="9410"/>
      <c r="BZ441" s="9411"/>
      <c r="CA441" s="9412"/>
      <c r="CB441" s="9413"/>
      <c r="CC441" s="9414"/>
      <c r="CD441" s="9415"/>
      <c r="CE441" s="9416"/>
      <c r="CF441" s="9417"/>
      <c r="CG441" s="9418"/>
      <c r="CH441" s="9419"/>
      <c r="CI441" s="9420"/>
      <c r="CJ441" s="9421"/>
      <c r="CK441" s="9422"/>
      <c r="CL441" s="9423"/>
      <c r="CM441" s="9424"/>
      <c r="CN441" s="9425"/>
      <c r="CO441" s="9426"/>
      <c r="CP441" s="9427"/>
      <c r="CQ441" s="3825"/>
      <c r="CR441" s="3581"/>
      <c r="CS441" s="3728"/>
      <c r="CT441" s="3728" t="str">
        <f>IF(T441="","",T441)</f>
        <v>Добавить вид теплоносителя (параметры теплоносителя)</v>
      </c>
      <c r="CU441" s="3728"/>
      <c r="CV441" s="3728"/>
    </row>
    <row s="9428" customFormat="1" customHeight="1" ht="15">
      <c r="A442" s="3716"/>
      <c r="B442" s="3716"/>
      <c r="C442" s="3716"/>
      <c r="D442" s="3716"/>
      <c r="E442" s="3717"/>
      <c r="F442" s="3717" t="s">
        <v>94</v>
      </c>
      <c r="G442" s="3717"/>
      <c r="H442" s="3717"/>
      <c r="I442" s="3730"/>
      <c r="J442" s="3716"/>
      <c r="K442" s="3716"/>
      <c r="L442" s="3719"/>
      <c r="M442" s="3573"/>
      <c r="N442" s="3731"/>
      <c r="O442" s="3731"/>
      <c r="P442" s="3732"/>
      <c r="Q442" s="3732"/>
      <c r="R442" s="3733"/>
      <c r="S442" s="9429"/>
      <c r="T442" s="9430" t="s">
        <v>627</v>
      </c>
      <c r="U442" s="9431"/>
      <c r="V442" s="9432"/>
      <c r="W442" s="9433"/>
      <c r="X442" s="9434"/>
      <c r="Y442" s="9435"/>
      <c r="Z442" s="9436"/>
      <c r="AA442" s="9437"/>
      <c r="AB442" s="9438"/>
      <c r="AC442" s="9439"/>
      <c r="AD442" s="9440"/>
      <c r="AE442" s="9441"/>
      <c r="AF442" s="9442"/>
      <c r="AG442" s="9443"/>
      <c r="AH442" s="9444"/>
      <c r="AI442" s="9445"/>
      <c r="AJ442" s="9446"/>
      <c r="AK442" s="9447"/>
      <c r="AL442" s="9448"/>
      <c r="AM442" s="9449"/>
      <c r="AN442" s="9450"/>
      <c r="AO442" s="9451"/>
      <c r="AP442" s="9452"/>
      <c r="AQ442" s="9453"/>
      <c r="AR442" s="9454"/>
      <c r="AS442" s="9455"/>
      <c r="AT442" s="9456"/>
      <c r="AU442" s="9457"/>
      <c r="AV442" s="9458"/>
      <c r="AW442" s="9459"/>
      <c r="AX442" s="9460"/>
      <c r="AY442" s="9461"/>
      <c r="AZ442" s="9462"/>
      <c r="BA442" s="9463"/>
      <c r="BB442" s="9464"/>
      <c r="BC442" s="9465"/>
      <c r="BD442" s="9466"/>
      <c r="BE442" s="9467"/>
      <c r="BF442" s="9468"/>
      <c r="BG442" s="9469"/>
      <c r="BH442" s="9470"/>
      <c r="BI442" s="9471"/>
      <c r="BJ442" s="9472"/>
      <c r="BK442" s="9473"/>
      <c r="BL442" s="9474"/>
      <c r="BM442" s="9475"/>
      <c r="BN442" s="9476"/>
      <c r="BO442" s="9477"/>
      <c r="BP442" s="9478"/>
      <c r="BQ442" s="9479"/>
      <c r="BR442" s="9480"/>
      <c r="BS442" s="9481"/>
      <c r="BT442" s="9482"/>
      <c r="BU442" s="9483"/>
      <c r="BV442" s="9484"/>
      <c r="BW442" s="9485"/>
      <c r="BX442" s="9486"/>
      <c r="BY442" s="9487"/>
      <c r="BZ442" s="9488"/>
      <c r="CA442" s="9489"/>
      <c r="CB442" s="9490"/>
      <c r="CC442" s="9491"/>
      <c r="CD442" s="9492"/>
      <c r="CE442" s="9493"/>
      <c r="CF442" s="9494"/>
      <c r="CG442" s="9495"/>
      <c r="CH442" s="9496"/>
      <c r="CI442" s="9497"/>
      <c r="CJ442" s="9498"/>
      <c r="CK442" s="9499"/>
      <c r="CL442" s="9500"/>
      <c r="CM442" s="9501"/>
      <c r="CN442" s="9502"/>
      <c r="CO442" s="9503"/>
      <c r="CP442" s="9504"/>
      <c r="CQ442" s="9505"/>
      <c r="CR442" s="3581"/>
      <c r="CS442" s="3728"/>
      <c r="CT442" s="3728" t="str">
        <f>IF(T442="","",T442)</f>
        <v>Добавить группу потребителей</v>
      </c>
      <c r="CU442" s="3728"/>
      <c r="CV442" s="3728"/>
    </row>
    <row s="9506" customFormat="1" customHeight="1" ht="14.25">
      <c r="A443" s="3716"/>
      <c r="B443" s="3716"/>
      <c r="C443" s="3716"/>
      <c r="D443" s="3716"/>
      <c r="E443" s="3717"/>
      <c r="F443" s="3717" t="s">
        <v>94</v>
      </c>
      <c r="G443" s="3717"/>
      <c r="H443" s="3718"/>
      <c r="I443" s="3716"/>
      <c r="J443" s="3716"/>
      <c r="K443" s="3716"/>
      <c r="L443" s="3719"/>
      <c r="M443" s="3720"/>
      <c r="N443" s="3720"/>
      <c r="O443" s="3573"/>
      <c r="P443" s="3905"/>
      <c r="Q443" s="3906"/>
      <c r="R443" s="3907"/>
      <c r="S443" s="3908"/>
      <c r="T443" s="3909"/>
      <c r="U443" s="3569"/>
      <c r="V443" s="3569"/>
      <c r="W443" s="3569"/>
      <c r="X443" s="3569"/>
      <c r="Y443" s="3569"/>
      <c r="Z443" s="3569"/>
      <c r="AA443" s="3569"/>
      <c r="AB443" s="3569"/>
      <c r="AC443" s="3569"/>
      <c r="AD443" s="3569"/>
      <c r="AE443" s="3569"/>
      <c r="AF443" s="3569"/>
      <c r="AG443" s="3569"/>
      <c r="AH443" s="3569"/>
      <c r="AI443" s="3569"/>
      <c r="AJ443" s="3569"/>
      <c r="AK443" s="3569"/>
      <c r="AL443" s="3569"/>
      <c r="AM443" s="3569"/>
      <c r="AN443" s="3569"/>
      <c r="AO443" s="3569"/>
      <c r="AP443" s="3569"/>
      <c r="AQ443" s="3569"/>
      <c r="AR443" s="3569"/>
      <c r="AS443" s="3569"/>
      <c r="AT443" s="3569"/>
      <c r="AU443" s="3569"/>
      <c r="AV443" s="3569"/>
      <c r="AW443" s="3569"/>
      <c r="AX443" s="3569"/>
      <c r="AY443" s="3569"/>
      <c r="AZ443" s="3569"/>
      <c r="BA443" s="3569"/>
      <c r="BB443" s="3569"/>
      <c r="BC443" s="3569"/>
      <c r="BD443" s="3569"/>
      <c r="BE443" s="3569"/>
      <c r="BF443" s="3569"/>
      <c r="BG443" s="3569"/>
      <c r="BH443" s="3569"/>
      <c r="BI443" s="3569"/>
      <c r="BJ443" s="3569"/>
      <c r="BK443" s="3569"/>
      <c r="BL443" s="3569"/>
      <c r="BM443" s="3569"/>
      <c r="BN443" s="3569"/>
      <c r="BO443" s="3569"/>
      <c r="BP443" s="3569"/>
      <c r="BQ443" s="3569"/>
      <c r="BR443" s="3569"/>
      <c r="BS443" s="3569"/>
      <c r="BT443" s="3569"/>
      <c r="BU443" s="3569"/>
      <c r="BV443" s="3569"/>
      <c r="BW443" s="3569"/>
      <c r="BX443" s="3569"/>
      <c r="BY443" s="3569"/>
      <c r="BZ443" s="3569"/>
      <c r="CA443" s="3569"/>
      <c r="CB443" s="3569"/>
      <c r="CC443" s="3569"/>
      <c r="CD443" s="3569"/>
      <c r="CE443" s="3569"/>
      <c r="CF443" s="3569"/>
      <c r="CG443" s="3569"/>
      <c r="CH443" s="3569"/>
      <c r="CI443" s="3569"/>
      <c r="CJ443" s="3569"/>
      <c r="CK443" s="3569"/>
      <c r="CL443" s="3569"/>
      <c r="CM443" s="3569"/>
      <c r="CN443" s="3569"/>
      <c r="CO443" s="3569"/>
      <c r="CP443" s="3569"/>
      <c r="CQ443" s="3910"/>
      <c r="CR443" s="3581"/>
      <c r="CS443" s="3728"/>
      <c r="CT443" s="3728" t="str">
        <f>IF(T443="","",T443)</f>
        <v/>
      </c>
      <c r="CU443" s="3728"/>
      <c r="CV443" s="3728"/>
    </row>
    <row s="9507" customFormat="1" customHeight="1" ht="0.75">
      <c r="A444" s="4239"/>
      <c r="B444" s="4239"/>
      <c r="C444" s="4239"/>
      <c r="D444" s="4239"/>
      <c r="E444" s="3717"/>
      <c r="F444" s="3717" t="s">
        <v>94</v>
      </c>
      <c r="G444" s="3718"/>
      <c r="H444" s="4239"/>
      <c r="I444" s="4239"/>
      <c r="J444" s="4239"/>
      <c r="K444" s="4239"/>
      <c r="L444" s="4240"/>
      <c r="M444" s="4241"/>
      <c r="N444" s="4241"/>
      <c r="O444" s="3581"/>
      <c r="P444" s="4242"/>
      <c r="Q444" s="4243"/>
      <c r="R444" s="4242"/>
      <c r="S444" s="4244"/>
      <c r="T444" s="4245" t="s">
        <v>254</v>
      </c>
      <c r="U444" s="3571"/>
      <c r="V444" s="3571"/>
      <c r="W444" s="3571"/>
      <c r="X444" s="3571"/>
      <c r="Y444" s="3571"/>
      <c r="Z444" s="3571"/>
      <c r="AA444" s="3571"/>
      <c r="AB444" s="3571"/>
      <c r="AC444" s="3571"/>
      <c r="AD444" s="3571"/>
      <c r="AE444" s="3571"/>
      <c r="AF444" s="3571"/>
      <c r="AG444" s="3571"/>
      <c r="AH444" s="3571"/>
      <c r="AI444" s="3571"/>
      <c r="AJ444" s="3571"/>
      <c r="AK444" s="3571"/>
      <c r="AL444" s="3571"/>
      <c r="AM444" s="3571"/>
      <c r="AN444" s="3571"/>
      <c r="AO444" s="3571"/>
      <c r="AP444" s="3571"/>
      <c r="AQ444" s="3571"/>
      <c r="AR444" s="3571"/>
      <c r="AS444" s="3571"/>
      <c r="AT444" s="3571"/>
      <c r="AU444" s="3571"/>
      <c r="AV444" s="3571"/>
      <c r="AW444" s="3571"/>
      <c r="AX444" s="3571"/>
      <c r="AY444" s="3571"/>
      <c r="AZ444" s="3571"/>
      <c r="BA444" s="3571"/>
      <c r="BB444" s="3571"/>
      <c r="BC444" s="3571"/>
      <c r="BD444" s="3571"/>
      <c r="BE444" s="3571"/>
      <c r="BF444" s="3571"/>
      <c r="BG444" s="3571"/>
      <c r="BH444" s="3571"/>
      <c r="BI444" s="3571"/>
      <c r="BJ444" s="3571"/>
      <c r="BK444" s="3571"/>
      <c r="BL444" s="3571"/>
      <c r="BM444" s="3571"/>
      <c r="BN444" s="3571"/>
      <c r="BO444" s="3571"/>
      <c r="BP444" s="3571"/>
      <c r="BQ444" s="3571"/>
      <c r="BR444" s="3571"/>
      <c r="BS444" s="3571"/>
      <c r="BT444" s="3571"/>
      <c r="BU444" s="3571"/>
      <c r="BV444" s="3571"/>
      <c r="BW444" s="3571"/>
      <c r="BX444" s="3571"/>
      <c r="BY444" s="3571"/>
      <c r="BZ444" s="3571"/>
      <c r="CA444" s="3571"/>
      <c r="CB444" s="3571"/>
      <c r="CC444" s="3571"/>
      <c r="CD444" s="3571"/>
      <c r="CE444" s="3571"/>
      <c r="CF444" s="3571"/>
      <c r="CG444" s="3571"/>
      <c r="CH444" s="3571"/>
      <c r="CI444" s="3571"/>
      <c r="CJ444" s="3571"/>
      <c r="CK444" s="3571"/>
      <c r="CL444" s="3571"/>
      <c r="CM444" s="3571"/>
      <c r="CN444" s="3571"/>
      <c r="CO444" s="3571"/>
      <c r="CP444" s="3571"/>
      <c r="CQ444" s="3571"/>
      <c r="CR444" s="3581"/>
      <c r="CS444" s="3728"/>
      <c r="CT444" s="3728" t="str">
        <f>IF(T444="","",T444)</f>
        <v>Добавить источник для дифференциации</v>
      </c>
      <c r="CU444" s="3728"/>
      <c r="CV444" s="3728"/>
    </row>
    <row s="9508" customFormat="1" customHeight="1" ht="0.75">
      <c r="A445" s="4239"/>
      <c r="B445" s="4239"/>
      <c r="C445" s="4239"/>
      <c r="D445" s="4239"/>
      <c r="E445" s="3717"/>
      <c r="F445" s="3718" t="s">
        <v>94</v>
      </c>
      <c r="G445" s="4239"/>
      <c r="H445" s="4239"/>
      <c r="I445" s="4239"/>
      <c r="J445" s="4239"/>
      <c r="K445" s="4239"/>
      <c r="L445" s="4240"/>
      <c r="M445" s="4247"/>
      <c r="N445" s="4247"/>
      <c r="O445" s="3581"/>
      <c r="P445" s="4242"/>
      <c r="Q445" s="4243"/>
      <c r="R445" s="4242"/>
      <c r="S445" s="4248"/>
      <c r="T445" s="4249" t="s">
        <v>255</v>
      </c>
      <c r="U445" s="3572"/>
      <c r="V445" s="3572"/>
      <c r="W445" s="3572"/>
      <c r="X445" s="3572"/>
      <c r="Y445" s="3572"/>
      <c r="Z445" s="3572"/>
      <c r="AA445" s="3572"/>
      <c r="AB445" s="3572"/>
      <c r="AC445" s="3572"/>
      <c r="AD445" s="3572"/>
      <c r="AE445" s="3572"/>
      <c r="AF445" s="3572"/>
      <c r="AG445" s="3572"/>
      <c r="AH445" s="3572"/>
      <c r="AI445" s="3572"/>
      <c r="AJ445" s="3572"/>
      <c r="AK445" s="3572"/>
      <c r="AL445" s="3572"/>
      <c r="AM445" s="3572"/>
      <c r="AN445" s="3572"/>
      <c r="AO445" s="3572"/>
      <c r="AP445" s="3572"/>
      <c r="AQ445" s="3572"/>
      <c r="AR445" s="3572"/>
      <c r="AS445" s="3572"/>
      <c r="AT445" s="3572"/>
      <c r="AU445" s="3572"/>
      <c r="AV445" s="3572"/>
      <c r="AW445" s="3572"/>
      <c r="AX445" s="3572"/>
      <c r="AY445" s="3572"/>
      <c r="AZ445" s="3572"/>
      <c r="BA445" s="3572"/>
      <c r="BB445" s="3572"/>
      <c r="BC445" s="3572"/>
      <c r="BD445" s="3572"/>
      <c r="BE445" s="3572"/>
      <c r="BF445" s="3572"/>
      <c r="BG445" s="3572"/>
      <c r="BH445" s="3572"/>
      <c r="BI445" s="3572"/>
      <c r="BJ445" s="3572"/>
      <c r="BK445" s="3572"/>
      <c r="BL445" s="3572"/>
      <c r="BM445" s="3572"/>
      <c r="BN445" s="3572"/>
      <c r="BO445" s="3572"/>
      <c r="BP445" s="3572"/>
      <c r="BQ445" s="3572"/>
      <c r="BR445" s="3572"/>
      <c r="BS445" s="3572"/>
      <c r="BT445" s="3572"/>
      <c r="BU445" s="3572"/>
      <c r="BV445" s="3572"/>
      <c r="BW445" s="3572"/>
      <c r="BX445" s="3572"/>
      <c r="BY445" s="3572"/>
      <c r="BZ445" s="3572"/>
      <c r="CA445" s="3572"/>
      <c r="CB445" s="3572"/>
      <c r="CC445" s="3572"/>
      <c r="CD445" s="3572"/>
      <c r="CE445" s="3572"/>
      <c r="CF445" s="3572"/>
      <c r="CG445" s="3572"/>
      <c r="CH445" s="3572"/>
      <c r="CI445" s="3572"/>
      <c r="CJ445" s="3572"/>
      <c r="CK445" s="3572"/>
      <c r="CL445" s="3572"/>
      <c r="CM445" s="3572"/>
      <c r="CN445" s="3572"/>
      <c r="CO445" s="3572"/>
      <c r="CP445" s="3572"/>
      <c r="CQ445" s="3572"/>
      <c r="CR445" s="3581"/>
      <c r="CS445" s="3728"/>
      <c r="CT445" s="3728" t="str">
        <f>IF(T445="","",T445)</f>
        <v>Добавить централизованную систему для дифференциации</v>
      </c>
      <c r="CU445" s="3728"/>
      <c r="CV445" s="3728"/>
    </row>
    <row s="9509" customFormat="1" customHeight="1" ht="21">
      <c r="A446" s="3716"/>
      <c r="B446" s="3716" t="s">
        <v>358</v>
      </c>
      <c r="C446" s="3716"/>
      <c r="D446" s="3716"/>
      <c r="E446" s="3717"/>
      <c r="F446" s="3718" t="s">
        <v>135</v>
      </c>
      <c r="G446" s="3716"/>
      <c r="H446" s="3716"/>
      <c r="I446" s="3716"/>
      <c r="J446" s="3716"/>
      <c r="K446" s="3716"/>
      <c r="L446" s="3719"/>
      <c r="M446" s="3720"/>
      <c r="N446" s="3720"/>
      <c r="O446" s="3720"/>
      <c r="P446" s="4073"/>
      <c r="Q446" s="3722"/>
      <c r="R446" s="3723"/>
      <c r="S446" s="3724" t="str">
        <f>INDEX(PT_DIFFERENTIATION_NUM_TER,MATCH(B446,PT_DIFFERENTIATION_TER_ID,0))</f>
        <v>2.9</v>
      </c>
      <c r="T446" s="4074" t="s">
        <v>612</v>
      </c>
      <c r="U446" s="3726"/>
      <c r="V446" s="3432"/>
      <c r="W446" s="3433"/>
      <c r="X446" s="3433"/>
      <c r="Y446" s="3433"/>
      <c r="Z446" s="3433"/>
      <c r="AA446" s="3433"/>
      <c r="AB446" s="3433"/>
      <c r="AC446" s="3434"/>
      <c r="AD446" s="3432" t="str">
        <f>INDEX(PT_DIFFERENTIATION_TER,MATCH(B446,PT_DIFFERENTIATION_TER_ID,0))</f>
        <v>Территория 9</v>
      </c>
      <c r="AE446" s="3433"/>
      <c r="AF446" s="3433"/>
      <c r="AG446" s="3433"/>
      <c r="AH446" s="3433"/>
      <c r="AI446" s="3433"/>
      <c r="AJ446" s="3433"/>
      <c r="AK446" s="3433"/>
      <c r="AL446" s="3432"/>
      <c r="AM446" s="3433"/>
      <c r="AN446" s="3433"/>
      <c r="AO446" s="3433"/>
      <c r="AP446" s="3433"/>
      <c r="AQ446" s="3433"/>
      <c r="AR446" s="3433"/>
      <c r="AS446" s="3434"/>
      <c r="AT446" s="3432"/>
      <c r="AU446" s="3433"/>
      <c r="AV446" s="3433"/>
      <c r="AW446" s="3433"/>
      <c r="AX446" s="3433"/>
      <c r="AY446" s="3433"/>
      <c r="AZ446" s="3433"/>
      <c r="BA446" s="3434"/>
      <c r="BB446" s="3432"/>
      <c r="BC446" s="3433"/>
      <c r="BD446" s="3433"/>
      <c r="BE446" s="3433"/>
      <c r="BF446" s="3433"/>
      <c r="BG446" s="3433"/>
      <c r="BH446" s="3433"/>
      <c r="BI446" s="3434"/>
      <c r="BJ446" s="3432"/>
      <c r="BK446" s="3433"/>
      <c r="BL446" s="3433"/>
      <c r="BM446" s="3433"/>
      <c r="BN446" s="3433"/>
      <c r="BO446" s="3433"/>
      <c r="BP446" s="3433"/>
      <c r="BQ446" s="3434"/>
      <c r="BR446" s="3432"/>
      <c r="BS446" s="3433"/>
      <c r="BT446" s="3433"/>
      <c r="BU446" s="3433"/>
      <c r="BV446" s="3433"/>
      <c r="BW446" s="3433"/>
      <c r="BX446" s="3433"/>
      <c r="BY446" s="3434"/>
      <c r="BZ446" s="3432"/>
      <c r="CA446" s="3433"/>
      <c r="CB446" s="3433"/>
      <c r="CC446" s="3433"/>
      <c r="CD446" s="3433"/>
      <c r="CE446" s="3433"/>
      <c r="CF446" s="3433"/>
      <c r="CG446" s="3434"/>
      <c r="CH446" s="3432"/>
      <c r="CI446" s="3433"/>
      <c r="CJ446" s="3433"/>
      <c r="CK446" s="3433"/>
      <c r="CL446" s="3433"/>
      <c r="CM446" s="3433"/>
      <c r="CN446" s="3433"/>
      <c r="CO446" s="3434"/>
      <c r="CP446" s="3434"/>
      <c r="CQ446" s="3727" t="s">
        <v>613</v>
      </c>
      <c r="CR446" s="3581"/>
      <c r="CS446" s="3728"/>
      <c r="CT446" s="3728" t="str">
        <f>IF(T446="","",T446)</f>
        <v>Территория действия тарифа</v>
      </c>
      <c r="CU446" s="3728"/>
      <c r="CV446" s="3728"/>
    </row>
    <row s="9510" customFormat="1" customHeight="1" ht="23.25">
      <c r="A447" s="3716"/>
      <c r="B447" s="3716"/>
      <c r="C447" s="3716" t="s">
        <v>359</v>
      </c>
      <c r="D447" s="3716"/>
      <c r="E447" s="3717"/>
      <c r="F447" s="3717" t="s">
        <v>130</v>
      </c>
      <c r="G447" s="3718">
        <v>1</v>
      </c>
      <c r="H447" s="3716"/>
      <c r="I447" s="3716"/>
      <c r="J447" s="3716"/>
      <c r="K447" s="3716"/>
      <c r="L447" s="3719"/>
      <c r="M447" s="3720"/>
      <c r="N447" s="3720"/>
      <c r="O447" s="3720"/>
      <c r="P447" s="3721"/>
      <c r="Q447" s="3722"/>
      <c r="R447" s="3723"/>
      <c r="S447" s="3724" t="str">
        <f>INDEX(PT_DIFFERENTIATION_NUM_CS,MATCH(C447,PT_DIFFERENTIATION_CS_ID,0))</f>
        <v>2.9.1</v>
      </c>
      <c r="T447" s="4076" t="s">
        <v>614</v>
      </c>
      <c r="U447" s="3726"/>
      <c r="V447" s="3432"/>
      <c r="W447" s="3433"/>
      <c r="X447" s="3433"/>
      <c r="Y447" s="3433"/>
      <c r="Z447" s="3433"/>
      <c r="AA447" s="3433"/>
      <c r="AB447" s="3433"/>
      <c r="AC447" s="3434"/>
      <c r="AD447" s="3432" t="str">
        <f>INDEX(PT_DIFFERENTIATION_CS,MATCH(C447,PT_DIFFERENTIATION_CS_ID,0))</f>
        <v>без дифференциации</v>
      </c>
      <c r="AE447" s="3433"/>
      <c r="AF447" s="3433"/>
      <c r="AG447" s="3433"/>
      <c r="AH447" s="3433"/>
      <c r="AI447" s="3433"/>
      <c r="AJ447" s="3433"/>
      <c r="AK447" s="3433"/>
      <c r="AL447" s="3432"/>
      <c r="AM447" s="3433"/>
      <c r="AN447" s="3433"/>
      <c r="AO447" s="3433"/>
      <c r="AP447" s="3433"/>
      <c r="AQ447" s="3433"/>
      <c r="AR447" s="3433"/>
      <c r="AS447" s="3434"/>
      <c r="AT447" s="3432"/>
      <c r="AU447" s="3433"/>
      <c r="AV447" s="3433"/>
      <c r="AW447" s="3433"/>
      <c r="AX447" s="3433"/>
      <c r="AY447" s="3433"/>
      <c r="AZ447" s="3433"/>
      <c r="BA447" s="3434"/>
      <c r="BB447" s="3432"/>
      <c r="BC447" s="3433"/>
      <c r="BD447" s="3433"/>
      <c r="BE447" s="3433"/>
      <c r="BF447" s="3433"/>
      <c r="BG447" s="3433"/>
      <c r="BH447" s="3433"/>
      <c r="BI447" s="3434"/>
      <c r="BJ447" s="3432"/>
      <c r="BK447" s="3433"/>
      <c r="BL447" s="3433"/>
      <c r="BM447" s="3433"/>
      <c r="BN447" s="3433"/>
      <c r="BO447" s="3433"/>
      <c r="BP447" s="3433"/>
      <c r="BQ447" s="3434"/>
      <c r="BR447" s="3432"/>
      <c r="BS447" s="3433"/>
      <c r="BT447" s="3433"/>
      <c r="BU447" s="3433"/>
      <c r="BV447" s="3433"/>
      <c r="BW447" s="3433"/>
      <c r="BX447" s="3433"/>
      <c r="BY447" s="3434"/>
      <c r="BZ447" s="3432"/>
      <c r="CA447" s="3433"/>
      <c r="CB447" s="3433"/>
      <c r="CC447" s="3433"/>
      <c r="CD447" s="3433"/>
      <c r="CE447" s="3433"/>
      <c r="CF447" s="3433"/>
      <c r="CG447" s="3434"/>
      <c r="CH447" s="3432"/>
      <c r="CI447" s="3433"/>
      <c r="CJ447" s="3433"/>
      <c r="CK447" s="3433"/>
      <c r="CL447" s="3433"/>
      <c r="CM447" s="3433"/>
      <c r="CN447" s="3433"/>
      <c r="CO447" s="3434"/>
      <c r="CP447" s="3434"/>
      <c r="CQ447" s="3727" t="s">
        <v>615</v>
      </c>
      <c r="CR447" s="3581"/>
      <c r="CS447" s="3728"/>
      <c r="CT447" s="3728" t="str">
        <f>IF(T447="","",T447)</f>
        <v>Наименование системы теплоснабжения </v>
      </c>
      <c r="CU447" s="3728"/>
      <c r="CV447" s="3728"/>
    </row>
    <row s="9511" customFormat="1" customHeight="1" ht="21">
      <c r="A448" s="3716"/>
      <c r="B448" s="3716"/>
      <c r="C448" s="3716"/>
      <c r="D448" s="3716" t="s">
        <v>360</v>
      </c>
      <c r="E448" s="3717"/>
      <c r="F448" s="3717" t="s">
        <v>130</v>
      </c>
      <c r="G448" s="3717"/>
      <c r="H448" s="3718">
        <v>1</v>
      </c>
      <c r="I448" s="3716"/>
      <c r="J448" s="3716"/>
      <c r="K448" s="3716"/>
      <c r="L448" s="3719"/>
      <c r="M448" s="3720"/>
      <c r="N448" s="3720"/>
      <c r="O448" s="3720"/>
      <c r="P448" s="3721"/>
      <c r="Q448" s="3722"/>
      <c r="R448" s="3723"/>
      <c r="S448" s="3724" t="str">
        <f>INDEX(PT_DIFFERENTIATION_NUM_IST_TE,MATCH(D448,PT_DIFFERENTIATION_IST_TE_ID,0))</f>
        <v>2.9.1.1</v>
      </c>
      <c r="T448" s="3725" t="s">
        <v>616</v>
      </c>
      <c r="U448" s="3726"/>
      <c r="V448" s="3432"/>
      <c r="W448" s="3433"/>
      <c r="X448" s="3433"/>
      <c r="Y448" s="3433"/>
      <c r="Z448" s="3433"/>
      <c r="AA448" s="3433"/>
      <c r="AB448" s="3433"/>
      <c r="AC448" s="3434"/>
      <c r="AD448" s="3432" t="str">
        <f>INDEX(PT_DIFFERENTIATION_IST_TE,MATCH(D448,PT_DIFFERENTIATION_IST_TE_ID,0))</f>
        <v>населенный пункт Высокий</v>
      </c>
      <c r="AE448" s="3433"/>
      <c r="AF448" s="3433"/>
      <c r="AG448" s="3433"/>
      <c r="AH448" s="3433"/>
      <c r="AI448" s="3433"/>
      <c r="AJ448" s="3433"/>
      <c r="AK448" s="3433"/>
      <c r="AL448" s="3432"/>
      <c r="AM448" s="3433"/>
      <c r="AN448" s="3433"/>
      <c r="AO448" s="3433"/>
      <c r="AP448" s="3433"/>
      <c r="AQ448" s="3433"/>
      <c r="AR448" s="3433"/>
      <c r="AS448" s="3434"/>
      <c r="AT448" s="3432"/>
      <c r="AU448" s="3433"/>
      <c r="AV448" s="3433"/>
      <c r="AW448" s="3433"/>
      <c r="AX448" s="3433"/>
      <c r="AY448" s="3433"/>
      <c r="AZ448" s="3433"/>
      <c r="BA448" s="3434"/>
      <c r="BB448" s="3432"/>
      <c r="BC448" s="3433"/>
      <c r="BD448" s="3433"/>
      <c r="BE448" s="3433"/>
      <c r="BF448" s="3433"/>
      <c r="BG448" s="3433"/>
      <c r="BH448" s="3433"/>
      <c r="BI448" s="3434"/>
      <c r="BJ448" s="3432"/>
      <c r="BK448" s="3433"/>
      <c r="BL448" s="3433"/>
      <c r="BM448" s="3433"/>
      <c r="BN448" s="3433"/>
      <c r="BO448" s="3433"/>
      <c r="BP448" s="3433"/>
      <c r="BQ448" s="3434"/>
      <c r="BR448" s="3432"/>
      <c r="BS448" s="3433"/>
      <c r="BT448" s="3433"/>
      <c r="BU448" s="3433"/>
      <c r="BV448" s="3433"/>
      <c r="BW448" s="3433"/>
      <c r="BX448" s="3433"/>
      <c r="BY448" s="3434"/>
      <c r="BZ448" s="3432"/>
      <c r="CA448" s="3433"/>
      <c r="CB448" s="3433"/>
      <c r="CC448" s="3433"/>
      <c r="CD448" s="3433"/>
      <c r="CE448" s="3433"/>
      <c r="CF448" s="3433"/>
      <c r="CG448" s="3434"/>
      <c r="CH448" s="3432"/>
      <c r="CI448" s="3433"/>
      <c r="CJ448" s="3433"/>
      <c r="CK448" s="3433"/>
      <c r="CL448" s="3433"/>
      <c r="CM448" s="3433"/>
      <c r="CN448" s="3433"/>
      <c r="CO448" s="3434"/>
      <c r="CP448" s="3434"/>
      <c r="CQ448" s="3727" t="s">
        <v>617</v>
      </c>
      <c r="CR448" s="3581"/>
      <c r="CS448" s="3728"/>
      <c r="CT448" s="3728" t="str">
        <f>IF(T448="","",T448)</f>
        <v>Источник тепловой энергии  </v>
      </c>
      <c r="CU448" s="3728"/>
      <c r="CV448" s="3728"/>
    </row>
    <row s="9512" customFormat="1" customHeight="1" ht="14.25">
      <c r="A449" s="3716"/>
      <c r="B449" s="3716"/>
      <c r="C449" s="3716"/>
      <c r="D449" s="3716"/>
      <c r="E449" s="3717"/>
      <c r="F449" s="3717" t="s">
        <v>130</v>
      </c>
      <c r="G449" s="3717"/>
      <c r="H449" s="3717"/>
      <c r="I449" s="3730" t="str">
        <f>S448&amp;".1"</f>
        <v>2.9.1.1.1</v>
      </c>
      <c r="J449" s="3716"/>
      <c r="K449" s="3716"/>
      <c r="L449" s="3719" t="s">
        <v>618</v>
      </c>
      <c r="M449" s="3573"/>
      <c r="N449" s="3731"/>
      <c r="O449" s="3731"/>
      <c r="P449" s="3732">
        <v>1</v>
      </c>
      <c r="Q449" s="3732"/>
      <c r="R449" s="3733"/>
      <c r="S449" s="3734"/>
      <c r="T449" s="3735"/>
      <c r="U449" s="3736"/>
      <c r="V449" s="3441"/>
      <c r="W449" s="3442"/>
      <c r="X449" s="3442"/>
      <c r="Y449" s="3442"/>
      <c r="Z449" s="3442"/>
      <c r="AA449" s="3442"/>
      <c r="AB449" s="3442"/>
      <c r="AC449" s="3443"/>
      <c r="AD449" s="3441"/>
      <c r="AE449" s="3442"/>
      <c r="AF449" s="3442"/>
      <c r="AG449" s="3442"/>
      <c r="AH449" s="3442"/>
      <c r="AI449" s="3442"/>
      <c r="AJ449" s="3442"/>
      <c r="AK449" s="3442"/>
      <c r="AL449" s="3441"/>
      <c r="AM449" s="3442"/>
      <c r="AN449" s="3442"/>
      <c r="AO449" s="3442"/>
      <c r="AP449" s="3442"/>
      <c r="AQ449" s="3442"/>
      <c r="AR449" s="3442"/>
      <c r="AS449" s="3443"/>
      <c r="AT449" s="3441"/>
      <c r="AU449" s="3442"/>
      <c r="AV449" s="3442"/>
      <c r="AW449" s="3442"/>
      <c r="AX449" s="3442"/>
      <c r="AY449" s="3442"/>
      <c r="AZ449" s="3442"/>
      <c r="BA449" s="3443"/>
      <c r="BB449" s="3441"/>
      <c r="BC449" s="3442"/>
      <c r="BD449" s="3442"/>
      <c r="BE449" s="3442"/>
      <c r="BF449" s="3442"/>
      <c r="BG449" s="3442"/>
      <c r="BH449" s="3442"/>
      <c r="BI449" s="3443"/>
      <c r="BJ449" s="3441"/>
      <c r="BK449" s="3442"/>
      <c r="BL449" s="3442"/>
      <c r="BM449" s="3442"/>
      <c r="BN449" s="3442"/>
      <c r="BO449" s="3442"/>
      <c r="BP449" s="3442"/>
      <c r="BQ449" s="3443"/>
      <c r="BR449" s="3441"/>
      <c r="BS449" s="3442"/>
      <c r="BT449" s="3442"/>
      <c r="BU449" s="3442"/>
      <c r="BV449" s="3442"/>
      <c r="BW449" s="3442"/>
      <c r="BX449" s="3442"/>
      <c r="BY449" s="3443"/>
      <c r="BZ449" s="3441"/>
      <c r="CA449" s="3442"/>
      <c r="CB449" s="3442"/>
      <c r="CC449" s="3442"/>
      <c r="CD449" s="3442"/>
      <c r="CE449" s="3442"/>
      <c r="CF449" s="3442"/>
      <c r="CG449" s="3443"/>
      <c r="CH449" s="3441"/>
      <c r="CI449" s="3442"/>
      <c r="CJ449" s="3442"/>
      <c r="CK449" s="3442"/>
      <c r="CL449" s="3442"/>
      <c r="CM449" s="3442"/>
      <c r="CN449" s="3442"/>
      <c r="CO449" s="3443"/>
      <c r="CP449" s="3443"/>
      <c r="CQ449" s="3737"/>
      <c r="CR449" s="3581"/>
      <c r="CS449" s="3728"/>
      <c r="CT449" s="3728" t="str">
        <f>IF(T449="","",T449)</f>
        <v/>
      </c>
      <c r="CU449" s="3728"/>
      <c r="CV449" s="3728"/>
    </row>
    <row s="9513" customFormat="1" customHeight="1" ht="21">
      <c r="A450" s="3716"/>
      <c r="B450" s="3716"/>
      <c r="C450" s="3716"/>
      <c r="D450" s="3716"/>
      <c r="E450" s="3717"/>
      <c r="F450" s="3717" t="s">
        <v>130</v>
      </c>
      <c r="G450" s="3717"/>
      <c r="H450" s="3717"/>
      <c r="I450" s="3739"/>
      <c r="J450" s="3730" t="str">
        <f>I449&amp;".1"</f>
        <v>2.9.1.1.1.1</v>
      </c>
      <c r="K450" s="3716"/>
      <c r="L450" s="3719" t="s">
        <v>621</v>
      </c>
      <c r="M450" s="3573"/>
      <c r="N450" s="3573"/>
      <c r="O450" s="3731"/>
      <c r="P450" s="3732"/>
      <c r="Q450" s="3732">
        <v>1</v>
      </c>
      <c r="R450" s="3740"/>
      <c r="S450" s="3724" t="str">
        <f>$J450</f>
        <v>2.9.1.1.1.1</v>
      </c>
      <c r="T450" s="3741" t="s">
        <v>622</v>
      </c>
      <c r="U450" s="3726"/>
      <c r="V450" s="3445"/>
      <c r="W450" s="3446"/>
      <c r="X450" s="3446"/>
      <c r="Y450" s="3446"/>
      <c r="Z450" s="3446"/>
      <c r="AA450" s="3446"/>
      <c r="AB450" s="3446"/>
      <c r="AC450" s="3447"/>
      <c r="AD450" s="3445" t="s">
        <v>665</v>
      </c>
      <c r="AE450" s="3446"/>
      <c r="AF450" s="3446"/>
      <c r="AG450" s="3446"/>
      <c r="AH450" s="3446"/>
      <c r="AI450" s="3446"/>
      <c r="AJ450" s="3446"/>
      <c r="AK450" s="3446"/>
      <c r="AL450" s="3445"/>
      <c r="AM450" s="3446"/>
      <c r="AN450" s="3446"/>
      <c r="AO450" s="3446"/>
      <c r="AP450" s="3446"/>
      <c r="AQ450" s="3446"/>
      <c r="AR450" s="3446"/>
      <c r="AS450" s="3447"/>
      <c r="AT450" s="3445"/>
      <c r="AU450" s="3446"/>
      <c r="AV450" s="3446"/>
      <c r="AW450" s="3446"/>
      <c r="AX450" s="3446"/>
      <c r="AY450" s="3446"/>
      <c r="AZ450" s="3446"/>
      <c r="BA450" s="3447"/>
      <c r="BB450" s="3445"/>
      <c r="BC450" s="3446"/>
      <c r="BD450" s="3446"/>
      <c r="BE450" s="3446"/>
      <c r="BF450" s="3446"/>
      <c r="BG450" s="3446"/>
      <c r="BH450" s="3446"/>
      <c r="BI450" s="3447"/>
      <c r="BJ450" s="3445"/>
      <c r="BK450" s="3446"/>
      <c r="BL450" s="3446"/>
      <c r="BM450" s="3446"/>
      <c r="BN450" s="3446"/>
      <c r="BO450" s="3446"/>
      <c r="BP450" s="3446"/>
      <c r="BQ450" s="3447"/>
      <c r="BR450" s="3445"/>
      <c r="BS450" s="3446"/>
      <c r="BT450" s="3446"/>
      <c r="BU450" s="3446"/>
      <c r="BV450" s="3446"/>
      <c r="BW450" s="3446"/>
      <c r="BX450" s="3446"/>
      <c r="BY450" s="3447"/>
      <c r="BZ450" s="3445"/>
      <c r="CA450" s="3446"/>
      <c r="CB450" s="3446"/>
      <c r="CC450" s="3446"/>
      <c r="CD450" s="3446"/>
      <c r="CE450" s="3446"/>
      <c r="CF450" s="3446"/>
      <c r="CG450" s="3447"/>
      <c r="CH450" s="3445"/>
      <c r="CI450" s="3446"/>
      <c r="CJ450" s="3446"/>
      <c r="CK450" s="3446"/>
      <c r="CL450" s="3446"/>
      <c r="CM450" s="3446"/>
      <c r="CN450" s="3446"/>
      <c r="CO450" s="3447"/>
      <c r="CP450" s="3447"/>
      <c r="CQ450" s="3727" t="s">
        <v>623</v>
      </c>
      <c r="CR450" s="3581"/>
      <c r="CS450" s="3728"/>
      <c r="CT450" s="3728" t="str">
        <f>IF(T450="","",T450)</f>
        <v>Группа потребителей</v>
      </c>
      <c r="CU450" s="3728"/>
      <c r="CV450" s="3728"/>
    </row>
    <row s="9514" customFormat="1" customHeight="1" ht="21">
      <c r="A451" s="3716"/>
      <c r="B451" s="3716"/>
      <c r="C451" s="3716"/>
      <c r="D451" s="3716"/>
      <c r="E451" s="3717"/>
      <c r="F451" s="3717" t="s">
        <v>130</v>
      </c>
      <c r="G451" s="3717"/>
      <c r="H451" s="3717"/>
      <c r="I451" s="3739"/>
      <c r="J451" s="3739"/>
      <c r="K451" s="3730" t="str">
        <f>J450&amp;".1"</f>
        <v>2.9.1.1.1.1.1</v>
      </c>
      <c r="L451" s="3719" t="s">
        <v>624</v>
      </c>
      <c r="M451" s="3573"/>
      <c r="N451" s="3573"/>
      <c r="O451" s="3573"/>
      <c r="P451" s="3732"/>
      <c r="Q451" s="3732"/>
      <c r="R451" s="3740">
        <v>1</v>
      </c>
      <c r="S451" s="3724" t="str">
        <f>$K451</f>
        <v>2.9.1.1.1.1.1</v>
      </c>
      <c r="T451" s="3743" t="s">
        <v>663</v>
      </c>
      <c r="U451" s="3726"/>
      <c r="V451" s="3448"/>
      <c r="W451" s="3449"/>
      <c r="X451" s="3448"/>
      <c r="Y451" s="3450"/>
      <c r="Z451" s="3451"/>
      <c r="AA451" s="2872" t="s">
        <v>63</v>
      </c>
      <c r="AB451" s="3451"/>
      <c r="AC451" s="2872" t="s">
        <v>63</v>
      </c>
      <c r="AD451" s="3448">
        <v>27.8</v>
      </c>
      <c r="AE451" s="3449"/>
      <c r="AF451" s="3448"/>
      <c r="AG451" s="3450"/>
      <c r="AH451" s="3451">
        <v>44197</v>
      </c>
      <c r="AI451" s="2872" t="s">
        <v>63</v>
      </c>
      <c r="AJ451" s="3451">
        <v>44377</v>
      </c>
      <c r="AK451" s="2872" t="s">
        <v>63</v>
      </c>
      <c r="AL451" s="3448">
        <v>30.3</v>
      </c>
      <c r="AM451" s="3449"/>
      <c r="AN451" s="3448"/>
      <c r="AO451" s="3450"/>
      <c r="AP451" s="3451">
        <v>44378</v>
      </c>
      <c r="AQ451" s="2872" t="s">
        <v>63</v>
      </c>
      <c r="AR451" s="3451">
        <v>44561</v>
      </c>
      <c r="AS451" s="2872" t="s">
        <v>63</v>
      </c>
      <c r="AT451" s="3448">
        <v>30.3</v>
      </c>
      <c r="AU451" s="3449"/>
      <c r="AV451" s="3448"/>
      <c r="AW451" s="3450"/>
      <c r="AX451" s="3451">
        <v>44562</v>
      </c>
      <c r="AY451" s="2872" t="s">
        <v>63</v>
      </c>
      <c r="AZ451" s="3451">
        <v>44601</v>
      </c>
      <c r="BA451" s="2872" t="s">
        <v>63</v>
      </c>
      <c r="BB451" s="3448">
        <v>30.3</v>
      </c>
      <c r="BC451" s="3449"/>
      <c r="BD451" s="3448"/>
      <c r="BE451" s="3450"/>
      <c r="BF451" s="3451">
        <v>44602</v>
      </c>
      <c r="BG451" s="2872" t="s">
        <v>63</v>
      </c>
      <c r="BH451" s="3451">
        <v>44742</v>
      </c>
      <c r="BI451" s="2872" t="s">
        <v>63</v>
      </c>
      <c r="BJ451" s="3448">
        <v>33.34</v>
      </c>
      <c r="BK451" s="3449"/>
      <c r="BL451" s="3448"/>
      <c r="BM451" s="3450"/>
      <c r="BN451" s="3451">
        <v>44743</v>
      </c>
      <c r="BO451" s="2872" t="s">
        <v>63</v>
      </c>
      <c r="BP451" s="3451">
        <v>44804</v>
      </c>
      <c r="BQ451" s="2872" t="s">
        <v>63</v>
      </c>
      <c r="BR451" s="3448">
        <v>33.34</v>
      </c>
      <c r="BS451" s="3449"/>
      <c r="BT451" s="3448"/>
      <c r="BU451" s="3450"/>
      <c r="BV451" s="3451">
        <v>44805</v>
      </c>
      <c r="BW451" s="2872" t="s">
        <v>63</v>
      </c>
      <c r="BX451" s="3451">
        <v>44895</v>
      </c>
      <c r="BY451" s="2872" t="s">
        <v>63</v>
      </c>
      <c r="BZ451" s="3448">
        <v>35.97</v>
      </c>
      <c r="CA451" s="3449"/>
      <c r="CB451" s="3448"/>
      <c r="CC451" s="3450"/>
      <c r="CD451" s="3451">
        <v>44896</v>
      </c>
      <c r="CE451" s="2872" t="s">
        <v>63</v>
      </c>
      <c r="CF451" s="3451">
        <v>45174</v>
      </c>
      <c r="CG451" s="2872" t="s">
        <v>63</v>
      </c>
      <c r="CH451" s="3448">
        <v>35.97</v>
      </c>
      <c r="CI451" s="3449"/>
      <c r="CJ451" s="3448"/>
      <c r="CK451" s="3450"/>
      <c r="CL451" s="3451">
        <v>45175</v>
      </c>
      <c r="CM451" s="2872" t="s">
        <v>63</v>
      </c>
      <c r="CN451" s="3451">
        <v>45291</v>
      </c>
      <c r="CO451" s="2872" t="s">
        <v>63</v>
      </c>
      <c r="CP451" s="3449"/>
      <c r="CQ451" s="3744" t="s">
        <v>625</v>
      </c>
      <c r="CR451" s="3581">
        <f>STRCHECKDATE(V452:CP452)</f>
      </c>
      <c r="CS451" s="3728"/>
      <c r="CT451" s="3728" t="str">
        <f>IF(T451="","",T451)</f>
        <v>вода</v>
      </c>
      <c r="CU451" s="3728"/>
      <c r="CV451" s="3728"/>
    </row>
    <row s="9515" customFormat="1" customHeight="1" ht="0.75">
      <c r="A452" s="3716"/>
      <c r="B452" s="3716"/>
      <c r="C452" s="3716"/>
      <c r="D452" s="3716"/>
      <c r="E452" s="3717"/>
      <c r="F452" s="3717" t="s">
        <v>130</v>
      </c>
      <c r="G452" s="3717"/>
      <c r="H452" s="3717"/>
      <c r="I452" s="3739"/>
      <c r="J452" s="3739"/>
      <c r="K452" s="3730"/>
      <c r="L452" s="3719"/>
      <c r="M452" s="3573"/>
      <c r="N452" s="3573"/>
      <c r="O452" s="3573"/>
      <c r="P452" s="3732"/>
      <c r="Q452" s="3732"/>
      <c r="R452" s="3740"/>
      <c r="S452" s="3746"/>
      <c r="T452" s="3726"/>
      <c r="U452" s="3726"/>
      <c r="V452" s="3449"/>
      <c r="W452" s="3449"/>
      <c r="X452" s="3449"/>
      <c r="Y452" s="3452" t="str">
        <f>Z451&amp;"-"&amp;AB451</f>
        <v>-</v>
      </c>
      <c r="Z452" s="3453"/>
      <c r="AA452" s="2872"/>
      <c r="AB452" s="3453"/>
      <c r="AC452" s="2872"/>
      <c r="AD452" s="3449"/>
      <c r="AE452" s="3449"/>
      <c r="AF452" s="3449"/>
      <c r="AG452" s="3452" t="str">
        <f>AH451&amp;"-"&amp;AJ451</f>
        <v>44197-44377</v>
      </c>
      <c r="AH452" s="3453"/>
      <c r="AI452" s="2872"/>
      <c r="AJ452" s="3453"/>
      <c r="AK452" s="2872"/>
      <c r="AL452" s="3449"/>
      <c r="AM452" s="3449"/>
      <c r="AN452" s="3449"/>
      <c r="AO452" s="3452" t="str">
        <f>AP451&amp;"-"&amp;AR451</f>
        <v>44378-44561</v>
      </c>
      <c r="AP452" s="3453"/>
      <c r="AQ452" s="2872"/>
      <c r="AR452" s="3453"/>
      <c r="AS452" s="2872"/>
      <c r="AT452" s="3449"/>
      <c r="AU452" s="3449"/>
      <c r="AV452" s="3449"/>
      <c r="AW452" s="3452" t="str">
        <f>AX451&amp;"-"&amp;AZ451</f>
        <v>44562-44601</v>
      </c>
      <c r="AX452" s="3453"/>
      <c r="AY452" s="2872"/>
      <c r="AZ452" s="3453"/>
      <c r="BA452" s="2872"/>
      <c r="BB452" s="3449"/>
      <c r="BC452" s="3449"/>
      <c r="BD452" s="3449"/>
      <c r="BE452" s="3452" t="str">
        <f>BF451&amp;"-"&amp;BH451</f>
        <v>44602-44742</v>
      </c>
      <c r="BF452" s="3453"/>
      <c r="BG452" s="2872"/>
      <c r="BH452" s="3453"/>
      <c r="BI452" s="2872"/>
      <c r="BJ452" s="3449"/>
      <c r="BK452" s="3449"/>
      <c r="BL452" s="3449"/>
      <c r="BM452" s="3452" t="str">
        <f>BN451&amp;"-"&amp;BP451</f>
        <v>44743-44804</v>
      </c>
      <c r="BN452" s="3453"/>
      <c r="BO452" s="2872"/>
      <c r="BP452" s="3453"/>
      <c r="BQ452" s="2872"/>
      <c r="BR452" s="3449"/>
      <c r="BS452" s="3449"/>
      <c r="BT452" s="3449"/>
      <c r="BU452" s="3452" t="str">
        <f>BV451&amp;"-"&amp;BX451</f>
        <v>44805-44895</v>
      </c>
      <c r="BV452" s="3453"/>
      <c r="BW452" s="2872"/>
      <c r="BX452" s="3453"/>
      <c r="BY452" s="2872"/>
      <c r="BZ452" s="3449"/>
      <c r="CA452" s="3449"/>
      <c r="CB452" s="3449"/>
      <c r="CC452" s="3452" t="str">
        <f>CD451&amp;"-"&amp;CF451</f>
        <v>44896-45174</v>
      </c>
      <c r="CD452" s="3453"/>
      <c r="CE452" s="2872"/>
      <c r="CF452" s="3453"/>
      <c r="CG452" s="2872"/>
      <c r="CH452" s="3449"/>
      <c r="CI452" s="3449"/>
      <c r="CJ452" s="3449"/>
      <c r="CK452" s="3452" t="str">
        <f>CL451&amp;"-"&amp;CN451</f>
        <v>45175-45291</v>
      </c>
      <c r="CL452" s="3453"/>
      <c r="CM452" s="2872"/>
      <c r="CN452" s="3453"/>
      <c r="CO452" s="2872"/>
      <c r="CP452" s="3449"/>
      <c r="CQ452" s="3747"/>
      <c r="CR452" s="3581"/>
      <c r="CS452" s="3728"/>
      <c r="CT452" s="3728" t="str">
        <f>IF(T452="","",T452)</f>
        <v/>
      </c>
      <c r="CU452" s="3728"/>
      <c r="CV452" s="3728"/>
    </row>
    <row s="9516" customFormat="1" customHeight="1" ht="15">
      <c r="A453" s="3716"/>
      <c r="B453" s="3716"/>
      <c r="C453" s="3716"/>
      <c r="D453" s="3716"/>
      <c r="E453" s="3717"/>
      <c r="F453" s="3717" t="s">
        <v>130</v>
      </c>
      <c r="G453" s="3717"/>
      <c r="H453" s="3717"/>
      <c r="I453" s="3739"/>
      <c r="J453" s="3730"/>
      <c r="K453" s="3716"/>
      <c r="L453" s="3719"/>
      <c r="M453" s="3573"/>
      <c r="N453" s="3573"/>
      <c r="O453" s="3731"/>
      <c r="P453" s="3732"/>
      <c r="Q453" s="3732"/>
      <c r="R453" s="3733"/>
      <c r="S453" s="9517"/>
      <c r="T453" s="9518" t="s">
        <v>626</v>
      </c>
      <c r="U453" s="9519"/>
      <c r="V453" s="9520"/>
      <c r="W453" s="9521"/>
      <c r="X453" s="9522"/>
      <c r="Y453" s="9523"/>
      <c r="Z453" s="9524"/>
      <c r="AA453" s="9525"/>
      <c r="AB453" s="9526"/>
      <c r="AC453" s="9527"/>
      <c r="AD453" s="9528"/>
      <c r="AE453" s="9529"/>
      <c r="AF453" s="9530"/>
      <c r="AG453" s="9531"/>
      <c r="AH453" s="9532"/>
      <c r="AI453" s="9533"/>
      <c r="AJ453" s="9534"/>
      <c r="AK453" s="9535"/>
      <c r="AL453" s="9536"/>
      <c r="AM453" s="9537"/>
      <c r="AN453" s="9538"/>
      <c r="AO453" s="9539"/>
      <c r="AP453" s="9540"/>
      <c r="AQ453" s="9541"/>
      <c r="AR453" s="9542"/>
      <c r="AS453" s="9543"/>
      <c r="AT453" s="9544"/>
      <c r="AU453" s="9545"/>
      <c r="AV453" s="9546"/>
      <c r="AW453" s="9547"/>
      <c r="AX453" s="9548"/>
      <c r="AY453" s="9549"/>
      <c r="AZ453" s="9550"/>
      <c r="BA453" s="9551"/>
      <c r="BB453" s="9552"/>
      <c r="BC453" s="9553"/>
      <c r="BD453" s="9554"/>
      <c r="BE453" s="9555"/>
      <c r="BF453" s="9556"/>
      <c r="BG453" s="9557"/>
      <c r="BH453" s="9558"/>
      <c r="BI453" s="9559"/>
      <c r="BJ453" s="9560"/>
      <c r="BK453" s="9561"/>
      <c r="BL453" s="9562"/>
      <c r="BM453" s="9563"/>
      <c r="BN453" s="9564"/>
      <c r="BO453" s="9565"/>
      <c r="BP453" s="9566"/>
      <c r="BQ453" s="9567"/>
      <c r="BR453" s="9568"/>
      <c r="BS453" s="9569"/>
      <c r="BT453" s="9570"/>
      <c r="BU453" s="9571"/>
      <c r="BV453" s="9572"/>
      <c r="BW453" s="9573"/>
      <c r="BX453" s="9574"/>
      <c r="BY453" s="9575"/>
      <c r="BZ453" s="9576"/>
      <c r="CA453" s="9577"/>
      <c r="CB453" s="9578"/>
      <c r="CC453" s="9579"/>
      <c r="CD453" s="9580"/>
      <c r="CE453" s="9581"/>
      <c r="CF453" s="9582"/>
      <c r="CG453" s="9583"/>
      <c r="CH453" s="9584"/>
      <c r="CI453" s="9585"/>
      <c r="CJ453" s="9586"/>
      <c r="CK453" s="9587"/>
      <c r="CL453" s="9588"/>
      <c r="CM453" s="9589"/>
      <c r="CN453" s="9590"/>
      <c r="CO453" s="9591"/>
      <c r="CP453" s="9592"/>
      <c r="CQ453" s="3825"/>
      <c r="CR453" s="3581"/>
      <c r="CS453" s="3728"/>
      <c r="CT453" s="3728" t="str">
        <f>IF(T453="","",T453)</f>
        <v>Добавить вид теплоносителя (параметры теплоносителя)</v>
      </c>
      <c r="CU453" s="3728"/>
      <c r="CV453" s="3728"/>
    </row>
    <row s="9593" customFormat="1" customHeight="1" ht="15">
      <c r="A454" s="3716"/>
      <c r="B454" s="3716"/>
      <c r="C454" s="3716"/>
      <c r="D454" s="3716"/>
      <c r="E454" s="3717"/>
      <c r="F454" s="3717" t="s">
        <v>130</v>
      </c>
      <c r="G454" s="3717"/>
      <c r="H454" s="3717"/>
      <c r="I454" s="3730"/>
      <c r="J454" s="3716"/>
      <c r="K454" s="3716"/>
      <c r="L454" s="3719"/>
      <c r="M454" s="3573"/>
      <c r="N454" s="3731"/>
      <c r="O454" s="3731"/>
      <c r="P454" s="3732"/>
      <c r="Q454" s="3732"/>
      <c r="R454" s="3733"/>
      <c r="S454" s="9594"/>
      <c r="T454" s="9595" t="s">
        <v>627</v>
      </c>
      <c r="U454" s="9596"/>
      <c r="V454" s="9597"/>
      <c r="W454" s="9598"/>
      <c r="X454" s="9599"/>
      <c r="Y454" s="9600"/>
      <c r="Z454" s="9601"/>
      <c r="AA454" s="9602"/>
      <c r="AB454" s="9603"/>
      <c r="AC454" s="9604"/>
      <c r="AD454" s="9605"/>
      <c r="AE454" s="9606"/>
      <c r="AF454" s="9607"/>
      <c r="AG454" s="9608"/>
      <c r="AH454" s="9609"/>
      <c r="AI454" s="9610"/>
      <c r="AJ454" s="9611"/>
      <c r="AK454" s="9612"/>
      <c r="AL454" s="9613"/>
      <c r="AM454" s="9614"/>
      <c r="AN454" s="9615"/>
      <c r="AO454" s="9616"/>
      <c r="AP454" s="9617"/>
      <c r="AQ454" s="9618"/>
      <c r="AR454" s="9619"/>
      <c r="AS454" s="9620"/>
      <c r="AT454" s="9621"/>
      <c r="AU454" s="9622"/>
      <c r="AV454" s="9623"/>
      <c r="AW454" s="9624"/>
      <c r="AX454" s="9625"/>
      <c r="AY454" s="9626"/>
      <c r="AZ454" s="9627"/>
      <c r="BA454" s="9628"/>
      <c r="BB454" s="9629"/>
      <c r="BC454" s="9630"/>
      <c r="BD454" s="9631"/>
      <c r="BE454" s="9632"/>
      <c r="BF454" s="9633"/>
      <c r="BG454" s="9634"/>
      <c r="BH454" s="9635"/>
      <c r="BI454" s="9636"/>
      <c r="BJ454" s="9637"/>
      <c r="BK454" s="9638"/>
      <c r="BL454" s="9639"/>
      <c r="BM454" s="9640"/>
      <c r="BN454" s="9641"/>
      <c r="BO454" s="9642"/>
      <c r="BP454" s="9643"/>
      <c r="BQ454" s="9644"/>
      <c r="BR454" s="9645"/>
      <c r="BS454" s="9646"/>
      <c r="BT454" s="9647"/>
      <c r="BU454" s="9648"/>
      <c r="BV454" s="9649"/>
      <c r="BW454" s="9650"/>
      <c r="BX454" s="9651"/>
      <c r="BY454" s="9652"/>
      <c r="BZ454" s="9653"/>
      <c r="CA454" s="9654"/>
      <c r="CB454" s="9655"/>
      <c r="CC454" s="9656"/>
      <c r="CD454" s="9657"/>
      <c r="CE454" s="9658"/>
      <c r="CF454" s="9659"/>
      <c r="CG454" s="9660"/>
      <c r="CH454" s="9661"/>
      <c r="CI454" s="9662"/>
      <c r="CJ454" s="9663"/>
      <c r="CK454" s="9664"/>
      <c r="CL454" s="9665"/>
      <c r="CM454" s="9666"/>
      <c r="CN454" s="9667"/>
      <c r="CO454" s="9668"/>
      <c r="CP454" s="9669"/>
      <c r="CQ454" s="9670"/>
      <c r="CR454" s="3581"/>
      <c r="CS454" s="3728"/>
      <c r="CT454" s="3728" t="str">
        <f>IF(T454="","",T454)</f>
        <v>Добавить группу потребителей</v>
      </c>
      <c r="CU454" s="3728"/>
      <c r="CV454" s="3728"/>
    </row>
    <row s="9671" customFormat="1" customHeight="1" ht="14.25">
      <c r="A455" s="3716"/>
      <c r="B455" s="3716"/>
      <c r="C455" s="3716"/>
      <c r="D455" s="3716"/>
      <c r="E455" s="3717"/>
      <c r="F455" s="3717" t="s">
        <v>130</v>
      </c>
      <c r="G455" s="3717"/>
      <c r="H455" s="3718"/>
      <c r="I455" s="3716"/>
      <c r="J455" s="3716"/>
      <c r="K455" s="3716"/>
      <c r="L455" s="3719"/>
      <c r="M455" s="3720"/>
      <c r="N455" s="3720"/>
      <c r="O455" s="3573"/>
      <c r="P455" s="3905"/>
      <c r="Q455" s="3906"/>
      <c r="R455" s="3907"/>
      <c r="S455" s="3908"/>
      <c r="T455" s="3909"/>
      <c r="U455" s="3569"/>
      <c r="V455" s="3569"/>
      <c r="W455" s="3569"/>
      <c r="X455" s="3569"/>
      <c r="Y455" s="3569"/>
      <c r="Z455" s="3569"/>
      <c r="AA455" s="3569"/>
      <c r="AB455" s="3569"/>
      <c r="AC455" s="3569"/>
      <c r="AD455" s="3569"/>
      <c r="AE455" s="3569"/>
      <c r="AF455" s="3569"/>
      <c r="AG455" s="3569"/>
      <c r="AH455" s="3569"/>
      <c r="AI455" s="3569"/>
      <c r="AJ455" s="3569"/>
      <c r="AK455" s="3569"/>
      <c r="AL455" s="3569"/>
      <c r="AM455" s="3569"/>
      <c r="AN455" s="3569"/>
      <c r="AO455" s="3569"/>
      <c r="AP455" s="3569"/>
      <c r="AQ455" s="3569"/>
      <c r="AR455" s="3569"/>
      <c r="AS455" s="3569"/>
      <c r="AT455" s="3569"/>
      <c r="AU455" s="3569"/>
      <c r="AV455" s="3569"/>
      <c r="AW455" s="3569"/>
      <c r="AX455" s="3569"/>
      <c r="AY455" s="3569"/>
      <c r="AZ455" s="3569"/>
      <c r="BA455" s="3569"/>
      <c r="BB455" s="3569"/>
      <c r="BC455" s="3569"/>
      <c r="BD455" s="3569"/>
      <c r="BE455" s="3569"/>
      <c r="BF455" s="3569"/>
      <c r="BG455" s="3569"/>
      <c r="BH455" s="3569"/>
      <c r="BI455" s="3569"/>
      <c r="BJ455" s="3569"/>
      <c r="BK455" s="3569"/>
      <c r="BL455" s="3569"/>
      <c r="BM455" s="3569"/>
      <c r="BN455" s="3569"/>
      <c r="BO455" s="3569"/>
      <c r="BP455" s="3569"/>
      <c r="BQ455" s="3569"/>
      <c r="BR455" s="3569"/>
      <c r="BS455" s="3569"/>
      <c r="BT455" s="3569"/>
      <c r="BU455" s="3569"/>
      <c r="BV455" s="3569"/>
      <c r="BW455" s="3569"/>
      <c r="BX455" s="3569"/>
      <c r="BY455" s="3569"/>
      <c r="BZ455" s="3569"/>
      <c r="CA455" s="3569"/>
      <c r="CB455" s="3569"/>
      <c r="CC455" s="3569"/>
      <c r="CD455" s="3569"/>
      <c r="CE455" s="3569"/>
      <c r="CF455" s="3569"/>
      <c r="CG455" s="3569"/>
      <c r="CH455" s="3569"/>
      <c r="CI455" s="3569"/>
      <c r="CJ455" s="3569"/>
      <c r="CK455" s="3569"/>
      <c r="CL455" s="3569"/>
      <c r="CM455" s="3569"/>
      <c r="CN455" s="3569"/>
      <c r="CO455" s="3569"/>
      <c r="CP455" s="3569"/>
      <c r="CQ455" s="3910"/>
      <c r="CR455" s="3581"/>
      <c r="CS455" s="3728"/>
      <c r="CT455" s="3728" t="str">
        <f>IF(T455="","",T455)</f>
        <v/>
      </c>
      <c r="CU455" s="3728"/>
      <c r="CV455" s="3728"/>
    </row>
    <row s="9672" customFormat="1" customHeight="1" ht="0.75">
      <c r="A456" s="4239"/>
      <c r="B456" s="4239"/>
      <c r="C456" s="4239"/>
      <c r="D456" s="4239"/>
      <c r="E456" s="3717"/>
      <c r="F456" s="3717" t="s">
        <v>130</v>
      </c>
      <c r="G456" s="3718"/>
      <c r="H456" s="4239"/>
      <c r="I456" s="4239"/>
      <c r="J456" s="4239"/>
      <c r="K456" s="4239"/>
      <c r="L456" s="4240"/>
      <c r="M456" s="4241"/>
      <c r="N456" s="4241"/>
      <c r="O456" s="3581"/>
      <c r="P456" s="4242"/>
      <c r="Q456" s="4243"/>
      <c r="R456" s="4242"/>
      <c r="S456" s="4244"/>
      <c r="T456" s="4245" t="s">
        <v>254</v>
      </c>
      <c r="U456" s="3571"/>
      <c r="V456" s="3571"/>
      <c r="W456" s="3571"/>
      <c r="X456" s="3571"/>
      <c r="Y456" s="3571"/>
      <c r="Z456" s="3571"/>
      <c r="AA456" s="3571"/>
      <c r="AB456" s="3571"/>
      <c r="AC456" s="3571"/>
      <c r="AD456" s="3571"/>
      <c r="AE456" s="3571"/>
      <c r="AF456" s="3571"/>
      <c r="AG456" s="3571"/>
      <c r="AH456" s="3571"/>
      <c r="AI456" s="3571"/>
      <c r="AJ456" s="3571"/>
      <c r="AK456" s="3571"/>
      <c r="AL456" s="3571"/>
      <c r="AM456" s="3571"/>
      <c r="AN456" s="3571"/>
      <c r="AO456" s="3571"/>
      <c r="AP456" s="3571"/>
      <c r="AQ456" s="3571"/>
      <c r="AR456" s="3571"/>
      <c r="AS456" s="3571"/>
      <c r="AT456" s="3571"/>
      <c r="AU456" s="3571"/>
      <c r="AV456" s="3571"/>
      <c r="AW456" s="3571"/>
      <c r="AX456" s="3571"/>
      <c r="AY456" s="3571"/>
      <c r="AZ456" s="3571"/>
      <c r="BA456" s="3571"/>
      <c r="BB456" s="3571"/>
      <c r="BC456" s="3571"/>
      <c r="BD456" s="3571"/>
      <c r="BE456" s="3571"/>
      <c r="BF456" s="3571"/>
      <c r="BG456" s="3571"/>
      <c r="BH456" s="3571"/>
      <c r="BI456" s="3571"/>
      <c r="BJ456" s="3571"/>
      <c r="BK456" s="3571"/>
      <c r="BL456" s="3571"/>
      <c r="BM456" s="3571"/>
      <c r="BN456" s="3571"/>
      <c r="BO456" s="3571"/>
      <c r="BP456" s="3571"/>
      <c r="BQ456" s="3571"/>
      <c r="BR456" s="3571"/>
      <c r="BS456" s="3571"/>
      <c r="BT456" s="3571"/>
      <c r="BU456" s="3571"/>
      <c r="BV456" s="3571"/>
      <c r="BW456" s="3571"/>
      <c r="BX456" s="3571"/>
      <c r="BY456" s="3571"/>
      <c r="BZ456" s="3571"/>
      <c r="CA456" s="3571"/>
      <c r="CB456" s="3571"/>
      <c r="CC456" s="3571"/>
      <c r="CD456" s="3571"/>
      <c r="CE456" s="3571"/>
      <c r="CF456" s="3571"/>
      <c r="CG456" s="3571"/>
      <c r="CH456" s="3571"/>
      <c r="CI456" s="3571"/>
      <c r="CJ456" s="3571"/>
      <c r="CK456" s="3571"/>
      <c r="CL456" s="3571"/>
      <c r="CM456" s="3571"/>
      <c r="CN456" s="3571"/>
      <c r="CO456" s="3571"/>
      <c r="CP456" s="3571"/>
      <c r="CQ456" s="3571"/>
      <c r="CR456" s="3581"/>
      <c r="CS456" s="3728"/>
      <c r="CT456" s="3728" t="str">
        <f>IF(T456="","",T456)</f>
        <v>Добавить источник для дифференциации</v>
      </c>
      <c r="CU456" s="3728"/>
      <c r="CV456" s="3728"/>
    </row>
    <row s="9673" customFormat="1" customHeight="1" ht="0.75">
      <c r="A457" s="4239"/>
      <c r="B457" s="4239"/>
      <c r="C457" s="4239"/>
      <c r="D457" s="4239"/>
      <c r="E457" s="3717"/>
      <c r="F457" s="3718" t="s">
        <v>130</v>
      </c>
      <c r="G457" s="4239"/>
      <c r="H457" s="4239"/>
      <c r="I457" s="4239"/>
      <c r="J457" s="4239"/>
      <c r="K457" s="4239"/>
      <c r="L457" s="4240"/>
      <c r="M457" s="4247"/>
      <c r="N457" s="4247"/>
      <c r="O457" s="3581"/>
      <c r="P457" s="4242"/>
      <c r="Q457" s="4243"/>
      <c r="R457" s="4242"/>
      <c r="S457" s="4248"/>
      <c r="T457" s="4249" t="s">
        <v>255</v>
      </c>
      <c r="U457" s="3572"/>
      <c r="V457" s="3572"/>
      <c r="W457" s="3572"/>
      <c r="X457" s="3572"/>
      <c r="Y457" s="3572"/>
      <c r="Z457" s="3572"/>
      <c r="AA457" s="3572"/>
      <c r="AB457" s="3572"/>
      <c r="AC457" s="3572"/>
      <c r="AD457" s="3572"/>
      <c r="AE457" s="3572"/>
      <c r="AF457" s="3572"/>
      <c r="AG457" s="3572"/>
      <c r="AH457" s="3572"/>
      <c r="AI457" s="3572"/>
      <c r="AJ457" s="3572"/>
      <c r="AK457" s="3572"/>
      <c r="AL457" s="3572"/>
      <c r="AM457" s="3572"/>
      <c r="AN457" s="3572"/>
      <c r="AO457" s="3572"/>
      <c r="AP457" s="3572"/>
      <c r="AQ457" s="3572"/>
      <c r="AR457" s="3572"/>
      <c r="AS457" s="3572"/>
      <c r="AT457" s="3572"/>
      <c r="AU457" s="3572"/>
      <c r="AV457" s="3572"/>
      <c r="AW457" s="3572"/>
      <c r="AX457" s="3572"/>
      <c r="AY457" s="3572"/>
      <c r="AZ457" s="3572"/>
      <c r="BA457" s="3572"/>
      <c r="BB457" s="3572"/>
      <c r="BC457" s="3572"/>
      <c r="BD457" s="3572"/>
      <c r="BE457" s="3572"/>
      <c r="BF457" s="3572"/>
      <c r="BG457" s="3572"/>
      <c r="BH457" s="3572"/>
      <c r="BI457" s="3572"/>
      <c r="BJ457" s="3572"/>
      <c r="BK457" s="3572"/>
      <c r="BL457" s="3572"/>
      <c r="BM457" s="3572"/>
      <c r="BN457" s="3572"/>
      <c r="BO457" s="3572"/>
      <c r="BP457" s="3572"/>
      <c r="BQ457" s="3572"/>
      <c r="BR457" s="3572"/>
      <c r="BS457" s="3572"/>
      <c r="BT457" s="3572"/>
      <c r="BU457" s="3572"/>
      <c r="BV457" s="3572"/>
      <c r="BW457" s="3572"/>
      <c r="BX457" s="3572"/>
      <c r="BY457" s="3572"/>
      <c r="BZ457" s="3572"/>
      <c r="CA457" s="3572"/>
      <c r="CB457" s="3572"/>
      <c r="CC457" s="3572"/>
      <c r="CD457" s="3572"/>
      <c r="CE457" s="3572"/>
      <c r="CF457" s="3572"/>
      <c r="CG457" s="3572"/>
      <c r="CH457" s="3572"/>
      <c r="CI457" s="3572"/>
      <c r="CJ457" s="3572"/>
      <c r="CK457" s="3572"/>
      <c r="CL457" s="3572"/>
      <c r="CM457" s="3572"/>
      <c r="CN457" s="3572"/>
      <c r="CO457" s="3572"/>
      <c r="CP457" s="3572"/>
      <c r="CQ457" s="3572"/>
      <c r="CR457" s="3581"/>
      <c r="CS457" s="3728"/>
      <c r="CT457" s="3728" t="str">
        <f>IF(T457="","",T457)</f>
        <v>Добавить централизованную систему для дифференциации</v>
      </c>
      <c r="CU457" s="3728"/>
      <c r="CV457" s="3728"/>
    </row>
    <row s="9674" customFormat="1" customHeight="1" ht="21">
      <c r="A458" s="3716"/>
      <c r="B458" s="3716" t="s">
        <v>361</v>
      </c>
      <c r="C458" s="3716"/>
      <c r="D458" s="3716"/>
      <c r="E458" s="3717"/>
      <c r="F458" s="3718" t="s">
        <v>139</v>
      </c>
      <c r="G458" s="3716"/>
      <c r="H458" s="3716"/>
      <c r="I458" s="3716"/>
      <c r="J458" s="3716"/>
      <c r="K458" s="3716"/>
      <c r="L458" s="3719"/>
      <c r="M458" s="3720"/>
      <c r="N458" s="3720"/>
      <c r="O458" s="3720"/>
      <c r="P458" s="4073"/>
      <c r="Q458" s="3722"/>
      <c r="R458" s="3723"/>
      <c r="S458" s="3724" t="str">
        <f>INDEX(PT_DIFFERENTIATION_NUM_TER,MATCH(B458,PT_DIFFERENTIATION_TER_ID,0))</f>
        <v>2.10</v>
      </c>
      <c r="T458" s="4074" t="s">
        <v>612</v>
      </c>
      <c r="U458" s="3726"/>
      <c r="V458" s="3432"/>
      <c r="W458" s="3433"/>
      <c r="X458" s="3433"/>
      <c r="Y458" s="3433"/>
      <c r="Z458" s="3433"/>
      <c r="AA458" s="3433"/>
      <c r="AB458" s="3433"/>
      <c r="AC458" s="3434"/>
      <c r="AD458" s="3432" t="str">
        <f>INDEX(PT_DIFFERENTIATION_TER,MATCH(B458,PT_DIFFERENTIATION_TER_ID,0))</f>
        <v>Территория 10</v>
      </c>
      <c r="AE458" s="3433"/>
      <c r="AF458" s="3433"/>
      <c r="AG458" s="3433"/>
      <c r="AH458" s="3433"/>
      <c r="AI458" s="3433"/>
      <c r="AJ458" s="3433"/>
      <c r="AK458" s="3433"/>
      <c r="AL458" s="3432"/>
      <c r="AM458" s="3433"/>
      <c r="AN458" s="3433"/>
      <c r="AO458" s="3433"/>
      <c r="AP458" s="3433"/>
      <c r="AQ458" s="3433"/>
      <c r="AR458" s="3433"/>
      <c r="AS458" s="3434"/>
      <c r="AT458" s="3432"/>
      <c r="AU458" s="3433"/>
      <c r="AV458" s="3433"/>
      <c r="AW458" s="3433"/>
      <c r="AX458" s="3433"/>
      <c r="AY458" s="3433"/>
      <c r="AZ458" s="3433"/>
      <c r="BA458" s="3434"/>
      <c r="BB458" s="3432"/>
      <c r="BC458" s="3433"/>
      <c r="BD458" s="3433"/>
      <c r="BE458" s="3433"/>
      <c r="BF458" s="3433"/>
      <c r="BG458" s="3433"/>
      <c r="BH458" s="3433"/>
      <c r="BI458" s="3434"/>
      <c r="BJ458" s="3432"/>
      <c r="BK458" s="3433"/>
      <c r="BL458" s="3433"/>
      <c r="BM458" s="3433"/>
      <c r="BN458" s="3433"/>
      <c r="BO458" s="3433"/>
      <c r="BP458" s="3433"/>
      <c r="BQ458" s="3434"/>
      <c r="BR458" s="3432"/>
      <c r="BS458" s="3433"/>
      <c r="BT458" s="3433"/>
      <c r="BU458" s="3433"/>
      <c r="BV458" s="3433"/>
      <c r="BW458" s="3433"/>
      <c r="BX458" s="3433"/>
      <c r="BY458" s="3434"/>
      <c r="BZ458" s="3432"/>
      <c r="CA458" s="3433"/>
      <c r="CB458" s="3433"/>
      <c r="CC458" s="3433"/>
      <c r="CD458" s="3433"/>
      <c r="CE458" s="3433"/>
      <c r="CF458" s="3433"/>
      <c r="CG458" s="3434"/>
      <c r="CH458" s="3432"/>
      <c r="CI458" s="3433"/>
      <c r="CJ458" s="3433"/>
      <c r="CK458" s="3433"/>
      <c r="CL458" s="3433"/>
      <c r="CM458" s="3433"/>
      <c r="CN458" s="3433"/>
      <c r="CO458" s="3434"/>
      <c r="CP458" s="3434"/>
      <c r="CQ458" s="3727" t="s">
        <v>613</v>
      </c>
      <c r="CR458" s="3581"/>
      <c r="CS458" s="3728"/>
      <c r="CT458" s="3728" t="str">
        <f>IF(T458="","",T458)</f>
        <v>Территория действия тарифа</v>
      </c>
      <c r="CU458" s="3728"/>
      <c r="CV458" s="3728"/>
    </row>
    <row s="9675" customFormat="1" customHeight="1" ht="23.25">
      <c r="A459" s="3716"/>
      <c r="B459" s="3716"/>
      <c r="C459" s="3716" t="s">
        <v>362</v>
      </c>
      <c r="D459" s="3716"/>
      <c r="E459" s="3717"/>
      <c r="F459" s="3717" t="s">
        <v>135</v>
      </c>
      <c r="G459" s="3718">
        <v>1</v>
      </c>
      <c r="H459" s="3716"/>
      <c r="I459" s="3716"/>
      <c r="J459" s="3716"/>
      <c r="K459" s="3716"/>
      <c r="L459" s="3719"/>
      <c r="M459" s="3720"/>
      <c r="N459" s="3720"/>
      <c r="O459" s="3720"/>
      <c r="P459" s="3721"/>
      <c r="Q459" s="3722"/>
      <c r="R459" s="3723"/>
      <c r="S459" s="3724" t="str">
        <f>INDEX(PT_DIFFERENTIATION_NUM_CS,MATCH(C459,PT_DIFFERENTIATION_CS_ID,0))</f>
        <v>2.10.1</v>
      </c>
      <c r="T459" s="4076" t="s">
        <v>614</v>
      </c>
      <c r="U459" s="3726"/>
      <c r="V459" s="3432"/>
      <c r="W459" s="3433"/>
      <c r="X459" s="3433"/>
      <c r="Y459" s="3433"/>
      <c r="Z459" s="3433"/>
      <c r="AA459" s="3433"/>
      <c r="AB459" s="3433"/>
      <c r="AC459" s="3434"/>
      <c r="AD459" s="3432" t="str">
        <f>INDEX(PT_DIFFERENTIATION_CS,MATCH(C459,PT_DIFFERENTIATION_CS_ID,0))</f>
        <v>без дифференциации</v>
      </c>
      <c r="AE459" s="3433"/>
      <c r="AF459" s="3433"/>
      <c r="AG459" s="3433"/>
      <c r="AH459" s="3433"/>
      <c r="AI459" s="3433"/>
      <c r="AJ459" s="3433"/>
      <c r="AK459" s="3433"/>
      <c r="AL459" s="3432"/>
      <c r="AM459" s="3433"/>
      <c r="AN459" s="3433"/>
      <c r="AO459" s="3433"/>
      <c r="AP459" s="3433"/>
      <c r="AQ459" s="3433"/>
      <c r="AR459" s="3433"/>
      <c r="AS459" s="3434"/>
      <c r="AT459" s="3432"/>
      <c r="AU459" s="3433"/>
      <c r="AV459" s="3433"/>
      <c r="AW459" s="3433"/>
      <c r="AX459" s="3433"/>
      <c r="AY459" s="3433"/>
      <c r="AZ459" s="3433"/>
      <c r="BA459" s="3434"/>
      <c r="BB459" s="3432"/>
      <c r="BC459" s="3433"/>
      <c r="BD459" s="3433"/>
      <c r="BE459" s="3433"/>
      <c r="BF459" s="3433"/>
      <c r="BG459" s="3433"/>
      <c r="BH459" s="3433"/>
      <c r="BI459" s="3434"/>
      <c r="BJ459" s="3432"/>
      <c r="BK459" s="3433"/>
      <c r="BL459" s="3433"/>
      <c r="BM459" s="3433"/>
      <c r="BN459" s="3433"/>
      <c r="BO459" s="3433"/>
      <c r="BP459" s="3433"/>
      <c r="BQ459" s="3434"/>
      <c r="BR459" s="3432"/>
      <c r="BS459" s="3433"/>
      <c r="BT459" s="3433"/>
      <c r="BU459" s="3433"/>
      <c r="BV459" s="3433"/>
      <c r="BW459" s="3433"/>
      <c r="BX459" s="3433"/>
      <c r="BY459" s="3434"/>
      <c r="BZ459" s="3432"/>
      <c r="CA459" s="3433"/>
      <c r="CB459" s="3433"/>
      <c r="CC459" s="3433"/>
      <c r="CD459" s="3433"/>
      <c r="CE459" s="3433"/>
      <c r="CF459" s="3433"/>
      <c r="CG459" s="3434"/>
      <c r="CH459" s="3432"/>
      <c r="CI459" s="3433"/>
      <c r="CJ459" s="3433"/>
      <c r="CK459" s="3433"/>
      <c r="CL459" s="3433"/>
      <c r="CM459" s="3433"/>
      <c r="CN459" s="3433"/>
      <c r="CO459" s="3434"/>
      <c r="CP459" s="3434"/>
      <c r="CQ459" s="3727" t="s">
        <v>615</v>
      </c>
      <c r="CR459" s="3581"/>
      <c r="CS459" s="3728"/>
      <c r="CT459" s="3728" t="str">
        <f>IF(T459="","",T459)</f>
        <v>Наименование системы теплоснабжения </v>
      </c>
      <c r="CU459" s="3728"/>
      <c r="CV459" s="3728"/>
    </row>
    <row s="9676" customFormat="1" customHeight="1" ht="21">
      <c r="A460" s="3716"/>
      <c r="B460" s="3716"/>
      <c r="C460" s="3716"/>
      <c r="D460" s="3716" t="s">
        <v>363</v>
      </c>
      <c r="E460" s="3717"/>
      <c r="F460" s="3717" t="s">
        <v>135</v>
      </c>
      <c r="G460" s="3717"/>
      <c r="H460" s="3718">
        <v>1</v>
      </c>
      <c r="I460" s="3716"/>
      <c r="J460" s="3716"/>
      <c r="K460" s="3716"/>
      <c r="L460" s="3719"/>
      <c r="M460" s="3720"/>
      <c r="N460" s="3720"/>
      <c r="O460" s="3720"/>
      <c r="P460" s="3721"/>
      <c r="Q460" s="3722"/>
      <c r="R460" s="3723"/>
      <c r="S460" s="3724" t="str">
        <f>INDEX(PT_DIFFERENTIATION_NUM_IST_TE,MATCH(D460,PT_DIFFERENTIATION_IST_TE_ID,0))</f>
        <v>2.10.1.1</v>
      </c>
      <c r="T460" s="3725" t="s">
        <v>616</v>
      </c>
      <c r="U460" s="3726"/>
      <c r="V460" s="3432"/>
      <c r="W460" s="3433"/>
      <c r="X460" s="3433"/>
      <c r="Y460" s="3433"/>
      <c r="Z460" s="3433"/>
      <c r="AA460" s="3433"/>
      <c r="AB460" s="3433"/>
      <c r="AC460" s="3434"/>
      <c r="AD460" s="3432" t="str">
        <f>INDEX(PT_DIFFERENTIATION_IST_TE,MATCH(D460,PT_DIFFERENTIATION_IST_TE_ID,0))</f>
        <v>город Гаджиево, н.п.Оленья Губа, город Полярный</v>
      </c>
      <c r="AE460" s="3433"/>
      <c r="AF460" s="3433"/>
      <c r="AG460" s="3433"/>
      <c r="AH460" s="3433"/>
      <c r="AI460" s="3433"/>
      <c r="AJ460" s="3433"/>
      <c r="AK460" s="3433"/>
      <c r="AL460" s="3432"/>
      <c r="AM460" s="3433"/>
      <c r="AN460" s="3433"/>
      <c r="AO460" s="3433"/>
      <c r="AP460" s="3433"/>
      <c r="AQ460" s="3433"/>
      <c r="AR460" s="3433"/>
      <c r="AS460" s="3434"/>
      <c r="AT460" s="3432"/>
      <c r="AU460" s="3433"/>
      <c r="AV460" s="3433"/>
      <c r="AW460" s="3433"/>
      <c r="AX460" s="3433"/>
      <c r="AY460" s="3433"/>
      <c r="AZ460" s="3433"/>
      <c r="BA460" s="3434"/>
      <c r="BB460" s="3432"/>
      <c r="BC460" s="3433"/>
      <c r="BD460" s="3433"/>
      <c r="BE460" s="3433"/>
      <c r="BF460" s="3433"/>
      <c r="BG460" s="3433"/>
      <c r="BH460" s="3433"/>
      <c r="BI460" s="3434"/>
      <c r="BJ460" s="3432"/>
      <c r="BK460" s="3433"/>
      <c r="BL460" s="3433"/>
      <c r="BM460" s="3433"/>
      <c r="BN460" s="3433"/>
      <c r="BO460" s="3433"/>
      <c r="BP460" s="3433"/>
      <c r="BQ460" s="3434"/>
      <c r="BR460" s="3432"/>
      <c r="BS460" s="3433"/>
      <c r="BT460" s="3433"/>
      <c r="BU460" s="3433"/>
      <c r="BV460" s="3433"/>
      <c r="BW460" s="3433"/>
      <c r="BX460" s="3433"/>
      <c r="BY460" s="3434"/>
      <c r="BZ460" s="3432"/>
      <c r="CA460" s="3433"/>
      <c r="CB460" s="3433"/>
      <c r="CC460" s="3433"/>
      <c r="CD460" s="3433"/>
      <c r="CE460" s="3433"/>
      <c r="CF460" s="3433"/>
      <c r="CG460" s="3434"/>
      <c r="CH460" s="3432"/>
      <c r="CI460" s="3433"/>
      <c r="CJ460" s="3433"/>
      <c r="CK460" s="3433"/>
      <c r="CL460" s="3433"/>
      <c r="CM460" s="3433"/>
      <c r="CN460" s="3433"/>
      <c r="CO460" s="3434"/>
      <c r="CP460" s="3434"/>
      <c r="CQ460" s="3727" t="s">
        <v>617</v>
      </c>
      <c r="CR460" s="3581"/>
      <c r="CS460" s="3728"/>
      <c r="CT460" s="3728" t="str">
        <f>IF(T460="","",T460)</f>
        <v>Источник тепловой энергии  </v>
      </c>
      <c r="CU460" s="3728"/>
      <c r="CV460" s="3728"/>
    </row>
    <row s="9677" customFormat="1" customHeight="1" ht="14.25">
      <c r="A461" s="3716"/>
      <c r="B461" s="3716"/>
      <c r="C461" s="3716"/>
      <c r="D461" s="3716"/>
      <c r="E461" s="3717"/>
      <c r="F461" s="3717" t="s">
        <v>135</v>
      </c>
      <c r="G461" s="3717"/>
      <c r="H461" s="3717"/>
      <c r="I461" s="3730" t="str">
        <f>S460&amp;".1"</f>
        <v>2.10.1.1.1</v>
      </c>
      <c r="J461" s="3716"/>
      <c r="K461" s="3716"/>
      <c r="L461" s="3719" t="s">
        <v>618</v>
      </c>
      <c r="M461" s="3573"/>
      <c r="N461" s="3731"/>
      <c r="O461" s="3731"/>
      <c r="P461" s="3732">
        <v>1</v>
      </c>
      <c r="Q461" s="3732"/>
      <c r="R461" s="3733"/>
      <c r="S461" s="3734"/>
      <c r="T461" s="3735"/>
      <c r="U461" s="3736"/>
      <c r="V461" s="3441"/>
      <c r="W461" s="3442"/>
      <c r="X461" s="3442"/>
      <c r="Y461" s="3442"/>
      <c r="Z461" s="3442"/>
      <c r="AA461" s="3442"/>
      <c r="AB461" s="3442"/>
      <c r="AC461" s="3443"/>
      <c r="AD461" s="3441"/>
      <c r="AE461" s="3442"/>
      <c r="AF461" s="3442"/>
      <c r="AG461" s="3442"/>
      <c r="AH461" s="3442"/>
      <c r="AI461" s="3442"/>
      <c r="AJ461" s="3442"/>
      <c r="AK461" s="3442"/>
      <c r="AL461" s="3441"/>
      <c r="AM461" s="3442"/>
      <c r="AN461" s="3442"/>
      <c r="AO461" s="3442"/>
      <c r="AP461" s="3442"/>
      <c r="AQ461" s="3442"/>
      <c r="AR461" s="3442"/>
      <c r="AS461" s="3443"/>
      <c r="AT461" s="3441"/>
      <c r="AU461" s="3442"/>
      <c r="AV461" s="3442"/>
      <c r="AW461" s="3442"/>
      <c r="AX461" s="3442"/>
      <c r="AY461" s="3442"/>
      <c r="AZ461" s="3442"/>
      <c r="BA461" s="3443"/>
      <c r="BB461" s="3441"/>
      <c r="BC461" s="3442"/>
      <c r="BD461" s="3442"/>
      <c r="BE461" s="3442"/>
      <c r="BF461" s="3442"/>
      <c r="BG461" s="3442"/>
      <c r="BH461" s="3442"/>
      <c r="BI461" s="3443"/>
      <c r="BJ461" s="3441"/>
      <c r="BK461" s="3442"/>
      <c r="BL461" s="3442"/>
      <c r="BM461" s="3442"/>
      <c r="BN461" s="3442"/>
      <c r="BO461" s="3442"/>
      <c r="BP461" s="3442"/>
      <c r="BQ461" s="3443"/>
      <c r="BR461" s="3441"/>
      <c r="BS461" s="3442"/>
      <c r="BT461" s="3442"/>
      <c r="BU461" s="3442"/>
      <c r="BV461" s="3442"/>
      <c r="BW461" s="3442"/>
      <c r="BX461" s="3442"/>
      <c r="BY461" s="3443"/>
      <c r="BZ461" s="3441"/>
      <c r="CA461" s="3442"/>
      <c r="CB461" s="3442"/>
      <c r="CC461" s="3442"/>
      <c r="CD461" s="3442"/>
      <c r="CE461" s="3442"/>
      <c r="CF461" s="3442"/>
      <c r="CG461" s="3443"/>
      <c r="CH461" s="3441"/>
      <c r="CI461" s="3442"/>
      <c r="CJ461" s="3442"/>
      <c r="CK461" s="3442"/>
      <c r="CL461" s="3442"/>
      <c r="CM461" s="3442"/>
      <c r="CN461" s="3442"/>
      <c r="CO461" s="3443"/>
      <c r="CP461" s="3443"/>
      <c r="CQ461" s="3737"/>
      <c r="CR461" s="3581"/>
      <c r="CS461" s="3728"/>
      <c r="CT461" s="3728" t="str">
        <f>IF(T461="","",T461)</f>
        <v/>
      </c>
      <c r="CU461" s="3728"/>
      <c r="CV461" s="3728"/>
    </row>
    <row s="9678" customFormat="1" customHeight="1" ht="21">
      <c r="A462" s="3716"/>
      <c r="B462" s="3716"/>
      <c r="C462" s="3716"/>
      <c r="D462" s="3716"/>
      <c r="E462" s="3717"/>
      <c r="F462" s="3717" t="s">
        <v>135</v>
      </c>
      <c r="G462" s="3717"/>
      <c r="H462" s="3717"/>
      <c r="I462" s="3739"/>
      <c r="J462" s="3730" t="str">
        <f>I461&amp;".1"</f>
        <v>2.10.1.1.1.1</v>
      </c>
      <c r="K462" s="3716"/>
      <c r="L462" s="3719" t="s">
        <v>621</v>
      </c>
      <c r="M462" s="3573"/>
      <c r="N462" s="3573"/>
      <c r="O462" s="3731"/>
      <c r="P462" s="3732"/>
      <c r="Q462" s="3732">
        <v>1</v>
      </c>
      <c r="R462" s="3740"/>
      <c r="S462" s="3724" t="str">
        <f>$J462</f>
        <v>2.10.1.1.1.1</v>
      </c>
      <c r="T462" s="3741" t="s">
        <v>622</v>
      </c>
      <c r="U462" s="3726"/>
      <c r="V462" s="3445"/>
      <c r="W462" s="3446"/>
      <c r="X462" s="3446"/>
      <c r="Y462" s="3446"/>
      <c r="Z462" s="3446"/>
      <c r="AA462" s="3446"/>
      <c r="AB462" s="3446"/>
      <c r="AC462" s="3447"/>
      <c r="AD462" s="3445" t="s">
        <v>665</v>
      </c>
      <c r="AE462" s="3446"/>
      <c r="AF462" s="3446"/>
      <c r="AG462" s="3446"/>
      <c r="AH462" s="3446"/>
      <c r="AI462" s="3446"/>
      <c r="AJ462" s="3446"/>
      <c r="AK462" s="3446"/>
      <c r="AL462" s="3445"/>
      <c r="AM462" s="3446"/>
      <c r="AN462" s="3446"/>
      <c r="AO462" s="3446"/>
      <c r="AP462" s="3446"/>
      <c r="AQ462" s="3446"/>
      <c r="AR462" s="3446"/>
      <c r="AS462" s="3447"/>
      <c r="AT462" s="3445"/>
      <c r="AU462" s="3446"/>
      <c r="AV462" s="3446"/>
      <c r="AW462" s="3446"/>
      <c r="AX462" s="3446"/>
      <c r="AY462" s="3446"/>
      <c r="AZ462" s="3446"/>
      <c r="BA462" s="3447"/>
      <c r="BB462" s="3445"/>
      <c r="BC462" s="3446"/>
      <c r="BD462" s="3446"/>
      <c r="BE462" s="3446"/>
      <c r="BF462" s="3446"/>
      <c r="BG462" s="3446"/>
      <c r="BH462" s="3446"/>
      <c r="BI462" s="3447"/>
      <c r="BJ462" s="3445"/>
      <c r="BK462" s="3446"/>
      <c r="BL462" s="3446"/>
      <c r="BM462" s="3446"/>
      <c r="BN462" s="3446"/>
      <c r="BO462" s="3446"/>
      <c r="BP462" s="3446"/>
      <c r="BQ462" s="3447"/>
      <c r="BR462" s="3445"/>
      <c r="BS462" s="3446"/>
      <c r="BT462" s="3446"/>
      <c r="BU462" s="3446"/>
      <c r="BV462" s="3446"/>
      <c r="BW462" s="3446"/>
      <c r="BX462" s="3446"/>
      <c r="BY462" s="3447"/>
      <c r="BZ462" s="3445"/>
      <c r="CA462" s="3446"/>
      <c r="CB462" s="3446"/>
      <c r="CC462" s="3446"/>
      <c r="CD462" s="3446"/>
      <c r="CE462" s="3446"/>
      <c r="CF462" s="3446"/>
      <c r="CG462" s="3447"/>
      <c r="CH462" s="3445"/>
      <c r="CI462" s="3446"/>
      <c r="CJ462" s="3446"/>
      <c r="CK462" s="3446"/>
      <c r="CL462" s="3446"/>
      <c r="CM462" s="3446"/>
      <c r="CN462" s="3446"/>
      <c r="CO462" s="3447"/>
      <c r="CP462" s="3447"/>
      <c r="CQ462" s="3727" t="s">
        <v>623</v>
      </c>
      <c r="CR462" s="3581"/>
      <c r="CS462" s="3728"/>
      <c r="CT462" s="3728" t="str">
        <f>IF(T462="","",T462)</f>
        <v>Группа потребителей</v>
      </c>
      <c r="CU462" s="3728"/>
      <c r="CV462" s="3728"/>
    </row>
    <row s="9679" customFormat="1" customHeight="1" ht="21">
      <c r="A463" s="3716"/>
      <c r="B463" s="3716"/>
      <c r="C463" s="3716"/>
      <c r="D463" s="3716"/>
      <c r="E463" s="3717"/>
      <c r="F463" s="3717" t="s">
        <v>135</v>
      </c>
      <c r="G463" s="3717"/>
      <c r="H463" s="3717"/>
      <c r="I463" s="3739"/>
      <c r="J463" s="3739"/>
      <c r="K463" s="3730" t="str">
        <f>J462&amp;".1"</f>
        <v>2.10.1.1.1.1.1</v>
      </c>
      <c r="L463" s="3719" t="s">
        <v>624</v>
      </c>
      <c r="M463" s="3573"/>
      <c r="N463" s="3573"/>
      <c r="O463" s="3573"/>
      <c r="P463" s="3732"/>
      <c r="Q463" s="3732"/>
      <c r="R463" s="3740">
        <v>1</v>
      </c>
      <c r="S463" s="3724" t="str">
        <f>$K463</f>
        <v>2.10.1.1.1.1.1</v>
      </c>
      <c r="T463" s="3743" t="s">
        <v>663</v>
      </c>
      <c r="U463" s="3726"/>
      <c r="V463" s="3448"/>
      <c r="W463" s="3449"/>
      <c r="X463" s="3448"/>
      <c r="Y463" s="3450"/>
      <c r="Z463" s="3451"/>
      <c r="AA463" s="2872" t="s">
        <v>63</v>
      </c>
      <c r="AB463" s="3451"/>
      <c r="AC463" s="2872" t="s">
        <v>63</v>
      </c>
      <c r="AD463" s="3448">
        <v>42.13</v>
      </c>
      <c r="AE463" s="3449"/>
      <c r="AF463" s="3448"/>
      <c r="AG463" s="3450"/>
      <c r="AH463" s="3451">
        <v>44197</v>
      </c>
      <c r="AI463" s="2872" t="s">
        <v>63</v>
      </c>
      <c r="AJ463" s="3451">
        <v>44377</v>
      </c>
      <c r="AK463" s="2872" t="s">
        <v>63</v>
      </c>
      <c r="AL463" s="3448">
        <v>43.43</v>
      </c>
      <c r="AM463" s="3449"/>
      <c r="AN463" s="3448"/>
      <c r="AO463" s="3450"/>
      <c r="AP463" s="3451">
        <v>44378</v>
      </c>
      <c r="AQ463" s="2872" t="s">
        <v>63</v>
      </c>
      <c r="AR463" s="3451">
        <v>44561</v>
      </c>
      <c r="AS463" s="2872" t="s">
        <v>63</v>
      </c>
      <c r="AT463" s="3448">
        <v>43.43</v>
      </c>
      <c r="AU463" s="3449"/>
      <c r="AV463" s="3448"/>
      <c r="AW463" s="3450"/>
      <c r="AX463" s="3451">
        <v>44562</v>
      </c>
      <c r="AY463" s="2872" t="s">
        <v>63</v>
      </c>
      <c r="AZ463" s="3451">
        <v>44601</v>
      </c>
      <c r="BA463" s="2872" t="s">
        <v>63</v>
      </c>
      <c r="BB463" s="3448">
        <v>39.38</v>
      </c>
      <c r="BC463" s="3449"/>
      <c r="BD463" s="3448"/>
      <c r="BE463" s="3450"/>
      <c r="BF463" s="3451">
        <v>44602</v>
      </c>
      <c r="BG463" s="2872" t="s">
        <v>63</v>
      </c>
      <c r="BH463" s="3451">
        <v>44742</v>
      </c>
      <c r="BI463" s="2872" t="s">
        <v>63</v>
      </c>
      <c r="BJ463" s="3448">
        <v>39.38</v>
      </c>
      <c r="BK463" s="3449"/>
      <c r="BL463" s="3448"/>
      <c r="BM463" s="3450"/>
      <c r="BN463" s="3451">
        <v>44743</v>
      </c>
      <c r="BO463" s="2872" t="s">
        <v>63</v>
      </c>
      <c r="BP463" s="3451">
        <v>44804</v>
      </c>
      <c r="BQ463" s="2872" t="s">
        <v>63</v>
      </c>
      <c r="BR463" s="3448">
        <v>39.38</v>
      </c>
      <c r="BS463" s="3449"/>
      <c r="BT463" s="3448"/>
      <c r="BU463" s="3450"/>
      <c r="BV463" s="3451">
        <v>44805</v>
      </c>
      <c r="BW463" s="2872" t="s">
        <v>63</v>
      </c>
      <c r="BX463" s="3451">
        <v>44895</v>
      </c>
      <c r="BY463" s="2872" t="s">
        <v>63</v>
      </c>
      <c r="BZ463" s="3448">
        <v>42.38</v>
      </c>
      <c r="CA463" s="3449"/>
      <c r="CB463" s="3448"/>
      <c r="CC463" s="3450"/>
      <c r="CD463" s="3451">
        <v>44896</v>
      </c>
      <c r="CE463" s="2872" t="s">
        <v>63</v>
      </c>
      <c r="CF463" s="3451">
        <v>45174</v>
      </c>
      <c r="CG463" s="2872" t="s">
        <v>63</v>
      </c>
      <c r="CH463" s="3448">
        <v>42.38</v>
      </c>
      <c r="CI463" s="3449"/>
      <c r="CJ463" s="3448"/>
      <c r="CK463" s="3450"/>
      <c r="CL463" s="3451">
        <v>45175</v>
      </c>
      <c r="CM463" s="2872" t="s">
        <v>63</v>
      </c>
      <c r="CN463" s="3451">
        <v>45291</v>
      </c>
      <c r="CO463" s="2872" t="s">
        <v>63</v>
      </c>
      <c r="CP463" s="3449"/>
      <c r="CQ463" s="3744" t="s">
        <v>625</v>
      </c>
      <c r="CR463" s="3581">
        <f>STRCHECKDATE(V464:CP464)</f>
      </c>
      <c r="CS463" s="3728"/>
      <c r="CT463" s="3728" t="str">
        <f>IF(T463="","",T463)</f>
        <v>вода</v>
      </c>
      <c r="CU463" s="3728"/>
      <c r="CV463" s="3728"/>
    </row>
    <row s="9680" customFormat="1" customHeight="1" ht="0.75">
      <c r="A464" s="3716"/>
      <c r="B464" s="3716"/>
      <c r="C464" s="3716"/>
      <c r="D464" s="3716"/>
      <c r="E464" s="3717"/>
      <c r="F464" s="3717" t="s">
        <v>135</v>
      </c>
      <c r="G464" s="3717"/>
      <c r="H464" s="3717"/>
      <c r="I464" s="3739"/>
      <c r="J464" s="3739"/>
      <c r="K464" s="3730"/>
      <c r="L464" s="3719"/>
      <c r="M464" s="3573"/>
      <c r="N464" s="3573"/>
      <c r="O464" s="3573"/>
      <c r="P464" s="3732"/>
      <c r="Q464" s="3732"/>
      <c r="R464" s="3740"/>
      <c r="S464" s="3746"/>
      <c r="T464" s="3726"/>
      <c r="U464" s="3726"/>
      <c r="V464" s="3449"/>
      <c r="W464" s="3449"/>
      <c r="X464" s="3449"/>
      <c r="Y464" s="3452" t="str">
        <f>Z463&amp;"-"&amp;AB463</f>
        <v>-</v>
      </c>
      <c r="Z464" s="3453"/>
      <c r="AA464" s="2872"/>
      <c r="AB464" s="3453"/>
      <c r="AC464" s="2872"/>
      <c r="AD464" s="3449"/>
      <c r="AE464" s="3449"/>
      <c r="AF464" s="3449"/>
      <c r="AG464" s="3452" t="str">
        <f>AH463&amp;"-"&amp;AJ463</f>
        <v>44197-44377</v>
      </c>
      <c r="AH464" s="3453"/>
      <c r="AI464" s="2872"/>
      <c r="AJ464" s="3453"/>
      <c r="AK464" s="2872"/>
      <c r="AL464" s="3449"/>
      <c r="AM464" s="3449"/>
      <c r="AN464" s="3449"/>
      <c r="AO464" s="3452" t="str">
        <f>AP463&amp;"-"&amp;AR463</f>
        <v>44378-44561</v>
      </c>
      <c r="AP464" s="3453"/>
      <c r="AQ464" s="2872"/>
      <c r="AR464" s="3453"/>
      <c r="AS464" s="2872"/>
      <c r="AT464" s="3449"/>
      <c r="AU464" s="3449"/>
      <c r="AV464" s="3449"/>
      <c r="AW464" s="3452" t="str">
        <f>AX463&amp;"-"&amp;AZ463</f>
        <v>44562-44601</v>
      </c>
      <c r="AX464" s="3453"/>
      <c r="AY464" s="2872"/>
      <c r="AZ464" s="3453"/>
      <c r="BA464" s="2872"/>
      <c r="BB464" s="3449"/>
      <c r="BC464" s="3449"/>
      <c r="BD464" s="3449"/>
      <c r="BE464" s="3452" t="str">
        <f>BF463&amp;"-"&amp;BH463</f>
        <v>44602-44742</v>
      </c>
      <c r="BF464" s="3453"/>
      <c r="BG464" s="2872"/>
      <c r="BH464" s="3453"/>
      <c r="BI464" s="2872"/>
      <c r="BJ464" s="3449"/>
      <c r="BK464" s="3449"/>
      <c r="BL464" s="3449"/>
      <c r="BM464" s="3452" t="str">
        <f>BN463&amp;"-"&amp;BP463</f>
        <v>44743-44804</v>
      </c>
      <c r="BN464" s="3453"/>
      <c r="BO464" s="2872"/>
      <c r="BP464" s="3453"/>
      <c r="BQ464" s="2872"/>
      <c r="BR464" s="3449"/>
      <c r="BS464" s="3449"/>
      <c r="BT464" s="3449"/>
      <c r="BU464" s="3452" t="str">
        <f>BV463&amp;"-"&amp;BX463</f>
        <v>44805-44895</v>
      </c>
      <c r="BV464" s="3453"/>
      <c r="BW464" s="2872"/>
      <c r="BX464" s="3453"/>
      <c r="BY464" s="2872"/>
      <c r="BZ464" s="3449"/>
      <c r="CA464" s="3449"/>
      <c r="CB464" s="3449"/>
      <c r="CC464" s="3452" t="str">
        <f>CD463&amp;"-"&amp;CF463</f>
        <v>44896-45174</v>
      </c>
      <c r="CD464" s="3453"/>
      <c r="CE464" s="2872"/>
      <c r="CF464" s="3453"/>
      <c r="CG464" s="2872"/>
      <c r="CH464" s="3449"/>
      <c r="CI464" s="3449"/>
      <c r="CJ464" s="3449"/>
      <c r="CK464" s="3452" t="str">
        <f>CL463&amp;"-"&amp;CN463</f>
        <v>45175-45291</v>
      </c>
      <c r="CL464" s="3453"/>
      <c r="CM464" s="2872"/>
      <c r="CN464" s="3453"/>
      <c r="CO464" s="2872"/>
      <c r="CP464" s="3449"/>
      <c r="CQ464" s="3747"/>
      <c r="CR464" s="3581"/>
      <c r="CS464" s="3728"/>
      <c r="CT464" s="3728" t="str">
        <f>IF(T464="","",T464)</f>
        <v/>
      </c>
      <c r="CU464" s="3728"/>
      <c r="CV464" s="3728"/>
    </row>
    <row s="9681" customFormat="1" customHeight="1" ht="15">
      <c r="A465" s="3716"/>
      <c r="B465" s="3716"/>
      <c r="C465" s="3716"/>
      <c r="D465" s="3716"/>
      <c r="E465" s="3717"/>
      <c r="F465" s="3717" t="s">
        <v>135</v>
      </c>
      <c r="G465" s="3717"/>
      <c r="H465" s="3717"/>
      <c r="I465" s="3739"/>
      <c r="J465" s="3730"/>
      <c r="K465" s="3716"/>
      <c r="L465" s="3719"/>
      <c r="M465" s="3573"/>
      <c r="N465" s="3573"/>
      <c r="O465" s="3731"/>
      <c r="P465" s="3732"/>
      <c r="Q465" s="3732"/>
      <c r="R465" s="3733"/>
      <c r="S465" s="9682"/>
      <c r="T465" s="9683" t="s">
        <v>626</v>
      </c>
      <c r="U465" s="9684"/>
      <c r="V465" s="9685"/>
      <c r="W465" s="9686"/>
      <c r="X465" s="9687"/>
      <c r="Y465" s="9688"/>
      <c r="Z465" s="9689"/>
      <c r="AA465" s="9690"/>
      <c r="AB465" s="9691"/>
      <c r="AC465" s="9692"/>
      <c r="AD465" s="9693"/>
      <c r="AE465" s="9694"/>
      <c r="AF465" s="9695"/>
      <c r="AG465" s="9696"/>
      <c r="AH465" s="9697"/>
      <c r="AI465" s="9698"/>
      <c r="AJ465" s="9699"/>
      <c r="AK465" s="9700"/>
      <c r="AL465" s="9701"/>
      <c r="AM465" s="9702"/>
      <c r="AN465" s="9703"/>
      <c r="AO465" s="9704"/>
      <c r="AP465" s="9705"/>
      <c r="AQ465" s="9706"/>
      <c r="AR465" s="9707"/>
      <c r="AS465" s="9708"/>
      <c r="AT465" s="9709"/>
      <c r="AU465" s="9710"/>
      <c r="AV465" s="9711"/>
      <c r="AW465" s="9712"/>
      <c r="AX465" s="9713"/>
      <c r="AY465" s="9714"/>
      <c r="AZ465" s="9715"/>
      <c r="BA465" s="9716"/>
      <c r="BB465" s="9717"/>
      <c r="BC465" s="9718"/>
      <c r="BD465" s="9719"/>
      <c r="BE465" s="9720"/>
      <c r="BF465" s="9721"/>
      <c r="BG465" s="9722"/>
      <c r="BH465" s="9723"/>
      <c r="BI465" s="9724"/>
      <c r="BJ465" s="9725"/>
      <c r="BK465" s="9726"/>
      <c r="BL465" s="9727"/>
      <c r="BM465" s="9728"/>
      <c r="BN465" s="9729"/>
      <c r="BO465" s="9730"/>
      <c r="BP465" s="9731"/>
      <c r="BQ465" s="9732"/>
      <c r="BR465" s="9733"/>
      <c r="BS465" s="9734"/>
      <c r="BT465" s="9735"/>
      <c r="BU465" s="9736"/>
      <c r="BV465" s="9737"/>
      <c r="BW465" s="9738"/>
      <c r="BX465" s="9739"/>
      <c r="BY465" s="9740"/>
      <c r="BZ465" s="9741"/>
      <c r="CA465" s="9742"/>
      <c r="CB465" s="9743"/>
      <c r="CC465" s="9744"/>
      <c r="CD465" s="9745"/>
      <c r="CE465" s="9746"/>
      <c r="CF465" s="9747"/>
      <c r="CG465" s="9748"/>
      <c r="CH465" s="9749"/>
      <c r="CI465" s="9750"/>
      <c r="CJ465" s="9751"/>
      <c r="CK465" s="9752"/>
      <c r="CL465" s="9753"/>
      <c r="CM465" s="9754"/>
      <c r="CN465" s="9755"/>
      <c r="CO465" s="9756"/>
      <c r="CP465" s="9757"/>
      <c r="CQ465" s="3825"/>
      <c r="CR465" s="3581"/>
      <c r="CS465" s="3728"/>
      <c r="CT465" s="3728" t="str">
        <f>IF(T465="","",T465)</f>
        <v>Добавить вид теплоносителя (параметры теплоносителя)</v>
      </c>
      <c r="CU465" s="3728"/>
      <c r="CV465" s="3728"/>
    </row>
    <row s="9758" customFormat="1" customHeight="1" ht="15">
      <c r="A466" s="3716"/>
      <c r="B466" s="3716"/>
      <c r="C466" s="3716"/>
      <c r="D466" s="3716"/>
      <c r="E466" s="3717"/>
      <c r="F466" s="3717" t="s">
        <v>135</v>
      </c>
      <c r="G466" s="3717"/>
      <c r="H466" s="3717"/>
      <c r="I466" s="3730"/>
      <c r="J466" s="3716"/>
      <c r="K466" s="3716"/>
      <c r="L466" s="3719"/>
      <c r="M466" s="3573"/>
      <c r="N466" s="3731"/>
      <c r="O466" s="3731"/>
      <c r="P466" s="3732"/>
      <c r="Q466" s="3732"/>
      <c r="R466" s="3733"/>
      <c r="S466" s="9759"/>
      <c r="T466" s="9760" t="s">
        <v>627</v>
      </c>
      <c r="U466" s="9761"/>
      <c r="V466" s="9762"/>
      <c r="W466" s="9763"/>
      <c r="X466" s="9764"/>
      <c r="Y466" s="9765"/>
      <c r="Z466" s="9766"/>
      <c r="AA466" s="9767"/>
      <c r="AB466" s="9768"/>
      <c r="AC466" s="9769"/>
      <c r="AD466" s="9770"/>
      <c r="AE466" s="9771"/>
      <c r="AF466" s="9772"/>
      <c r="AG466" s="9773"/>
      <c r="AH466" s="9774"/>
      <c r="AI466" s="9775"/>
      <c r="AJ466" s="9776"/>
      <c r="AK466" s="9777"/>
      <c r="AL466" s="9778"/>
      <c r="AM466" s="9779"/>
      <c r="AN466" s="9780"/>
      <c r="AO466" s="9781"/>
      <c r="AP466" s="9782"/>
      <c r="AQ466" s="9783"/>
      <c r="AR466" s="9784"/>
      <c r="AS466" s="9785"/>
      <c r="AT466" s="9786"/>
      <c r="AU466" s="9787"/>
      <c r="AV466" s="9788"/>
      <c r="AW466" s="9789"/>
      <c r="AX466" s="9790"/>
      <c r="AY466" s="9791"/>
      <c r="AZ466" s="9792"/>
      <c r="BA466" s="9793"/>
      <c r="BB466" s="9794"/>
      <c r="BC466" s="9795"/>
      <c r="BD466" s="9796"/>
      <c r="BE466" s="9797"/>
      <c r="BF466" s="9798"/>
      <c r="BG466" s="9799"/>
      <c r="BH466" s="9800"/>
      <c r="BI466" s="9801"/>
      <c r="BJ466" s="9802"/>
      <c r="BK466" s="9803"/>
      <c r="BL466" s="9804"/>
      <c r="BM466" s="9805"/>
      <c r="BN466" s="9806"/>
      <c r="BO466" s="9807"/>
      <c r="BP466" s="9808"/>
      <c r="BQ466" s="9809"/>
      <c r="BR466" s="9810"/>
      <c r="BS466" s="9811"/>
      <c r="BT466" s="9812"/>
      <c r="BU466" s="9813"/>
      <c r="BV466" s="9814"/>
      <c r="BW466" s="9815"/>
      <c r="BX466" s="9816"/>
      <c r="BY466" s="9817"/>
      <c r="BZ466" s="9818"/>
      <c r="CA466" s="9819"/>
      <c r="CB466" s="9820"/>
      <c r="CC466" s="9821"/>
      <c r="CD466" s="9822"/>
      <c r="CE466" s="9823"/>
      <c r="CF466" s="9824"/>
      <c r="CG466" s="9825"/>
      <c r="CH466" s="9826"/>
      <c r="CI466" s="9827"/>
      <c r="CJ466" s="9828"/>
      <c r="CK466" s="9829"/>
      <c r="CL466" s="9830"/>
      <c r="CM466" s="9831"/>
      <c r="CN466" s="9832"/>
      <c r="CO466" s="9833"/>
      <c r="CP466" s="9834"/>
      <c r="CQ466" s="9835"/>
      <c r="CR466" s="3581"/>
      <c r="CS466" s="3728"/>
      <c r="CT466" s="3728" t="str">
        <f>IF(T466="","",T466)</f>
        <v>Добавить группу потребителей</v>
      </c>
      <c r="CU466" s="3728"/>
      <c r="CV466" s="3728"/>
    </row>
    <row s="9836" customFormat="1" customHeight="1" ht="14.25">
      <c r="A467" s="3716"/>
      <c r="B467" s="3716"/>
      <c r="C467" s="3716"/>
      <c r="D467" s="3716"/>
      <c r="E467" s="3717"/>
      <c r="F467" s="3717" t="s">
        <v>135</v>
      </c>
      <c r="G467" s="3717"/>
      <c r="H467" s="3718"/>
      <c r="I467" s="3716"/>
      <c r="J467" s="3716"/>
      <c r="K467" s="3716"/>
      <c r="L467" s="3719"/>
      <c r="M467" s="3720"/>
      <c r="N467" s="3720"/>
      <c r="O467" s="3573"/>
      <c r="P467" s="3905"/>
      <c r="Q467" s="3906"/>
      <c r="R467" s="3907"/>
      <c r="S467" s="3908"/>
      <c r="T467" s="3909"/>
      <c r="U467" s="3569"/>
      <c r="V467" s="3569"/>
      <c r="W467" s="3569"/>
      <c r="X467" s="3569"/>
      <c r="Y467" s="3569"/>
      <c r="Z467" s="3569"/>
      <c r="AA467" s="3569"/>
      <c r="AB467" s="3569"/>
      <c r="AC467" s="3569"/>
      <c r="AD467" s="3569"/>
      <c r="AE467" s="3569"/>
      <c r="AF467" s="3569"/>
      <c r="AG467" s="3569"/>
      <c r="AH467" s="3569"/>
      <c r="AI467" s="3569"/>
      <c r="AJ467" s="3569"/>
      <c r="AK467" s="3569"/>
      <c r="AL467" s="3569"/>
      <c r="AM467" s="3569"/>
      <c r="AN467" s="3569"/>
      <c r="AO467" s="3569"/>
      <c r="AP467" s="3569"/>
      <c r="AQ467" s="3569"/>
      <c r="AR467" s="3569"/>
      <c r="AS467" s="3569"/>
      <c r="AT467" s="3569"/>
      <c r="AU467" s="3569"/>
      <c r="AV467" s="3569"/>
      <c r="AW467" s="3569"/>
      <c r="AX467" s="3569"/>
      <c r="AY467" s="3569"/>
      <c r="AZ467" s="3569"/>
      <c r="BA467" s="3569"/>
      <c r="BB467" s="3569"/>
      <c r="BC467" s="3569"/>
      <c r="BD467" s="3569"/>
      <c r="BE467" s="3569"/>
      <c r="BF467" s="3569"/>
      <c r="BG467" s="3569"/>
      <c r="BH467" s="3569"/>
      <c r="BI467" s="3569"/>
      <c r="BJ467" s="3569"/>
      <c r="BK467" s="3569"/>
      <c r="BL467" s="3569"/>
      <c r="BM467" s="3569"/>
      <c r="BN467" s="3569"/>
      <c r="BO467" s="3569"/>
      <c r="BP467" s="3569"/>
      <c r="BQ467" s="3569"/>
      <c r="BR467" s="3569"/>
      <c r="BS467" s="3569"/>
      <c r="BT467" s="3569"/>
      <c r="BU467" s="3569"/>
      <c r="BV467" s="3569"/>
      <c r="BW467" s="3569"/>
      <c r="BX467" s="3569"/>
      <c r="BY467" s="3569"/>
      <c r="BZ467" s="3569"/>
      <c r="CA467" s="3569"/>
      <c r="CB467" s="3569"/>
      <c r="CC467" s="3569"/>
      <c r="CD467" s="3569"/>
      <c r="CE467" s="3569"/>
      <c r="CF467" s="3569"/>
      <c r="CG467" s="3569"/>
      <c r="CH467" s="3569"/>
      <c r="CI467" s="3569"/>
      <c r="CJ467" s="3569"/>
      <c r="CK467" s="3569"/>
      <c r="CL467" s="3569"/>
      <c r="CM467" s="3569"/>
      <c r="CN467" s="3569"/>
      <c r="CO467" s="3569"/>
      <c r="CP467" s="3569"/>
      <c r="CQ467" s="3910"/>
      <c r="CR467" s="3581"/>
      <c r="CS467" s="3728"/>
      <c r="CT467" s="3728" t="str">
        <f>IF(T467="","",T467)</f>
        <v/>
      </c>
      <c r="CU467" s="3728"/>
      <c r="CV467" s="3728"/>
    </row>
    <row s="9837" customFormat="1" customHeight="1" ht="21">
      <c r="A468" s="3716"/>
      <c r="B468" s="3716"/>
      <c r="C468" s="3716"/>
      <c r="D468" s="3716" t="s">
        <v>364</v>
      </c>
      <c r="E468" s="3717"/>
      <c r="F468" s="3717"/>
      <c r="G468" s="3717"/>
      <c r="H468" s="3718" t="s">
        <v>104</v>
      </c>
      <c r="I468" s="3716"/>
      <c r="J468" s="3716"/>
      <c r="K468" s="3716"/>
      <c r="L468" s="3719"/>
      <c r="M468" s="3720"/>
      <c r="N468" s="3720"/>
      <c r="O468" s="3720"/>
      <c r="P468" s="3721"/>
      <c r="Q468" s="3722"/>
      <c r="R468" s="3723"/>
      <c r="S468" s="3724" t="str">
        <f>INDEX(PT_DIFFERENTIATION_NUM_IST_TE,MATCH(D468,PT_DIFFERENTIATION_IST_TE_ID,0))</f>
        <v>2.10.1.2</v>
      </c>
      <c r="T468" s="3725" t="s">
        <v>616</v>
      </c>
      <c r="U468" s="3726"/>
      <c r="V468" s="3432"/>
      <c r="W468" s="3433"/>
      <c r="X468" s="3433"/>
      <c r="Y468" s="3433"/>
      <c r="Z468" s="3433"/>
      <c r="AA468" s="3433"/>
      <c r="AB468" s="3433"/>
      <c r="AC468" s="3434"/>
      <c r="AD468" s="3432" t="str">
        <f>INDEX(PT_DIFFERENTIATION_IST_TE,MATCH(D468,PT_DIFFERENTIATION_IST_TE_ID,0))</f>
        <v>город Снежногорск</v>
      </c>
      <c r="AE468" s="3433"/>
      <c r="AF468" s="3433"/>
      <c r="AG468" s="3433"/>
      <c r="AH468" s="3433"/>
      <c r="AI468" s="3433"/>
      <c r="AJ468" s="3433"/>
      <c r="AK468" s="3433"/>
      <c r="AL468" s="3432"/>
      <c r="AM468" s="3433"/>
      <c r="AN468" s="3433"/>
      <c r="AO468" s="3433"/>
      <c r="AP468" s="3433"/>
      <c r="AQ468" s="3433"/>
      <c r="AR468" s="3433"/>
      <c r="AS468" s="3434"/>
      <c r="AT468" s="3432"/>
      <c r="AU468" s="3433"/>
      <c r="AV468" s="3433"/>
      <c r="AW468" s="3433"/>
      <c r="AX468" s="3433"/>
      <c r="AY468" s="3433"/>
      <c r="AZ468" s="3433"/>
      <c r="BA468" s="3434"/>
      <c r="BB468" s="3432"/>
      <c r="BC468" s="3433"/>
      <c r="BD468" s="3433"/>
      <c r="BE468" s="3433"/>
      <c r="BF468" s="3433"/>
      <c r="BG468" s="3433"/>
      <c r="BH468" s="3433"/>
      <c r="BI468" s="3434"/>
      <c r="BJ468" s="3432"/>
      <c r="BK468" s="3433"/>
      <c r="BL468" s="3433"/>
      <c r="BM468" s="3433"/>
      <c r="BN468" s="3433"/>
      <c r="BO468" s="3433"/>
      <c r="BP468" s="3433"/>
      <c r="BQ468" s="3434"/>
      <c r="BR468" s="3432"/>
      <c r="BS468" s="3433"/>
      <c r="BT468" s="3433"/>
      <c r="BU468" s="3433"/>
      <c r="BV468" s="3433"/>
      <c r="BW468" s="3433"/>
      <c r="BX468" s="3433"/>
      <c r="BY468" s="3434"/>
      <c r="BZ468" s="3432"/>
      <c r="CA468" s="3433"/>
      <c r="CB468" s="3433"/>
      <c r="CC468" s="3433"/>
      <c r="CD468" s="3433"/>
      <c r="CE468" s="3433"/>
      <c r="CF468" s="3433"/>
      <c r="CG468" s="3434"/>
      <c r="CH468" s="3432"/>
      <c r="CI468" s="3433"/>
      <c r="CJ468" s="3433"/>
      <c r="CK468" s="3433"/>
      <c r="CL468" s="3433"/>
      <c r="CM468" s="3433"/>
      <c r="CN468" s="3433"/>
      <c r="CO468" s="3434"/>
      <c r="CP468" s="3434"/>
      <c r="CQ468" s="3727" t="s">
        <v>617</v>
      </c>
      <c r="CR468" s="3581"/>
      <c r="CS468" s="3728"/>
      <c r="CT468" s="3728" t="str">
        <f>IF(T468="","",T468)</f>
        <v>Источник тепловой энергии  </v>
      </c>
      <c r="CU468" s="3728"/>
      <c r="CV468" s="3728"/>
    </row>
    <row s="9838" customFormat="1" customHeight="1" ht="14.25">
      <c r="A469" s="3716"/>
      <c r="B469" s="3716"/>
      <c r="C469" s="3716"/>
      <c r="D469" s="3716"/>
      <c r="E469" s="3717"/>
      <c r="F469" s="3717"/>
      <c r="G469" s="3717"/>
      <c r="H469" s="3717">
        <v>1</v>
      </c>
      <c r="I469" s="3730" t="str">
        <f>S468&amp;".1"</f>
        <v>2.10.1.2.1</v>
      </c>
      <c r="J469" s="3716"/>
      <c r="K469" s="3716"/>
      <c r="L469" s="3719" t="s">
        <v>618</v>
      </c>
      <c r="M469" s="3573"/>
      <c r="N469" s="3731"/>
      <c r="O469" s="3731"/>
      <c r="P469" s="3732">
        <v>1</v>
      </c>
      <c r="Q469" s="3732"/>
      <c r="R469" s="3733"/>
      <c r="S469" s="3734"/>
      <c r="T469" s="3735"/>
      <c r="U469" s="3736"/>
      <c r="V469" s="3441"/>
      <c r="W469" s="3442"/>
      <c r="X469" s="3442"/>
      <c r="Y469" s="3442"/>
      <c r="Z469" s="3442"/>
      <c r="AA469" s="3442"/>
      <c r="AB469" s="3442"/>
      <c r="AC469" s="3443"/>
      <c r="AD469" s="3441"/>
      <c r="AE469" s="3442"/>
      <c r="AF469" s="3442"/>
      <c r="AG469" s="3442"/>
      <c r="AH469" s="3442"/>
      <c r="AI469" s="3442"/>
      <c r="AJ469" s="3442"/>
      <c r="AK469" s="3442"/>
      <c r="AL469" s="3441"/>
      <c r="AM469" s="3442"/>
      <c r="AN469" s="3442"/>
      <c r="AO469" s="3442"/>
      <c r="AP469" s="3442"/>
      <c r="AQ469" s="3442"/>
      <c r="AR469" s="3442"/>
      <c r="AS469" s="3443"/>
      <c r="AT469" s="3441"/>
      <c r="AU469" s="3442"/>
      <c r="AV469" s="3442"/>
      <c r="AW469" s="3442"/>
      <c r="AX469" s="3442"/>
      <c r="AY469" s="3442"/>
      <c r="AZ469" s="3442"/>
      <c r="BA469" s="3443"/>
      <c r="BB469" s="3441"/>
      <c r="BC469" s="3442"/>
      <c r="BD469" s="3442"/>
      <c r="BE469" s="3442"/>
      <c r="BF469" s="3442"/>
      <c r="BG469" s="3442"/>
      <c r="BH469" s="3442"/>
      <c r="BI469" s="3443"/>
      <c r="BJ469" s="3441"/>
      <c r="BK469" s="3442"/>
      <c r="BL469" s="3442"/>
      <c r="BM469" s="3442"/>
      <c r="BN469" s="3442"/>
      <c r="BO469" s="3442"/>
      <c r="BP469" s="3442"/>
      <c r="BQ469" s="3443"/>
      <c r="BR469" s="3441"/>
      <c r="BS469" s="3442"/>
      <c r="BT469" s="3442"/>
      <c r="BU469" s="3442"/>
      <c r="BV469" s="3442"/>
      <c r="BW469" s="3442"/>
      <c r="BX469" s="3442"/>
      <c r="BY469" s="3443"/>
      <c r="BZ469" s="3441"/>
      <c r="CA469" s="3442"/>
      <c r="CB469" s="3442"/>
      <c r="CC469" s="3442"/>
      <c r="CD469" s="3442"/>
      <c r="CE469" s="3442"/>
      <c r="CF469" s="3442"/>
      <c r="CG469" s="3443"/>
      <c r="CH469" s="3441"/>
      <c r="CI469" s="3442"/>
      <c r="CJ469" s="3442"/>
      <c r="CK469" s="3442"/>
      <c r="CL469" s="3442"/>
      <c r="CM469" s="3442"/>
      <c r="CN469" s="3442"/>
      <c r="CO469" s="3443"/>
      <c r="CP469" s="3443"/>
      <c r="CQ469" s="3737"/>
      <c r="CR469" s="3581"/>
      <c r="CS469" s="3728"/>
      <c r="CT469" s="3728" t="str">
        <f>IF(T469="","",T469)</f>
        <v/>
      </c>
      <c r="CU469" s="3728"/>
      <c r="CV469" s="3728"/>
    </row>
    <row s="9839" customFormat="1" customHeight="1" ht="21">
      <c r="A470" s="3716"/>
      <c r="B470" s="3716"/>
      <c r="C470" s="3716"/>
      <c r="D470" s="3716"/>
      <c r="E470" s="3717"/>
      <c r="F470" s="3717"/>
      <c r="G470" s="3717"/>
      <c r="H470" s="3717">
        <v>1</v>
      </c>
      <c r="I470" s="3739"/>
      <c r="J470" s="3730" t="str">
        <f>I469&amp;".1"</f>
        <v>2.10.1.2.1.1</v>
      </c>
      <c r="K470" s="3716"/>
      <c r="L470" s="3719" t="s">
        <v>621</v>
      </c>
      <c r="M470" s="3573"/>
      <c r="N470" s="3573"/>
      <c r="O470" s="3731"/>
      <c r="P470" s="3732"/>
      <c r="Q470" s="3732">
        <v>1</v>
      </c>
      <c r="R470" s="3740"/>
      <c r="S470" s="3724" t="str">
        <f>$J470</f>
        <v>2.10.1.2.1.1</v>
      </c>
      <c r="T470" s="3741" t="s">
        <v>622</v>
      </c>
      <c r="U470" s="3726"/>
      <c r="V470" s="3445"/>
      <c r="W470" s="3446"/>
      <c r="X470" s="3446"/>
      <c r="Y470" s="3446"/>
      <c r="Z470" s="3446"/>
      <c r="AA470" s="3446"/>
      <c r="AB470" s="3446"/>
      <c r="AC470" s="3447"/>
      <c r="AD470" s="3445" t="s">
        <v>665</v>
      </c>
      <c r="AE470" s="3446"/>
      <c r="AF470" s="3446"/>
      <c r="AG470" s="3446"/>
      <c r="AH470" s="3446"/>
      <c r="AI470" s="3446"/>
      <c r="AJ470" s="3446"/>
      <c r="AK470" s="3446"/>
      <c r="AL470" s="3445"/>
      <c r="AM470" s="3446"/>
      <c r="AN470" s="3446"/>
      <c r="AO470" s="3446"/>
      <c r="AP470" s="3446"/>
      <c r="AQ470" s="3446"/>
      <c r="AR470" s="3446"/>
      <c r="AS470" s="3447"/>
      <c r="AT470" s="3445"/>
      <c r="AU470" s="3446"/>
      <c r="AV470" s="3446"/>
      <c r="AW470" s="3446"/>
      <c r="AX470" s="3446"/>
      <c r="AY470" s="3446"/>
      <c r="AZ470" s="3446"/>
      <c r="BA470" s="3447"/>
      <c r="BB470" s="3445"/>
      <c r="BC470" s="3446"/>
      <c r="BD470" s="3446"/>
      <c r="BE470" s="3446"/>
      <c r="BF470" s="3446"/>
      <c r="BG470" s="3446"/>
      <c r="BH470" s="3446"/>
      <c r="BI470" s="3447"/>
      <c r="BJ470" s="3445"/>
      <c r="BK470" s="3446"/>
      <c r="BL470" s="3446"/>
      <c r="BM470" s="3446"/>
      <c r="BN470" s="3446"/>
      <c r="BO470" s="3446"/>
      <c r="BP470" s="3446"/>
      <c r="BQ470" s="3447"/>
      <c r="BR470" s="3445"/>
      <c r="BS470" s="3446"/>
      <c r="BT470" s="3446"/>
      <c r="BU470" s="3446"/>
      <c r="BV470" s="3446"/>
      <c r="BW470" s="3446"/>
      <c r="BX470" s="3446"/>
      <c r="BY470" s="3447"/>
      <c r="BZ470" s="3445"/>
      <c r="CA470" s="3446"/>
      <c r="CB470" s="3446"/>
      <c r="CC470" s="3446"/>
      <c r="CD470" s="3446"/>
      <c r="CE470" s="3446"/>
      <c r="CF470" s="3446"/>
      <c r="CG470" s="3447"/>
      <c r="CH470" s="3445"/>
      <c r="CI470" s="3446"/>
      <c r="CJ470" s="3446"/>
      <c r="CK470" s="3446"/>
      <c r="CL470" s="3446"/>
      <c r="CM470" s="3446"/>
      <c r="CN470" s="3446"/>
      <c r="CO470" s="3447"/>
      <c r="CP470" s="3447"/>
      <c r="CQ470" s="3727" t="s">
        <v>623</v>
      </c>
      <c r="CR470" s="3581"/>
      <c r="CS470" s="3728"/>
      <c r="CT470" s="3728" t="str">
        <f>IF(T470="","",T470)</f>
        <v>Группа потребителей</v>
      </c>
      <c r="CU470" s="3728"/>
      <c r="CV470" s="3728"/>
    </row>
    <row s="9840" customFormat="1" customHeight="1" ht="21">
      <c r="A471" s="3716"/>
      <c r="B471" s="3716"/>
      <c r="C471" s="3716"/>
      <c r="D471" s="3716"/>
      <c r="E471" s="3717"/>
      <c r="F471" s="3717"/>
      <c r="G471" s="3717"/>
      <c r="H471" s="3717">
        <v>1</v>
      </c>
      <c r="I471" s="3739"/>
      <c r="J471" s="3739"/>
      <c r="K471" s="3730" t="str">
        <f>J470&amp;".1"</f>
        <v>2.10.1.2.1.1.1</v>
      </c>
      <c r="L471" s="3719" t="s">
        <v>624</v>
      </c>
      <c r="M471" s="3573"/>
      <c r="N471" s="3573"/>
      <c r="O471" s="3573"/>
      <c r="P471" s="3732"/>
      <c r="Q471" s="3732"/>
      <c r="R471" s="3740">
        <v>1</v>
      </c>
      <c r="S471" s="3724" t="str">
        <f>$K471</f>
        <v>2.10.1.2.1.1.1</v>
      </c>
      <c r="T471" s="3743" t="s">
        <v>663</v>
      </c>
      <c r="U471" s="3726"/>
      <c r="V471" s="3448"/>
      <c r="W471" s="3449"/>
      <c r="X471" s="3448"/>
      <c r="Y471" s="3450"/>
      <c r="Z471" s="3451"/>
      <c r="AA471" s="2872" t="s">
        <v>63</v>
      </c>
      <c r="AB471" s="3451"/>
      <c r="AC471" s="2872" t="s">
        <v>63</v>
      </c>
      <c r="AD471" s="3448">
        <v>28.18</v>
      </c>
      <c r="AE471" s="3449"/>
      <c r="AF471" s="3448"/>
      <c r="AG471" s="3450"/>
      <c r="AH471" s="3451">
        <v>44197</v>
      </c>
      <c r="AI471" s="2872" t="s">
        <v>63</v>
      </c>
      <c r="AJ471" s="3451">
        <v>44377</v>
      </c>
      <c r="AK471" s="2872" t="s">
        <v>63</v>
      </c>
      <c r="AL471" s="3448">
        <v>31</v>
      </c>
      <c r="AM471" s="3449"/>
      <c r="AN471" s="3448"/>
      <c r="AO471" s="3450"/>
      <c r="AP471" s="3451">
        <v>44378</v>
      </c>
      <c r="AQ471" s="2872" t="s">
        <v>63</v>
      </c>
      <c r="AR471" s="3451">
        <v>44561</v>
      </c>
      <c r="AS471" s="2872" t="s">
        <v>63</v>
      </c>
      <c r="AT471" s="3448">
        <v>26.89</v>
      </c>
      <c r="AU471" s="3449"/>
      <c r="AV471" s="3448"/>
      <c r="AW471" s="3450"/>
      <c r="AX471" s="3451">
        <v>44562</v>
      </c>
      <c r="AY471" s="2872" t="s">
        <v>63</v>
      </c>
      <c r="AZ471" s="3451">
        <v>44601</v>
      </c>
      <c r="BA471" s="2872" t="s">
        <v>63</v>
      </c>
      <c r="BB471" s="3448">
        <v>26.89</v>
      </c>
      <c r="BC471" s="3449"/>
      <c r="BD471" s="3448"/>
      <c r="BE471" s="3450"/>
      <c r="BF471" s="3451">
        <v>44602</v>
      </c>
      <c r="BG471" s="2872" t="s">
        <v>63</v>
      </c>
      <c r="BH471" s="3451">
        <v>44742</v>
      </c>
      <c r="BI471" s="2872" t="s">
        <v>63</v>
      </c>
      <c r="BJ471" s="3448">
        <v>26.89</v>
      </c>
      <c r="BK471" s="3449"/>
      <c r="BL471" s="3448"/>
      <c r="BM471" s="3450"/>
      <c r="BN471" s="3451">
        <v>44743</v>
      </c>
      <c r="BO471" s="2872" t="s">
        <v>63</v>
      </c>
      <c r="BP471" s="3451">
        <v>44804</v>
      </c>
      <c r="BQ471" s="2872" t="s">
        <v>63</v>
      </c>
      <c r="BR471" s="3448">
        <v>26.89</v>
      </c>
      <c r="BS471" s="3449"/>
      <c r="BT471" s="3448"/>
      <c r="BU471" s="3450"/>
      <c r="BV471" s="3451">
        <v>44805</v>
      </c>
      <c r="BW471" s="2872" t="s">
        <v>63</v>
      </c>
      <c r="BX471" s="3451">
        <v>44895</v>
      </c>
      <c r="BY471" s="2872" t="s">
        <v>63</v>
      </c>
      <c r="BZ471" s="3448">
        <v>29.31</v>
      </c>
      <c r="CA471" s="3449"/>
      <c r="CB471" s="3448"/>
      <c r="CC471" s="3450"/>
      <c r="CD471" s="3451">
        <v>44896</v>
      </c>
      <c r="CE471" s="2872" t="s">
        <v>63</v>
      </c>
      <c r="CF471" s="3451">
        <v>45174</v>
      </c>
      <c r="CG471" s="2872" t="s">
        <v>63</v>
      </c>
      <c r="CH471" s="3448">
        <v>29.31</v>
      </c>
      <c r="CI471" s="3449"/>
      <c r="CJ471" s="3448"/>
      <c r="CK471" s="3450"/>
      <c r="CL471" s="3451">
        <v>45175</v>
      </c>
      <c r="CM471" s="2872" t="s">
        <v>63</v>
      </c>
      <c r="CN471" s="3451">
        <v>45291</v>
      </c>
      <c r="CO471" s="2872" t="s">
        <v>63</v>
      </c>
      <c r="CP471" s="3449"/>
      <c r="CQ471" s="3744" t="s">
        <v>625</v>
      </c>
      <c r="CR471" s="3581">
        <f>STRCHECKDATE(V472:CP472)</f>
      </c>
      <c r="CS471" s="3728"/>
      <c r="CT471" s="3728" t="str">
        <f>IF(T471="","",T471)</f>
        <v>вода</v>
      </c>
      <c r="CU471" s="3728"/>
      <c r="CV471" s="3728"/>
    </row>
    <row s="9841" customFormat="1" customHeight="1" ht="0.75">
      <c r="A472" s="3716"/>
      <c r="B472" s="3716"/>
      <c r="C472" s="3716"/>
      <c r="D472" s="3716"/>
      <c r="E472" s="3717"/>
      <c r="F472" s="3717"/>
      <c r="G472" s="3717"/>
      <c r="H472" s="3717">
        <v>1</v>
      </c>
      <c r="I472" s="3739"/>
      <c r="J472" s="3739"/>
      <c r="K472" s="3730"/>
      <c r="L472" s="3719"/>
      <c r="M472" s="3573"/>
      <c r="N472" s="3573"/>
      <c r="O472" s="3573"/>
      <c r="P472" s="3732"/>
      <c r="Q472" s="3732"/>
      <c r="R472" s="3740"/>
      <c r="S472" s="3746"/>
      <c r="T472" s="3726"/>
      <c r="U472" s="3726"/>
      <c r="V472" s="3449"/>
      <c r="W472" s="3449"/>
      <c r="X472" s="3449"/>
      <c r="Y472" s="3452" t="str">
        <f>Z471&amp;"-"&amp;AB471</f>
        <v>-</v>
      </c>
      <c r="Z472" s="3453"/>
      <c r="AA472" s="2872"/>
      <c r="AB472" s="3453"/>
      <c r="AC472" s="2872"/>
      <c r="AD472" s="3449"/>
      <c r="AE472" s="3449"/>
      <c r="AF472" s="3449"/>
      <c r="AG472" s="3452" t="str">
        <f>AH471&amp;"-"&amp;AJ471</f>
        <v>44197-44377</v>
      </c>
      <c r="AH472" s="3453"/>
      <c r="AI472" s="2872"/>
      <c r="AJ472" s="3453"/>
      <c r="AK472" s="2872"/>
      <c r="AL472" s="3449"/>
      <c r="AM472" s="3449"/>
      <c r="AN472" s="3449"/>
      <c r="AO472" s="3452" t="str">
        <f>AP471&amp;"-"&amp;AR471</f>
        <v>44378-44561</v>
      </c>
      <c r="AP472" s="3453"/>
      <c r="AQ472" s="2872"/>
      <c r="AR472" s="3453"/>
      <c r="AS472" s="2872"/>
      <c r="AT472" s="3449"/>
      <c r="AU472" s="3449"/>
      <c r="AV472" s="3449"/>
      <c r="AW472" s="3452" t="str">
        <f>AX471&amp;"-"&amp;AZ471</f>
        <v>44562-44601</v>
      </c>
      <c r="AX472" s="3453"/>
      <c r="AY472" s="2872"/>
      <c r="AZ472" s="3453"/>
      <c r="BA472" s="2872"/>
      <c r="BB472" s="3449"/>
      <c r="BC472" s="3449"/>
      <c r="BD472" s="3449"/>
      <c r="BE472" s="3452" t="str">
        <f>BF471&amp;"-"&amp;BH471</f>
        <v>44602-44742</v>
      </c>
      <c r="BF472" s="3453"/>
      <c r="BG472" s="2872"/>
      <c r="BH472" s="3453"/>
      <c r="BI472" s="2872"/>
      <c r="BJ472" s="3449"/>
      <c r="BK472" s="3449"/>
      <c r="BL472" s="3449"/>
      <c r="BM472" s="3452" t="str">
        <f>BN471&amp;"-"&amp;BP471</f>
        <v>44743-44804</v>
      </c>
      <c r="BN472" s="3453"/>
      <c r="BO472" s="2872"/>
      <c r="BP472" s="3453"/>
      <c r="BQ472" s="2872"/>
      <c r="BR472" s="3449"/>
      <c r="BS472" s="3449"/>
      <c r="BT472" s="3449"/>
      <c r="BU472" s="3452" t="str">
        <f>BV471&amp;"-"&amp;BX471</f>
        <v>44805-44895</v>
      </c>
      <c r="BV472" s="3453"/>
      <c r="BW472" s="2872"/>
      <c r="BX472" s="3453"/>
      <c r="BY472" s="2872"/>
      <c r="BZ472" s="3449"/>
      <c r="CA472" s="3449"/>
      <c r="CB472" s="3449"/>
      <c r="CC472" s="3452" t="str">
        <f>CD471&amp;"-"&amp;CF471</f>
        <v>44896-45174</v>
      </c>
      <c r="CD472" s="3453"/>
      <c r="CE472" s="2872"/>
      <c r="CF472" s="3453"/>
      <c r="CG472" s="2872"/>
      <c r="CH472" s="3449"/>
      <c r="CI472" s="3449"/>
      <c r="CJ472" s="3449"/>
      <c r="CK472" s="3452" t="str">
        <f>CL471&amp;"-"&amp;CN471</f>
        <v>45175-45291</v>
      </c>
      <c r="CL472" s="3453"/>
      <c r="CM472" s="2872"/>
      <c r="CN472" s="3453"/>
      <c r="CO472" s="2872"/>
      <c r="CP472" s="3449"/>
      <c r="CQ472" s="3747"/>
      <c r="CR472" s="3581"/>
      <c r="CS472" s="3728"/>
      <c r="CT472" s="3728" t="str">
        <f>IF(T472="","",T472)</f>
        <v/>
      </c>
      <c r="CU472" s="3728"/>
      <c r="CV472" s="3728"/>
    </row>
    <row s="9842" customFormat="1" customHeight="1" ht="15">
      <c r="A473" s="3716"/>
      <c r="B473" s="3716"/>
      <c r="C473" s="3716"/>
      <c r="D473" s="3716"/>
      <c r="E473" s="3717"/>
      <c r="F473" s="3717"/>
      <c r="G473" s="3717"/>
      <c r="H473" s="3717">
        <v>1</v>
      </c>
      <c r="I473" s="3739"/>
      <c r="J473" s="3730"/>
      <c r="K473" s="3716"/>
      <c r="L473" s="3719"/>
      <c r="M473" s="3573"/>
      <c r="N473" s="3573"/>
      <c r="O473" s="3731"/>
      <c r="P473" s="3732"/>
      <c r="Q473" s="3732"/>
      <c r="R473" s="3733"/>
      <c r="S473" s="9843"/>
      <c r="T473" s="9844" t="s">
        <v>626</v>
      </c>
      <c r="U473" s="9845"/>
      <c r="V473" s="9846"/>
      <c r="W473" s="9847"/>
      <c r="X473" s="9848"/>
      <c r="Y473" s="9849"/>
      <c r="Z473" s="9850"/>
      <c r="AA473" s="9851"/>
      <c r="AB473" s="9852"/>
      <c r="AC473" s="9853"/>
      <c r="AD473" s="9854"/>
      <c r="AE473" s="9855"/>
      <c r="AF473" s="9856"/>
      <c r="AG473" s="9857"/>
      <c r="AH473" s="9858"/>
      <c r="AI473" s="9859"/>
      <c r="AJ473" s="9860"/>
      <c r="AK473" s="9861"/>
      <c r="AL473" s="9862"/>
      <c r="AM473" s="9863"/>
      <c r="AN473" s="9864"/>
      <c r="AO473" s="9865"/>
      <c r="AP473" s="9866"/>
      <c r="AQ473" s="9867"/>
      <c r="AR473" s="9868"/>
      <c r="AS473" s="9869"/>
      <c r="AT473" s="9870"/>
      <c r="AU473" s="9871"/>
      <c r="AV473" s="9872"/>
      <c r="AW473" s="9873"/>
      <c r="AX473" s="9874"/>
      <c r="AY473" s="9875"/>
      <c r="AZ473" s="9876"/>
      <c r="BA473" s="9877"/>
      <c r="BB473" s="9878"/>
      <c r="BC473" s="9879"/>
      <c r="BD473" s="9880"/>
      <c r="BE473" s="9881"/>
      <c r="BF473" s="9882"/>
      <c r="BG473" s="9883"/>
      <c r="BH473" s="9884"/>
      <c r="BI473" s="9885"/>
      <c r="BJ473" s="9886"/>
      <c r="BK473" s="9887"/>
      <c r="BL473" s="9888"/>
      <c r="BM473" s="9889"/>
      <c r="BN473" s="9890"/>
      <c r="BO473" s="9891"/>
      <c r="BP473" s="9892"/>
      <c r="BQ473" s="9893"/>
      <c r="BR473" s="9894"/>
      <c r="BS473" s="9895"/>
      <c r="BT473" s="9896"/>
      <c r="BU473" s="9897"/>
      <c r="BV473" s="9898"/>
      <c r="BW473" s="9899"/>
      <c r="BX473" s="9900"/>
      <c r="BY473" s="9901"/>
      <c r="BZ473" s="9902"/>
      <c r="CA473" s="9903"/>
      <c r="CB473" s="9904"/>
      <c r="CC473" s="9905"/>
      <c r="CD473" s="9906"/>
      <c r="CE473" s="9907"/>
      <c r="CF473" s="9908"/>
      <c r="CG473" s="9909"/>
      <c r="CH473" s="9910"/>
      <c r="CI473" s="9911"/>
      <c r="CJ473" s="9912"/>
      <c r="CK473" s="9913"/>
      <c r="CL473" s="9914"/>
      <c r="CM473" s="9915"/>
      <c r="CN473" s="9916"/>
      <c r="CO473" s="9917"/>
      <c r="CP473" s="9918"/>
      <c r="CQ473" s="3825"/>
      <c r="CR473" s="3581"/>
      <c r="CS473" s="3728"/>
      <c r="CT473" s="3728" t="str">
        <f>IF(T473="","",T473)</f>
        <v>Добавить вид теплоносителя (параметры теплоносителя)</v>
      </c>
      <c r="CU473" s="3728"/>
      <c r="CV473" s="3728"/>
    </row>
    <row s="9919" customFormat="1" customHeight="1" ht="15">
      <c r="A474" s="3716"/>
      <c r="B474" s="3716"/>
      <c r="C474" s="3716"/>
      <c r="D474" s="3716"/>
      <c r="E474" s="3717"/>
      <c r="F474" s="3717"/>
      <c r="G474" s="3717"/>
      <c r="H474" s="3717">
        <v>1</v>
      </c>
      <c r="I474" s="3730"/>
      <c r="J474" s="3716"/>
      <c r="K474" s="3716"/>
      <c r="L474" s="3719"/>
      <c r="M474" s="3573"/>
      <c r="N474" s="3731"/>
      <c r="O474" s="3731"/>
      <c r="P474" s="3732"/>
      <c r="Q474" s="3732"/>
      <c r="R474" s="3733"/>
      <c r="S474" s="9920"/>
      <c r="T474" s="9921" t="s">
        <v>627</v>
      </c>
      <c r="U474" s="9922"/>
      <c r="V474" s="9923"/>
      <c r="W474" s="9924"/>
      <c r="X474" s="9925"/>
      <c r="Y474" s="9926"/>
      <c r="Z474" s="9927"/>
      <c r="AA474" s="9928"/>
      <c r="AB474" s="9929"/>
      <c r="AC474" s="9930"/>
      <c r="AD474" s="9931"/>
      <c r="AE474" s="9932"/>
      <c r="AF474" s="9933"/>
      <c r="AG474" s="9934"/>
      <c r="AH474" s="9935"/>
      <c r="AI474" s="9936"/>
      <c r="AJ474" s="9937"/>
      <c r="AK474" s="9938"/>
      <c r="AL474" s="9939"/>
      <c r="AM474" s="9940"/>
      <c r="AN474" s="9941"/>
      <c r="AO474" s="9942"/>
      <c r="AP474" s="9943"/>
      <c r="AQ474" s="9944"/>
      <c r="AR474" s="9945"/>
      <c r="AS474" s="9946"/>
      <c r="AT474" s="9947"/>
      <c r="AU474" s="9948"/>
      <c r="AV474" s="9949"/>
      <c r="AW474" s="9950"/>
      <c r="AX474" s="9951"/>
      <c r="AY474" s="9952"/>
      <c r="AZ474" s="9953"/>
      <c r="BA474" s="9954"/>
      <c r="BB474" s="9955"/>
      <c r="BC474" s="9956"/>
      <c r="BD474" s="9957"/>
      <c r="BE474" s="9958"/>
      <c r="BF474" s="9959"/>
      <c r="BG474" s="9960"/>
      <c r="BH474" s="9961"/>
      <c r="BI474" s="9962"/>
      <c r="BJ474" s="9963"/>
      <c r="BK474" s="9964"/>
      <c r="BL474" s="9965"/>
      <c r="BM474" s="9966"/>
      <c r="BN474" s="9967"/>
      <c r="BO474" s="9968"/>
      <c r="BP474" s="9969"/>
      <c r="BQ474" s="9970"/>
      <c r="BR474" s="9971"/>
      <c r="BS474" s="9972"/>
      <c r="BT474" s="9973"/>
      <c r="BU474" s="9974"/>
      <c r="BV474" s="9975"/>
      <c r="BW474" s="9976"/>
      <c r="BX474" s="9977"/>
      <c r="BY474" s="9978"/>
      <c r="BZ474" s="9979"/>
      <c r="CA474" s="9980"/>
      <c r="CB474" s="9981"/>
      <c r="CC474" s="9982"/>
      <c r="CD474" s="9983"/>
      <c r="CE474" s="9984"/>
      <c r="CF474" s="9985"/>
      <c r="CG474" s="9986"/>
      <c r="CH474" s="9987"/>
      <c r="CI474" s="9988"/>
      <c r="CJ474" s="9989"/>
      <c r="CK474" s="9990"/>
      <c r="CL474" s="9991"/>
      <c r="CM474" s="9992"/>
      <c r="CN474" s="9993"/>
      <c r="CO474" s="9994"/>
      <c r="CP474" s="9995"/>
      <c r="CQ474" s="9996"/>
      <c r="CR474" s="3581"/>
      <c r="CS474" s="3728"/>
      <c r="CT474" s="3728" t="str">
        <f>IF(T474="","",T474)</f>
        <v>Добавить группу потребителей</v>
      </c>
      <c r="CU474" s="3728"/>
      <c r="CV474" s="3728"/>
    </row>
    <row s="9997" customFormat="1" customHeight="1" ht="14.25">
      <c r="A475" s="3716"/>
      <c r="B475" s="3716"/>
      <c r="C475" s="3716"/>
      <c r="D475" s="3716"/>
      <c r="E475" s="3717"/>
      <c r="F475" s="3717"/>
      <c r="G475" s="3717"/>
      <c r="H475" s="3718">
        <v>1</v>
      </c>
      <c r="I475" s="3716"/>
      <c r="J475" s="3716"/>
      <c r="K475" s="3716"/>
      <c r="L475" s="3719"/>
      <c r="M475" s="3720"/>
      <c r="N475" s="3720"/>
      <c r="O475" s="3573"/>
      <c r="P475" s="3905"/>
      <c r="Q475" s="3906"/>
      <c r="R475" s="3907"/>
      <c r="S475" s="3908"/>
      <c r="T475" s="3909"/>
      <c r="U475" s="3569"/>
      <c r="V475" s="3569"/>
      <c r="W475" s="3569"/>
      <c r="X475" s="3569"/>
      <c r="Y475" s="3569"/>
      <c r="Z475" s="3569"/>
      <c r="AA475" s="3569"/>
      <c r="AB475" s="3569"/>
      <c r="AC475" s="3569"/>
      <c r="AD475" s="3569"/>
      <c r="AE475" s="3569"/>
      <c r="AF475" s="3569"/>
      <c r="AG475" s="3569"/>
      <c r="AH475" s="3569"/>
      <c r="AI475" s="3569"/>
      <c r="AJ475" s="3569"/>
      <c r="AK475" s="3569"/>
      <c r="AL475" s="3569"/>
      <c r="AM475" s="3569"/>
      <c r="AN475" s="3569"/>
      <c r="AO475" s="3569"/>
      <c r="AP475" s="3569"/>
      <c r="AQ475" s="3569"/>
      <c r="AR475" s="3569"/>
      <c r="AS475" s="3569"/>
      <c r="AT475" s="3569"/>
      <c r="AU475" s="3569"/>
      <c r="AV475" s="3569"/>
      <c r="AW475" s="3569"/>
      <c r="AX475" s="3569"/>
      <c r="AY475" s="3569"/>
      <c r="AZ475" s="3569"/>
      <c r="BA475" s="3569"/>
      <c r="BB475" s="3569"/>
      <c r="BC475" s="3569"/>
      <c r="BD475" s="3569"/>
      <c r="BE475" s="3569"/>
      <c r="BF475" s="3569"/>
      <c r="BG475" s="3569"/>
      <c r="BH475" s="3569"/>
      <c r="BI475" s="3569"/>
      <c r="BJ475" s="3569"/>
      <c r="BK475" s="3569"/>
      <c r="BL475" s="3569"/>
      <c r="BM475" s="3569"/>
      <c r="BN475" s="3569"/>
      <c r="BO475" s="3569"/>
      <c r="BP475" s="3569"/>
      <c r="BQ475" s="3569"/>
      <c r="BR475" s="3569"/>
      <c r="BS475" s="3569"/>
      <c r="BT475" s="3569"/>
      <c r="BU475" s="3569"/>
      <c r="BV475" s="3569"/>
      <c r="BW475" s="3569"/>
      <c r="BX475" s="3569"/>
      <c r="BY475" s="3569"/>
      <c r="BZ475" s="3569"/>
      <c r="CA475" s="3569"/>
      <c r="CB475" s="3569"/>
      <c r="CC475" s="3569"/>
      <c r="CD475" s="3569"/>
      <c r="CE475" s="3569"/>
      <c r="CF475" s="3569"/>
      <c r="CG475" s="3569"/>
      <c r="CH475" s="3569"/>
      <c r="CI475" s="3569"/>
      <c r="CJ475" s="3569"/>
      <c r="CK475" s="3569"/>
      <c r="CL475" s="3569"/>
      <c r="CM475" s="3569"/>
      <c r="CN475" s="3569"/>
      <c r="CO475" s="3569"/>
      <c r="CP475" s="3569"/>
      <c r="CQ475" s="3910"/>
      <c r="CR475" s="3581"/>
      <c r="CS475" s="3728"/>
      <c r="CT475" s="3728" t="str">
        <f>IF(T475="","",T475)</f>
        <v/>
      </c>
      <c r="CU475" s="3728"/>
      <c r="CV475" s="3728"/>
    </row>
    <row s="9998" customFormat="1" customHeight="1" ht="0.75">
      <c r="A476" s="4239"/>
      <c r="B476" s="4239"/>
      <c r="C476" s="4239"/>
      <c r="D476" s="4239"/>
      <c r="E476" s="3717"/>
      <c r="F476" s="3717" t="s">
        <v>135</v>
      </c>
      <c r="G476" s="3718"/>
      <c r="H476" s="4239"/>
      <c r="I476" s="4239"/>
      <c r="J476" s="4239"/>
      <c r="K476" s="4239"/>
      <c r="L476" s="4240"/>
      <c r="M476" s="4241"/>
      <c r="N476" s="4241"/>
      <c r="O476" s="3581"/>
      <c r="P476" s="4242"/>
      <c r="Q476" s="4243"/>
      <c r="R476" s="4242"/>
      <c r="S476" s="4244"/>
      <c r="T476" s="4245" t="s">
        <v>254</v>
      </c>
      <c r="U476" s="3571"/>
      <c r="V476" s="3571"/>
      <c r="W476" s="3571"/>
      <c r="X476" s="3571"/>
      <c r="Y476" s="3571"/>
      <c r="Z476" s="3571"/>
      <c r="AA476" s="3571"/>
      <c r="AB476" s="3571"/>
      <c r="AC476" s="3571"/>
      <c r="AD476" s="3571"/>
      <c r="AE476" s="3571"/>
      <c r="AF476" s="3571"/>
      <c r="AG476" s="3571"/>
      <c r="AH476" s="3571"/>
      <c r="AI476" s="3571"/>
      <c r="AJ476" s="3571"/>
      <c r="AK476" s="3571"/>
      <c r="AL476" s="3571"/>
      <c r="AM476" s="3571"/>
      <c r="AN476" s="3571"/>
      <c r="AO476" s="3571"/>
      <c r="AP476" s="3571"/>
      <c r="AQ476" s="3571"/>
      <c r="AR476" s="3571"/>
      <c r="AS476" s="3571"/>
      <c r="AT476" s="3571"/>
      <c r="AU476" s="3571"/>
      <c r="AV476" s="3571"/>
      <c r="AW476" s="3571"/>
      <c r="AX476" s="3571"/>
      <c r="AY476" s="3571"/>
      <c r="AZ476" s="3571"/>
      <c r="BA476" s="3571"/>
      <c r="BB476" s="3571"/>
      <c r="BC476" s="3571"/>
      <c r="BD476" s="3571"/>
      <c r="BE476" s="3571"/>
      <c r="BF476" s="3571"/>
      <c r="BG476" s="3571"/>
      <c r="BH476" s="3571"/>
      <c r="BI476" s="3571"/>
      <c r="BJ476" s="3571"/>
      <c r="BK476" s="3571"/>
      <c r="BL476" s="3571"/>
      <c r="BM476" s="3571"/>
      <c r="BN476" s="3571"/>
      <c r="BO476" s="3571"/>
      <c r="BP476" s="3571"/>
      <c r="BQ476" s="3571"/>
      <c r="BR476" s="3571"/>
      <c r="BS476" s="3571"/>
      <c r="BT476" s="3571"/>
      <c r="BU476" s="3571"/>
      <c r="BV476" s="3571"/>
      <c r="BW476" s="3571"/>
      <c r="BX476" s="3571"/>
      <c r="BY476" s="3571"/>
      <c r="BZ476" s="3571"/>
      <c r="CA476" s="3571"/>
      <c r="CB476" s="3571"/>
      <c r="CC476" s="3571"/>
      <c r="CD476" s="3571"/>
      <c r="CE476" s="3571"/>
      <c r="CF476" s="3571"/>
      <c r="CG476" s="3571"/>
      <c r="CH476" s="3571"/>
      <c r="CI476" s="3571"/>
      <c r="CJ476" s="3571"/>
      <c r="CK476" s="3571"/>
      <c r="CL476" s="3571"/>
      <c r="CM476" s="3571"/>
      <c r="CN476" s="3571"/>
      <c r="CO476" s="3571"/>
      <c r="CP476" s="3571"/>
      <c r="CQ476" s="3571"/>
      <c r="CR476" s="3581"/>
      <c r="CS476" s="3728"/>
      <c r="CT476" s="3728" t="str">
        <f>IF(T476="","",T476)</f>
        <v>Добавить источник для дифференциации</v>
      </c>
      <c r="CU476" s="3728"/>
      <c r="CV476" s="3728"/>
    </row>
    <row s="9999" customFormat="1" customHeight="1" ht="0.75">
      <c r="A477" s="4239"/>
      <c r="B477" s="4239"/>
      <c r="C477" s="4239"/>
      <c r="D477" s="4239"/>
      <c r="E477" s="3717"/>
      <c r="F477" s="3718" t="s">
        <v>135</v>
      </c>
      <c r="G477" s="4239"/>
      <c r="H477" s="4239"/>
      <c r="I477" s="4239"/>
      <c r="J477" s="4239"/>
      <c r="K477" s="4239"/>
      <c r="L477" s="4240"/>
      <c r="M477" s="4247"/>
      <c r="N477" s="4247"/>
      <c r="O477" s="3581"/>
      <c r="P477" s="4242"/>
      <c r="Q477" s="4243"/>
      <c r="R477" s="4242"/>
      <c r="S477" s="4248"/>
      <c r="T477" s="4249" t="s">
        <v>255</v>
      </c>
      <c r="U477" s="3572"/>
      <c r="V477" s="3572"/>
      <c r="W477" s="3572"/>
      <c r="X477" s="3572"/>
      <c r="Y477" s="3572"/>
      <c r="Z477" s="3572"/>
      <c r="AA477" s="3572"/>
      <c r="AB477" s="3572"/>
      <c r="AC477" s="3572"/>
      <c r="AD477" s="3572"/>
      <c r="AE477" s="3572"/>
      <c r="AF477" s="3572"/>
      <c r="AG477" s="3572"/>
      <c r="AH477" s="3572"/>
      <c r="AI477" s="3572"/>
      <c r="AJ477" s="3572"/>
      <c r="AK477" s="3572"/>
      <c r="AL477" s="3572"/>
      <c r="AM477" s="3572"/>
      <c r="AN477" s="3572"/>
      <c r="AO477" s="3572"/>
      <c r="AP477" s="3572"/>
      <c r="AQ477" s="3572"/>
      <c r="AR477" s="3572"/>
      <c r="AS477" s="3572"/>
      <c r="AT477" s="3572"/>
      <c r="AU477" s="3572"/>
      <c r="AV477" s="3572"/>
      <c r="AW477" s="3572"/>
      <c r="AX477" s="3572"/>
      <c r="AY477" s="3572"/>
      <c r="AZ477" s="3572"/>
      <c r="BA477" s="3572"/>
      <c r="BB477" s="3572"/>
      <c r="BC477" s="3572"/>
      <c r="BD477" s="3572"/>
      <c r="BE477" s="3572"/>
      <c r="BF477" s="3572"/>
      <c r="BG477" s="3572"/>
      <c r="BH477" s="3572"/>
      <c r="BI477" s="3572"/>
      <c r="BJ477" s="3572"/>
      <c r="BK477" s="3572"/>
      <c r="BL477" s="3572"/>
      <c r="BM477" s="3572"/>
      <c r="BN477" s="3572"/>
      <c r="BO477" s="3572"/>
      <c r="BP477" s="3572"/>
      <c r="BQ477" s="3572"/>
      <c r="BR477" s="3572"/>
      <c r="BS477" s="3572"/>
      <c r="BT477" s="3572"/>
      <c r="BU477" s="3572"/>
      <c r="BV477" s="3572"/>
      <c r="BW477" s="3572"/>
      <c r="BX477" s="3572"/>
      <c r="BY477" s="3572"/>
      <c r="BZ477" s="3572"/>
      <c r="CA477" s="3572"/>
      <c r="CB477" s="3572"/>
      <c r="CC477" s="3572"/>
      <c r="CD477" s="3572"/>
      <c r="CE477" s="3572"/>
      <c r="CF477" s="3572"/>
      <c r="CG477" s="3572"/>
      <c r="CH477" s="3572"/>
      <c r="CI477" s="3572"/>
      <c r="CJ477" s="3572"/>
      <c r="CK477" s="3572"/>
      <c r="CL477" s="3572"/>
      <c r="CM477" s="3572"/>
      <c r="CN477" s="3572"/>
      <c r="CO477" s="3572"/>
      <c r="CP477" s="3572"/>
      <c r="CQ477" s="3572"/>
      <c r="CR477" s="3581"/>
      <c r="CS477" s="3728"/>
      <c r="CT477" s="3728" t="str">
        <f>IF(T477="","",T477)</f>
        <v>Добавить централизованную систему для дифференциации</v>
      </c>
      <c r="CU477" s="3728"/>
      <c r="CV477" s="3728"/>
    </row>
    <row s="10000" customFormat="1" customHeight="1" ht="21">
      <c r="A478" s="3716"/>
      <c r="B478" s="3716" t="s">
        <v>365</v>
      </c>
      <c r="C478" s="3716"/>
      <c r="D478" s="3716"/>
      <c r="E478" s="3717"/>
      <c r="F478" s="3718" t="s">
        <v>143</v>
      </c>
      <c r="G478" s="3716"/>
      <c r="H478" s="3716"/>
      <c r="I478" s="3716"/>
      <c r="J478" s="3716"/>
      <c r="K478" s="3716"/>
      <c r="L478" s="3719"/>
      <c r="M478" s="3720"/>
      <c r="N478" s="3720"/>
      <c r="O478" s="3720"/>
      <c r="P478" s="4073"/>
      <c r="Q478" s="3722"/>
      <c r="R478" s="3723"/>
      <c r="S478" s="3724" t="str">
        <f>INDEX(PT_DIFFERENTIATION_NUM_TER,MATCH(B478,PT_DIFFERENTIATION_TER_ID,0))</f>
        <v>2.11</v>
      </c>
      <c r="T478" s="4074" t="s">
        <v>612</v>
      </c>
      <c r="U478" s="3726"/>
      <c r="V478" s="3432"/>
      <c r="W478" s="3433"/>
      <c r="X478" s="3433"/>
      <c r="Y478" s="3433"/>
      <c r="Z478" s="3433"/>
      <c r="AA478" s="3433"/>
      <c r="AB478" s="3433"/>
      <c r="AC478" s="3434"/>
      <c r="AD478" s="3432" t="str">
        <f>INDEX(PT_DIFFERENTIATION_TER,MATCH(B478,PT_DIFFERENTIATION_TER_ID,0))</f>
        <v>Территория 11</v>
      </c>
      <c r="AE478" s="3433"/>
      <c r="AF478" s="3433"/>
      <c r="AG478" s="3433"/>
      <c r="AH478" s="3433"/>
      <c r="AI478" s="3433"/>
      <c r="AJ478" s="3433"/>
      <c r="AK478" s="3433"/>
      <c r="AL478" s="3432"/>
      <c r="AM478" s="3433"/>
      <c r="AN478" s="3433"/>
      <c r="AO478" s="3433"/>
      <c r="AP478" s="3433"/>
      <c r="AQ478" s="3433"/>
      <c r="AR478" s="3433"/>
      <c r="AS478" s="3434"/>
      <c r="AT478" s="3432"/>
      <c r="AU478" s="3433"/>
      <c r="AV478" s="3433"/>
      <c r="AW478" s="3433"/>
      <c r="AX478" s="3433"/>
      <c r="AY478" s="3433"/>
      <c r="AZ478" s="3433"/>
      <c r="BA478" s="3434"/>
      <c r="BB478" s="3432"/>
      <c r="BC478" s="3433"/>
      <c r="BD478" s="3433"/>
      <c r="BE478" s="3433"/>
      <c r="BF478" s="3433"/>
      <c r="BG478" s="3433"/>
      <c r="BH478" s="3433"/>
      <c r="BI478" s="3434"/>
      <c r="BJ478" s="3432"/>
      <c r="BK478" s="3433"/>
      <c r="BL478" s="3433"/>
      <c r="BM478" s="3433"/>
      <c r="BN478" s="3433"/>
      <c r="BO478" s="3433"/>
      <c r="BP478" s="3433"/>
      <c r="BQ478" s="3434"/>
      <c r="BR478" s="3432"/>
      <c r="BS478" s="3433"/>
      <c r="BT478" s="3433"/>
      <c r="BU478" s="3433"/>
      <c r="BV478" s="3433"/>
      <c r="BW478" s="3433"/>
      <c r="BX478" s="3433"/>
      <c r="BY478" s="3434"/>
      <c r="BZ478" s="3432"/>
      <c r="CA478" s="3433"/>
      <c r="CB478" s="3433"/>
      <c r="CC478" s="3433"/>
      <c r="CD478" s="3433"/>
      <c r="CE478" s="3433"/>
      <c r="CF478" s="3433"/>
      <c r="CG478" s="3434"/>
      <c r="CH478" s="3432"/>
      <c r="CI478" s="3433"/>
      <c r="CJ478" s="3433"/>
      <c r="CK478" s="3433"/>
      <c r="CL478" s="3433"/>
      <c r="CM478" s="3433"/>
      <c r="CN478" s="3433"/>
      <c r="CO478" s="3434"/>
      <c r="CP478" s="3434"/>
      <c r="CQ478" s="3727" t="s">
        <v>613</v>
      </c>
      <c r="CR478" s="3581"/>
      <c r="CS478" s="3728"/>
      <c r="CT478" s="3728" t="str">
        <f>IF(T478="","",T478)</f>
        <v>Территория действия тарифа</v>
      </c>
      <c r="CU478" s="3728"/>
      <c r="CV478" s="3728"/>
    </row>
    <row s="10001" customFormat="1" customHeight="1" ht="23.25">
      <c r="A479" s="3716"/>
      <c r="B479" s="3716"/>
      <c r="C479" s="3716" t="s">
        <v>366</v>
      </c>
      <c r="D479" s="3716"/>
      <c r="E479" s="3717"/>
      <c r="F479" s="3717" t="s">
        <v>139</v>
      </c>
      <c r="G479" s="3718">
        <v>1</v>
      </c>
      <c r="H479" s="3716"/>
      <c r="I479" s="3716"/>
      <c r="J479" s="3716"/>
      <c r="K479" s="3716"/>
      <c r="L479" s="3719"/>
      <c r="M479" s="3720"/>
      <c r="N479" s="3720"/>
      <c r="O479" s="3720"/>
      <c r="P479" s="3721"/>
      <c r="Q479" s="3722"/>
      <c r="R479" s="3723"/>
      <c r="S479" s="3724" t="str">
        <f>INDEX(PT_DIFFERENTIATION_NUM_CS,MATCH(C479,PT_DIFFERENTIATION_CS_ID,0))</f>
        <v>2.11.1</v>
      </c>
      <c r="T479" s="4076" t="s">
        <v>614</v>
      </c>
      <c r="U479" s="3726"/>
      <c r="V479" s="3432"/>
      <c r="W479" s="3433"/>
      <c r="X479" s="3433"/>
      <c r="Y479" s="3433"/>
      <c r="Z479" s="3433"/>
      <c r="AA479" s="3433"/>
      <c r="AB479" s="3433"/>
      <c r="AC479" s="3434"/>
      <c r="AD479" s="3432" t="str">
        <f>INDEX(PT_DIFFERENTIATION_CS,MATCH(C479,PT_DIFFERENTIATION_CS_ID,0))</f>
        <v>без дифференциации</v>
      </c>
      <c r="AE479" s="3433"/>
      <c r="AF479" s="3433"/>
      <c r="AG479" s="3433"/>
      <c r="AH479" s="3433"/>
      <c r="AI479" s="3433"/>
      <c r="AJ479" s="3433"/>
      <c r="AK479" s="3433"/>
      <c r="AL479" s="3432"/>
      <c r="AM479" s="3433"/>
      <c r="AN479" s="3433"/>
      <c r="AO479" s="3433"/>
      <c r="AP479" s="3433"/>
      <c r="AQ479" s="3433"/>
      <c r="AR479" s="3433"/>
      <c r="AS479" s="3434"/>
      <c r="AT479" s="3432"/>
      <c r="AU479" s="3433"/>
      <c r="AV479" s="3433"/>
      <c r="AW479" s="3433"/>
      <c r="AX479" s="3433"/>
      <c r="AY479" s="3433"/>
      <c r="AZ479" s="3433"/>
      <c r="BA479" s="3434"/>
      <c r="BB479" s="3432"/>
      <c r="BC479" s="3433"/>
      <c r="BD479" s="3433"/>
      <c r="BE479" s="3433"/>
      <c r="BF479" s="3433"/>
      <c r="BG479" s="3433"/>
      <c r="BH479" s="3433"/>
      <c r="BI479" s="3434"/>
      <c r="BJ479" s="3432"/>
      <c r="BK479" s="3433"/>
      <c r="BL479" s="3433"/>
      <c r="BM479" s="3433"/>
      <c r="BN479" s="3433"/>
      <c r="BO479" s="3433"/>
      <c r="BP479" s="3433"/>
      <c r="BQ479" s="3434"/>
      <c r="BR479" s="3432"/>
      <c r="BS479" s="3433"/>
      <c r="BT479" s="3433"/>
      <c r="BU479" s="3433"/>
      <c r="BV479" s="3433"/>
      <c r="BW479" s="3433"/>
      <c r="BX479" s="3433"/>
      <c r="BY479" s="3434"/>
      <c r="BZ479" s="3432"/>
      <c r="CA479" s="3433"/>
      <c r="CB479" s="3433"/>
      <c r="CC479" s="3433"/>
      <c r="CD479" s="3433"/>
      <c r="CE479" s="3433"/>
      <c r="CF479" s="3433"/>
      <c r="CG479" s="3434"/>
      <c r="CH479" s="3432"/>
      <c r="CI479" s="3433"/>
      <c r="CJ479" s="3433"/>
      <c r="CK479" s="3433"/>
      <c r="CL479" s="3433"/>
      <c r="CM479" s="3433"/>
      <c r="CN479" s="3433"/>
      <c r="CO479" s="3434"/>
      <c r="CP479" s="3434"/>
      <c r="CQ479" s="3727" t="s">
        <v>615</v>
      </c>
      <c r="CR479" s="3581"/>
      <c r="CS479" s="3728"/>
      <c r="CT479" s="3728" t="str">
        <f>IF(T479="","",T479)</f>
        <v>Наименование системы теплоснабжения </v>
      </c>
      <c r="CU479" s="3728"/>
      <c r="CV479" s="3728"/>
    </row>
    <row s="10002" customFormat="1" customHeight="1" ht="21">
      <c r="A480" s="3716"/>
      <c r="B480" s="3716"/>
      <c r="C480" s="3716"/>
      <c r="D480" s="3716" t="s">
        <v>367</v>
      </c>
      <c r="E480" s="3717"/>
      <c r="F480" s="3717" t="s">
        <v>139</v>
      </c>
      <c r="G480" s="3717"/>
      <c r="H480" s="3718">
        <v>1</v>
      </c>
      <c r="I480" s="3716"/>
      <c r="J480" s="3716"/>
      <c r="K480" s="3716"/>
      <c r="L480" s="3719"/>
      <c r="M480" s="3720"/>
      <c r="N480" s="3720"/>
      <c r="O480" s="3720"/>
      <c r="P480" s="3721"/>
      <c r="Q480" s="3722"/>
      <c r="R480" s="3723"/>
      <c r="S480" s="3724" t="str">
        <f>INDEX(PT_DIFFERENTIATION_NUM_IST_TE,MATCH(D480,PT_DIFFERENTIATION_IST_TE_ID,0))</f>
        <v>2.11.1.1</v>
      </c>
      <c r="T480" s="3725" t="s">
        <v>616</v>
      </c>
      <c r="U480" s="3726"/>
      <c r="V480" s="3432"/>
      <c r="W480" s="3433"/>
      <c r="X480" s="3433"/>
      <c r="Y480" s="3433"/>
      <c r="Z480" s="3433"/>
      <c r="AA480" s="3433"/>
      <c r="AB480" s="3433"/>
      <c r="AC480" s="3434"/>
      <c r="AD480" s="3432" t="str">
        <f>INDEX(PT_DIFFERENTIATION_IST_TE,MATCH(D480,PT_DIFFERENTIATION_IST_TE_ID,0))</f>
        <v>город Никель</v>
      </c>
      <c r="AE480" s="3433"/>
      <c r="AF480" s="3433"/>
      <c r="AG480" s="3433"/>
      <c r="AH480" s="3433"/>
      <c r="AI480" s="3433"/>
      <c r="AJ480" s="3433"/>
      <c r="AK480" s="3433"/>
      <c r="AL480" s="3432"/>
      <c r="AM480" s="3433"/>
      <c r="AN480" s="3433"/>
      <c r="AO480" s="3433"/>
      <c r="AP480" s="3433"/>
      <c r="AQ480" s="3433"/>
      <c r="AR480" s="3433"/>
      <c r="AS480" s="3434"/>
      <c r="AT480" s="3432"/>
      <c r="AU480" s="3433"/>
      <c r="AV480" s="3433"/>
      <c r="AW480" s="3433"/>
      <c r="AX480" s="3433"/>
      <c r="AY480" s="3433"/>
      <c r="AZ480" s="3433"/>
      <c r="BA480" s="3434"/>
      <c r="BB480" s="3432"/>
      <c r="BC480" s="3433"/>
      <c r="BD480" s="3433"/>
      <c r="BE480" s="3433"/>
      <c r="BF480" s="3433"/>
      <c r="BG480" s="3433"/>
      <c r="BH480" s="3433"/>
      <c r="BI480" s="3434"/>
      <c r="BJ480" s="3432"/>
      <c r="BK480" s="3433"/>
      <c r="BL480" s="3433"/>
      <c r="BM480" s="3433"/>
      <c r="BN480" s="3433"/>
      <c r="BO480" s="3433"/>
      <c r="BP480" s="3433"/>
      <c r="BQ480" s="3434"/>
      <c r="BR480" s="3432"/>
      <c r="BS480" s="3433"/>
      <c r="BT480" s="3433"/>
      <c r="BU480" s="3433"/>
      <c r="BV480" s="3433"/>
      <c r="BW480" s="3433"/>
      <c r="BX480" s="3433"/>
      <c r="BY480" s="3434"/>
      <c r="BZ480" s="3432"/>
      <c r="CA480" s="3433"/>
      <c r="CB480" s="3433"/>
      <c r="CC480" s="3433"/>
      <c r="CD480" s="3433"/>
      <c r="CE480" s="3433"/>
      <c r="CF480" s="3433"/>
      <c r="CG480" s="3434"/>
      <c r="CH480" s="3432"/>
      <c r="CI480" s="3433"/>
      <c r="CJ480" s="3433"/>
      <c r="CK480" s="3433"/>
      <c r="CL480" s="3433"/>
      <c r="CM480" s="3433"/>
      <c r="CN480" s="3433"/>
      <c r="CO480" s="3434"/>
      <c r="CP480" s="3434"/>
      <c r="CQ480" s="3727" t="s">
        <v>617</v>
      </c>
      <c r="CR480" s="3581"/>
      <c r="CS480" s="3728"/>
      <c r="CT480" s="3728" t="str">
        <f>IF(T480="","",T480)</f>
        <v>Источник тепловой энергии  </v>
      </c>
      <c r="CU480" s="3728"/>
      <c r="CV480" s="3728"/>
    </row>
    <row s="10003" customFormat="1" customHeight="1" ht="14.25">
      <c r="A481" s="3716"/>
      <c r="B481" s="3716"/>
      <c r="C481" s="3716"/>
      <c r="D481" s="3716"/>
      <c r="E481" s="3717"/>
      <c r="F481" s="3717" t="s">
        <v>139</v>
      </c>
      <c r="G481" s="3717"/>
      <c r="H481" s="3717"/>
      <c r="I481" s="3730" t="str">
        <f>S480&amp;".1"</f>
        <v>2.11.1.1.1</v>
      </c>
      <c r="J481" s="3716"/>
      <c r="K481" s="3716"/>
      <c r="L481" s="3719" t="s">
        <v>618</v>
      </c>
      <c r="M481" s="3573"/>
      <c r="N481" s="3731"/>
      <c r="O481" s="3731"/>
      <c r="P481" s="3732">
        <v>1</v>
      </c>
      <c r="Q481" s="3732"/>
      <c r="R481" s="3733"/>
      <c r="S481" s="3734"/>
      <c r="T481" s="3735"/>
      <c r="U481" s="3736"/>
      <c r="V481" s="3441"/>
      <c r="W481" s="3442"/>
      <c r="X481" s="3442"/>
      <c r="Y481" s="3442"/>
      <c r="Z481" s="3442"/>
      <c r="AA481" s="3442"/>
      <c r="AB481" s="3442"/>
      <c r="AC481" s="3443"/>
      <c r="AD481" s="3441"/>
      <c r="AE481" s="3442"/>
      <c r="AF481" s="3442"/>
      <c r="AG481" s="3442"/>
      <c r="AH481" s="3442"/>
      <c r="AI481" s="3442"/>
      <c r="AJ481" s="3442"/>
      <c r="AK481" s="3442"/>
      <c r="AL481" s="3441"/>
      <c r="AM481" s="3442"/>
      <c r="AN481" s="3442"/>
      <c r="AO481" s="3442"/>
      <c r="AP481" s="3442"/>
      <c r="AQ481" s="3442"/>
      <c r="AR481" s="3442"/>
      <c r="AS481" s="3443"/>
      <c r="AT481" s="3441"/>
      <c r="AU481" s="3442"/>
      <c r="AV481" s="3442"/>
      <c r="AW481" s="3442"/>
      <c r="AX481" s="3442"/>
      <c r="AY481" s="3442"/>
      <c r="AZ481" s="3442"/>
      <c r="BA481" s="3443"/>
      <c r="BB481" s="3441"/>
      <c r="BC481" s="3442"/>
      <c r="BD481" s="3442"/>
      <c r="BE481" s="3442"/>
      <c r="BF481" s="3442"/>
      <c r="BG481" s="3442"/>
      <c r="BH481" s="3442"/>
      <c r="BI481" s="3443"/>
      <c r="BJ481" s="3441"/>
      <c r="BK481" s="3442"/>
      <c r="BL481" s="3442"/>
      <c r="BM481" s="3442"/>
      <c r="BN481" s="3442"/>
      <c r="BO481" s="3442"/>
      <c r="BP481" s="3442"/>
      <c r="BQ481" s="3443"/>
      <c r="BR481" s="3441"/>
      <c r="BS481" s="3442"/>
      <c r="BT481" s="3442"/>
      <c r="BU481" s="3442"/>
      <c r="BV481" s="3442"/>
      <c r="BW481" s="3442"/>
      <c r="BX481" s="3442"/>
      <c r="BY481" s="3443"/>
      <c r="BZ481" s="3441"/>
      <c r="CA481" s="3442"/>
      <c r="CB481" s="3442"/>
      <c r="CC481" s="3442"/>
      <c r="CD481" s="3442"/>
      <c r="CE481" s="3442"/>
      <c r="CF481" s="3442"/>
      <c r="CG481" s="3443"/>
      <c r="CH481" s="3441"/>
      <c r="CI481" s="3442"/>
      <c r="CJ481" s="3442"/>
      <c r="CK481" s="3442"/>
      <c r="CL481" s="3442"/>
      <c r="CM481" s="3442"/>
      <c r="CN481" s="3442"/>
      <c r="CO481" s="3443"/>
      <c r="CP481" s="3443"/>
      <c r="CQ481" s="3737"/>
      <c r="CR481" s="3581"/>
      <c r="CS481" s="3728"/>
      <c r="CT481" s="3728" t="str">
        <f>IF(T481="","",T481)</f>
        <v/>
      </c>
      <c r="CU481" s="3728"/>
      <c r="CV481" s="3728"/>
    </row>
    <row s="10004" customFormat="1" customHeight="1" ht="21">
      <c r="A482" s="3716"/>
      <c r="B482" s="3716"/>
      <c r="C482" s="3716"/>
      <c r="D482" s="3716"/>
      <c r="E482" s="3717"/>
      <c r="F482" s="3717" t="s">
        <v>139</v>
      </c>
      <c r="G482" s="3717"/>
      <c r="H482" s="3717"/>
      <c r="I482" s="3739"/>
      <c r="J482" s="3730" t="str">
        <f>I481&amp;".1"</f>
        <v>2.11.1.1.1.1</v>
      </c>
      <c r="K482" s="3716"/>
      <c r="L482" s="3719" t="s">
        <v>621</v>
      </c>
      <c r="M482" s="3573"/>
      <c r="N482" s="3573"/>
      <c r="O482" s="3731"/>
      <c r="P482" s="3732"/>
      <c r="Q482" s="3732">
        <v>1</v>
      </c>
      <c r="R482" s="3740"/>
      <c r="S482" s="3724" t="str">
        <f>$J482</f>
        <v>2.11.1.1.1.1</v>
      </c>
      <c r="T482" s="3741" t="s">
        <v>622</v>
      </c>
      <c r="U482" s="3726"/>
      <c r="V482" s="3445"/>
      <c r="W482" s="3446"/>
      <c r="X482" s="3446"/>
      <c r="Y482" s="3446"/>
      <c r="Z482" s="3446"/>
      <c r="AA482" s="3446"/>
      <c r="AB482" s="3446"/>
      <c r="AC482" s="3447"/>
      <c r="AD482" s="3445" t="s">
        <v>665</v>
      </c>
      <c r="AE482" s="3446"/>
      <c r="AF482" s="3446"/>
      <c r="AG482" s="3446"/>
      <c r="AH482" s="3446"/>
      <c r="AI482" s="3446"/>
      <c r="AJ482" s="3446"/>
      <c r="AK482" s="3446"/>
      <c r="AL482" s="3445"/>
      <c r="AM482" s="3446"/>
      <c r="AN482" s="3446"/>
      <c r="AO482" s="3446"/>
      <c r="AP482" s="3446"/>
      <c r="AQ482" s="3446"/>
      <c r="AR482" s="3446"/>
      <c r="AS482" s="3447"/>
      <c r="AT482" s="3445"/>
      <c r="AU482" s="3446"/>
      <c r="AV482" s="3446"/>
      <c r="AW482" s="3446"/>
      <c r="AX482" s="3446"/>
      <c r="AY482" s="3446"/>
      <c r="AZ482" s="3446"/>
      <c r="BA482" s="3447"/>
      <c r="BB482" s="3445"/>
      <c r="BC482" s="3446"/>
      <c r="BD482" s="3446"/>
      <c r="BE482" s="3446"/>
      <c r="BF482" s="3446"/>
      <c r="BG482" s="3446"/>
      <c r="BH482" s="3446"/>
      <c r="BI482" s="3447"/>
      <c r="BJ482" s="3445"/>
      <c r="BK482" s="3446"/>
      <c r="BL482" s="3446"/>
      <c r="BM482" s="3446"/>
      <c r="BN482" s="3446"/>
      <c r="BO482" s="3446"/>
      <c r="BP482" s="3446"/>
      <c r="BQ482" s="3447"/>
      <c r="BR482" s="3445"/>
      <c r="BS482" s="3446"/>
      <c r="BT482" s="3446"/>
      <c r="BU482" s="3446"/>
      <c r="BV482" s="3446"/>
      <c r="BW482" s="3446"/>
      <c r="BX482" s="3446"/>
      <c r="BY482" s="3447"/>
      <c r="BZ482" s="3445"/>
      <c r="CA482" s="3446"/>
      <c r="CB482" s="3446"/>
      <c r="CC482" s="3446"/>
      <c r="CD482" s="3446"/>
      <c r="CE482" s="3446"/>
      <c r="CF482" s="3446"/>
      <c r="CG482" s="3447"/>
      <c r="CH482" s="3445"/>
      <c r="CI482" s="3446"/>
      <c r="CJ482" s="3446"/>
      <c r="CK482" s="3446"/>
      <c r="CL482" s="3446"/>
      <c r="CM482" s="3446"/>
      <c r="CN482" s="3446"/>
      <c r="CO482" s="3447"/>
      <c r="CP482" s="3447"/>
      <c r="CQ482" s="3727" t="s">
        <v>623</v>
      </c>
      <c r="CR482" s="3581"/>
      <c r="CS482" s="3728"/>
      <c r="CT482" s="3728" t="str">
        <f>IF(T482="","",T482)</f>
        <v>Группа потребителей</v>
      </c>
      <c r="CU482" s="3728"/>
      <c r="CV482" s="3728"/>
    </row>
    <row s="10005" customFormat="1" customHeight="1" ht="21">
      <c r="A483" s="3716"/>
      <c r="B483" s="3716"/>
      <c r="C483" s="3716"/>
      <c r="D483" s="3716"/>
      <c r="E483" s="3717"/>
      <c r="F483" s="3717" t="s">
        <v>139</v>
      </c>
      <c r="G483" s="3717"/>
      <c r="H483" s="3717"/>
      <c r="I483" s="3739"/>
      <c r="J483" s="3739"/>
      <c r="K483" s="3730" t="str">
        <f>J482&amp;".1"</f>
        <v>2.11.1.1.1.1.1</v>
      </c>
      <c r="L483" s="3719" t="s">
        <v>624</v>
      </c>
      <c r="M483" s="3573"/>
      <c r="N483" s="3573"/>
      <c r="O483" s="3573"/>
      <c r="P483" s="3732"/>
      <c r="Q483" s="3732"/>
      <c r="R483" s="3740">
        <v>1</v>
      </c>
      <c r="S483" s="3724" t="str">
        <f>$K483</f>
        <v>2.11.1.1.1.1.1</v>
      </c>
      <c r="T483" s="3743" t="s">
        <v>663</v>
      </c>
      <c r="U483" s="3726"/>
      <c r="V483" s="3448"/>
      <c r="W483" s="3449"/>
      <c r="X483" s="3448"/>
      <c r="Y483" s="3450"/>
      <c r="Z483" s="3451"/>
      <c r="AA483" s="2872" t="s">
        <v>63</v>
      </c>
      <c r="AB483" s="3451"/>
      <c r="AC483" s="2872" t="s">
        <v>63</v>
      </c>
      <c r="AD483" s="3448">
        <v>21.07</v>
      </c>
      <c r="AE483" s="3449"/>
      <c r="AF483" s="3448"/>
      <c r="AG483" s="3450"/>
      <c r="AH483" s="3451">
        <v>44197</v>
      </c>
      <c r="AI483" s="2872" t="s">
        <v>63</v>
      </c>
      <c r="AJ483" s="3451">
        <v>44377</v>
      </c>
      <c r="AK483" s="2872" t="s">
        <v>63</v>
      </c>
      <c r="AL483" s="3448">
        <v>23.18</v>
      </c>
      <c r="AM483" s="3449"/>
      <c r="AN483" s="3448"/>
      <c r="AO483" s="3450"/>
      <c r="AP483" s="3451">
        <v>44378</v>
      </c>
      <c r="AQ483" s="2872" t="s">
        <v>63</v>
      </c>
      <c r="AR483" s="3451">
        <v>44561</v>
      </c>
      <c r="AS483" s="2872" t="s">
        <v>63</v>
      </c>
      <c r="AT483" s="3448">
        <v>21.44</v>
      </c>
      <c r="AU483" s="3449"/>
      <c r="AV483" s="3448"/>
      <c r="AW483" s="3450"/>
      <c r="AX483" s="3451">
        <v>44562</v>
      </c>
      <c r="AY483" s="2872" t="s">
        <v>63</v>
      </c>
      <c r="AZ483" s="3451">
        <v>44601</v>
      </c>
      <c r="BA483" s="2872" t="s">
        <v>63</v>
      </c>
      <c r="BB483" s="3448">
        <v>21.44</v>
      </c>
      <c r="BC483" s="3449"/>
      <c r="BD483" s="3448"/>
      <c r="BE483" s="3450"/>
      <c r="BF483" s="3451">
        <v>44602</v>
      </c>
      <c r="BG483" s="2872" t="s">
        <v>63</v>
      </c>
      <c r="BH483" s="3451">
        <v>44742</v>
      </c>
      <c r="BI483" s="2872" t="s">
        <v>63</v>
      </c>
      <c r="BJ483" s="3448">
        <v>23.58</v>
      </c>
      <c r="BK483" s="3449"/>
      <c r="BL483" s="3448"/>
      <c r="BM483" s="3450"/>
      <c r="BN483" s="3451">
        <v>44743</v>
      </c>
      <c r="BO483" s="2872" t="s">
        <v>63</v>
      </c>
      <c r="BP483" s="3451">
        <v>44804</v>
      </c>
      <c r="BQ483" s="2872" t="s">
        <v>63</v>
      </c>
      <c r="BR483" s="3448">
        <v>25.58</v>
      </c>
      <c r="BS483" s="3449"/>
      <c r="BT483" s="3448"/>
      <c r="BU483" s="3450"/>
      <c r="BV483" s="3451">
        <v>44805</v>
      </c>
      <c r="BW483" s="2872" t="s">
        <v>63</v>
      </c>
      <c r="BX483" s="3451">
        <v>44895</v>
      </c>
      <c r="BY483" s="2872" t="s">
        <v>63</v>
      </c>
      <c r="BZ483" s="3448">
        <v>24.09</v>
      </c>
      <c r="CA483" s="3449"/>
      <c r="CB483" s="3448"/>
      <c r="CC483" s="3450"/>
      <c r="CD483" s="3451">
        <v>44896</v>
      </c>
      <c r="CE483" s="2872" t="s">
        <v>63</v>
      </c>
      <c r="CF483" s="3451">
        <v>45174</v>
      </c>
      <c r="CG483" s="2872" t="s">
        <v>63</v>
      </c>
      <c r="CH483" s="3448">
        <v>24.09</v>
      </c>
      <c r="CI483" s="3449"/>
      <c r="CJ483" s="3448"/>
      <c r="CK483" s="3450"/>
      <c r="CL483" s="3451">
        <v>45175</v>
      </c>
      <c r="CM483" s="2872" t="s">
        <v>63</v>
      </c>
      <c r="CN483" s="3451">
        <v>45291</v>
      </c>
      <c r="CO483" s="2872" t="s">
        <v>63</v>
      </c>
      <c r="CP483" s="3449"/>
      <c r="CQ483" s="3744" t="s">
        <v>625</v>
      </c>
      <c r="CR483" s="3581">
        <f>STRCHECKDATE(V484:CP484)</f>
      </c>
      <c r="CS483" s="3728"/>
      <c r="CT483" s="3728" t="str">
        <f>IF(T483="","",T483)</f>
        <v>вода</v>
      </c>
      <c r="CU483" s="3728"/>
      <c r="CV483" s="3728"/>
    </row>
    <row s="10006" customFormat="1" customHeight="1" ht="0.75">
      <c r="A484" s="3716"/>
      <c r="B484" s="3716"/>
      <c r="C484" s="3716"/>
      <c r="D484" s="3716"/>
      <c r="E484" s="3717"/>
      <c r="F484" s="3717" t="s">
        <v>139</v>
      </c>
      <c r="G484" s="3717"/>
      <c r="H484" s="3717"/>
      <c r="I484" s="3739"/>
      <c r="J484" s="3739"/>
      <c r="K484" s="3730"/>
      <c r="L484" s="3719"/>
      <c r="M484" s="3573"/>
      <c r="N484" s="3573"/>
      <c r="O484" s="3573"/>
      <c r="P484" s="3732"/>
      <c r="Q484" s="3732"/>
      <c r="R484" s="3740"/>
      <c r="S484" s="3746"/>
      <c r="T484" s="3726"/>
      <c r="U484" s="3726"/>
      <c r="V484" s="3449"/>
      <c r="W484" s="3449"/>
      <c r="X484" s="3449"/>
      <c r="Y484" s="3452" t="str">
        <f>Z483&amp;"-"&amp;AB483</f>
        <v>-</v>
      </c>
      <c r="Z484" s="3453"/>
      <c r="AA484" s="2872"/>
      <c r="AB484" s="3453"/>
      <c r="AC484" s="2872"/>
      <c r="AD484" s="3449"/>
      <c r="AE484" s="3449"/>
      <c r="AF484" s="3449"/>
      <c r="AG484" s="3452" t="str">
        <f>AH483&amp;"-"&amp;AJ483</f>
        <v>44197-44377</v>
      </c>
      <c r="AH484" s="3453"/>
      <c r="AI484" s="2872"/>
      <c r="AJ484" s="3453"/>
      <c r="AK484" s="2872"/>
      <c r="AL484" s="3449"/>
      <c r="AM484" s="3449"/>
      <c r="AN484" s="3449"/>
      <c r="AO484" s="3452" t="str">
        <f>AP483&amp;"-"&amp;AR483</f>
        <v>44378-44561</v>
      </c>
      <c r="AP484" s="3453"/>
      <c r="AQ484" s="2872"/>
      <c r="AR484" s="3453"/>
      <c r="AS484" s="2872"/>
      <c r="AT484" s="3449"/>
      <c r="AU484" s="3449"/>
      <c r="AV484" s="3449"/>
      <c r="AW484" s="3452" t="str">
        <f>AX483&amp;"-"&amp;AZ483</f>
        <v>44562-44601</v>
      </c>
      <c r="AX484" s="3453"/>
      <c r="AY484" s="2872"/>
      <c r="AZ484" s="3453"/>
      <c r="BA484" s="2872"/>
      <c r="BB484" s="3449"/>
      <c r="BC484" s="3449"/>
      <c r="BD484" s="3449"/>
      <c r="BE484" s="3452" t="str">
        <f>BF483&amp;"-"&amp;BH483</f>
        <v>44602-44742</v>
      </c>
      <c r="BF484" s="3453"/>
      <c r="BG484" s="2872"/>
      <c r="BH484" s="3453"/>
      <c r="BI484" s="2872"/>
      <c r="BJ484" s="3449"/>
      <c r="BK484" s="3449"/>
      <c r="BL484" s="3449"/>
      <c r="BM484" s="3452" t="str">
        <f>BN483&amp;"-"&amp;BP483</f>
        <v>44743-44804</v>
      </c>
      <c r="BN484" s="3453"/>
      <c r="BO484" s="2872"/>
      <c r="BP484" s="3453"/>
      <c r="BQ484" s="2872"/>
      <c r="BR484" s="3449"/>
      <c r="BS484" s="3449"/>
      <c r="BT484" s="3449"/>
      <c r="BU484" s="3452" t="str">
        <f>BV483&amp;"-"&amp;BX483</f>
        <v>44805-44895</v>
      </c>
      <c r="BV484" s="3453"/>
      <c r="BW484" s="2872"/>
      <c r="BX484" s="3453"/>
      <c r="BY484" s="2872"/>
      <c r="BZ484" s="3449"/>
      <c r="CA484" s="3449"/>
      <c r="CB484" s="3449"/>
      <c r="CC484" s="3452" t="str">
        <f>CD483&amp;"-"&amp;CF483</f>
        <v>44896-45174</v>
      </c>
      <c r="CD484" s="3453"/>
      <c r="CE484" s="2872"/>
      <c r="CF484" s="3453"/>
      <c r="CG484" s="2872"/>
      <c r="CH484" s="3449"/>
      <c r="CI484" s="3449"/>
      <c r="CJ484" s="3449"/>
      <c r="CK484" s="3452" t="str">
        <f>CL483&amp;"-"&amp;CN483</f>
        <v>45175-45291</v>
      </c>
      <c r="CL484" s="3453"/>
      <c r="CM484" s="2872"/>
      <c r="CN484" s="3453"/>
      <c r="CO484" s="2872"/>
      <c r="CP484" s="3449"/>
      <c r="CQ484" s="3747"/>
      <c r="CR484" s="3581"/>
      <c r="CS484" s="3728"/>
      <c r="CT484" s="3728" t="str">
        <f>IF(T484="","",T484)</f>
        <v/>
      </c>
      <c r="CU484" s="3728"/>
      <c r="CV484" s="3728"/>
    </row>
    <row s="10007" customFormat="1" customHeight="1" ht="15">
      <c r="A485" s="3716"/>
      <c r="B485" s="3716"/>
      <c r="C485" s="3716"/>
      <c r="D485" s="3716"/>
      <c r="E485" s="3717"/>
      <c r="F485" s="3717" t="s">
        <v>139</v>
      </c>
      <c r="G485" s="3717"/>
      <c r="H485" s="3717"/>
      <c r="I485" s="3739"/>
      <c r="J485" s="3730"/>
      <c r="K485" s="3716"/>
      <c r="L485" s="3719"/>
      <c r="M485" s="3573"/>
      <c r="N485" s="3573"/>
      <c r="O485" s="3731"/>
      <c r="P485" s="3732"/>
      <c r="Q485" s="3732"/>
      <c r="R485" s="3733"/>
      <c r="S485" s="10008"/>
      <c r="T485" s="10009" t="s">
        <v>626</v>
      </c>
      <c r="U485" s="10010"/>
      <c r="V485" s="10011"/>
      <c r="W485" s="10012"/>
      <c r="X485" s="10013"/>
      <c r="Y485" s="10014"/>
      <c r="Z485" s="10015"/>
      <c r="AA485" s="10016"/>
      <c r="AB485" s="10017"/>
      <c r="AC485" s="10018"/>
      <c r="AD485" s="10019"/>
      <c r="AE485" s="10020"/>
      <c r="AF485" s="10021"/>
      <c r="AG485" s="10022"/>
      <c r="AH485" s="10023"/>
      <c r="AI485" s="10024"/>
      <c r="AJ485" s="10025"/>
      <c r="AK485" s="10026"/>
      <c r="AL485" s="10027"/>
      <c r="AM485" s="10028"/>
      <c r="AN485" s="10029"/>
      <c r="AO485" s="10030"/>
      <c r="AP485" s="10031"/>
      <c r="AQ485" s="10032"/>
      <c r="AR485" s="10033"/>
      <c r="AS485" s="10034"/>
      <c r="AT485" s="10035"/>
      <c r="AU485" s="10036"/>
      <c r="AV485" s="10037"/>
      <c r="AW485" s="10038"/>
      <c r="AX485" s="10039"/>
      <c r="AY485" s="10040"/>
      <c r="AZ485" s="10041"/>
      <c r="BA485" s="10042"/>
      <c r="BB485" s="10043"/>
      <c r="BC485" s="10044"/>
      <c r="BD485" s="10045"/>
      <c r="BE485" s="10046"/>
      <c r="BF485" s="10047"/>
      <c r="BG485" s="10048"/>
      <c r="BH485" s="10049"/>
      <c r="BI485" s="10050"/>
      <c r="BJ485" s="10051"/>
      <c r="BK485" s="10052"/>
      <c r="BL485" s="10053"/>
      <c r="BM485" s="10054"/>
      <c r="BN485" s="10055"/>
      <c r="BO485" s="10056"/>
      <c r="BP485" s="10057"/>
      <c r="BQ485" s="10058"/>
      <c r="BR485" s="10059"/>
      <c r="BS485" s="10060"/>
      <c r="BT485" s="10061"/>
      <c r="BU485" s="10062"/>
      <c r="BV485" s="10063"/>
      <c r="BW485" s="10064"/>
      <c r="BX485" s="10065"/>
      <c r="BY485" s="10066"/>
      <c r="BZ485" s="10067"/>
      <c r="CA485" s="10068"/>
      <c r="CB485" s="10069"/>
      <c r="CC485" s="10070"/>
      <c r="CD485" s="10071"/>
      <c r="CE485" s="10072"/>
      <c r="CF485" s="10073"/>
      <c r="CG485" s="10074"/>
      <c r="CH485" s="10075"/>
      <c r="CI485" s="10076"/>
      <c r="CJ485" s="10077"/>
      <c r="CK485" s="10078"/>
      <c r="CL485" s="10079"/>
      <c r="CM485" s="10080"/>
      <c r="CN485" s="10081"/>
      <c r="CO485" s="10082"/>
      <c r="CP485" s="10083"/>
      <c r="CQ485" s="3825"/>
      <c r="CR485" s="3581"/>
      <c r="CS485" s="3728"/>
      <c r="CT485" s="3728" t="str">
        <f>IF(T485="","",T485)</f>
        <v>Добавить вид теплоносителя (параметры теплоносителя)</v>
      </c>
      <c r="CU485" s="3728"/>
      <c r="CV485" s="3728"/>
    </row>
    <row s="10084" customFormat="1" customHeight="1" ht="15">
      <c r="A486" s="3716"/>
      <c r="B486" s="3716"/>
      <c r="C486" s="3716"/>
      <c r="D486" s="3716"/>
      <c r="E486" s="3717"/>
      <c r="F486" s="3717" t="s">
        <v>139</v>
      </c>
      <c r="G486" s="3717"/>
      <c r="H486" s="3717"/>
      <c r="I486" s="3730"/>
      <c r="J486" s="3716"/>
      <c r="K486" s="3716"/>
      <c r="L486" s="3719"/>
      <c r="M486" s="3573"/>
      <c r="N486" s="3731"/>
      <c r="O486" s="3731"/>
      <c r="P486" s="3732"/>
      <c r="Q486" s="3732"/>
      <c r="R486" s="3733"/>
      <c r="S486" s="10085"/>
      <c r="T486" s="10086" t="s">
        <v>627</v>
      </c>
      <c r="U486" s="10087"/>
      <c r="V486" s="10088"/>
      <c r="W486" s="10089"/>
      <c r="X486" s="10090"/>
      <c r="Y486" s="10091"/>
      <c r="Z486" s="10092"/>
      <c r="AA486" s="10093"/>
      <c r="AB486" s="10094"/>
      <c r="AC486" s="10095"/>
      <c r="AD486" s="10096"/>
      <c r="AE486" s="10097"/>
      <c r="AF486" s="10098"/>
      <c r="AG486" s="10099"/>
      <c r="AH486" s="10100"/>
      <c r="AI486" s="10101"/>
      <c r="AJ486" s="10102"/>
      <c r="AK486" s="10103"/>
      <c r="AL486" s="10104"/>
      <c r="AM486" s="10105"/>
      <c r="AN486" s="10106"/>
      <c r="AO486" s="10107"/>
      <c r="AP486" s="10108"/>
      <c r="AQ486" s="10109"/>
      <c r="AR486" s="10110"/>
      <c r="AS486" s="10111"/>
      <c r="AT486" s="10112"/>
      <c r="AU486" s="10113"/>
      <c r="AV486" s="10114"/>
      <c r="AW486" s="10115"/>
      <c r="AX486" s="10116"/>
      <c r="AY486" s="10117"/>
      <c r="AZ486" s="10118"/>
      <c r="BA486" s="10119"/>
      <c r="BB486" s="10120"/>
      <c r="BC486" s="10121"/>
      <c r="BD486" s="10122"/>
      <c r="BE486" s="10123"/>
      <c r="BF486" s="10124"/>
      <c r="BG486" s="10125"/>
      <c r="BH486" s="10126"/>
      <c r="BI486" s="10127"/>
      <c r="BJ486" s="10128"/>
      <c r="BK486" s="10129"/>
      <c r="BL486" s="10130"/>
      <c r="BM486" s="10131"/>
      <c r="BN486" s="10132"/>
      <c r="BO486" s="10133"/>
      <c r="BP486" s="10134"/>
      <c r="BQ486" s="10135"/>
      <c r="BR486" s="10136"/>
      <c r="BS486" s="10137"/>
      <c r="BT486" s="10138"/>
      <c r="BU486" s="10139"/>
      <c r="BV486" s="10140"/>
      <c r="BW486" s="10141"/>
      <c r="BX486" s="10142"/>
      <c r="BY486" s="10143"/>
      <c r="BZ486" s="10144"/>
      <c r="CA486" s="10145"/>
      <c r="CB486" s="10146"/>
      <c r="CC486" s="10147"/>
      <c r="CD486" s="10148"/>
      <c r="CE486" s="10149"/>
      <c r="CF486" s="10150"/>
      <c r="CG486" s="10151"/>
      <c r="CH486" s="10152"/>
      <c r="CI486" s="10153"/>
      <c r="CJ486" s="10154"/>
      <c r="CK486" s="10155"/>
      <c r="CL486" s="10156"/>
      <c r="CM486" s="10157"/>
      <c r="CN486" s="10158"/>
      <c r="CO486" s="10159"/>
      <c r="CP486" s="10160"/>
      <c r="CQ486" s="10161"/>
      <c r="CR486" s="3581"/>
      <c r="CS486" s="3728"/>
      <c r="CT486" s="3728" t="str">
        <f>IF(T486="","",T486)</f>
        <v>Добавить группу потребителей</v>
      </c>
      <c r="CU486" s="3728"/>
      <c r="CV486" s="3728"/>
    </row>
    <row s="10162" customFormat="1" customHeight="1" ht="14.25">
      <c r="A487" s="3716"/>
      <c r="B487" s="3716"/>
      <c r="C487" s="3716"/>
      <c r="D487" s="3716"/>
      <c r="E487" s="3717"/>
      <c r="F487" s="3717" t="s">
        <v>139</v>
      </c>
      <c r="G487" s="3717"/>
      <c r="H487" s="3718"/>
      <c r="I487" s="3716"/>
      <c r="J487" s="3716"/>
      <c r="K487" s="3716"/>
      <c r="L487" s="3719"/>
      <c r="M487" s="3720"/>
      <c r="N487" s="3720"/>
      <c r="O487" s="3573"/>
      <c r="P487" s="3905"/>
      <c r="Q487" s="3906"/>
      <c r="R487" s="3907"/>
      <c r="S487" s="3908"/>
      <c r="T487" s="3909"/>
      <c r="U487" s="3569"/>
      <c r="V487" s="3569"/>
      <c r="W487" s="3569"/>
      <c r="X487" s="3569"/>
      <c r="Y487" s="3569"/>
      <c r="Z487" s="3569"/>
      <c r="AA487" s="3569"/>
      <c r="AB487" s="3569"/>
      <c r="AC487" s="3569"/>
      <c r="AD487" s="3569"/>
      <c r="AE487" s="3569"/>
      <c r="AF487" s="3569"/>
      <c r="AG487" s="3569"/>
      <c r="AH487" s="3569"/>
      <c r="AI487" s="3569"/>
      <c r="AJ487" s="3569"/>
      <c r="AK487" s="3569"/>
      <c r="AL487" s="3569"/>
      <c r="AM487" s="3569"/>
      <c r="AN487" s="3569"/>
      <c r="AO487" s="3569"/>
      <c r="AP487" s="3569"/>
      <c r="AQ487" s="3569"/>
      <c r="AR487" s="3569"/>
      <c r="AS487" s="3569"/>
      <c r="AT487" s="3569"/>
      <c r="AU487" s="3569"/>
      <c r="AV487" s="3569"/>
      <c r="AW487" s="3569"/>
      <c r="AX487" s="3569"/>
      <c r="AY487" s="3569"/>
      <c r="AZ487" s="3569"/>
      <c r="BA487" s="3569"/>
      <c r="BB487" s="3569"/>
      <c r="BC487" s="3569"/>
      <c r="BD487" s="3569"/>
      <c r="BE487" s="3569"/>
      <c r="BF487" s="3569"/>
      <c r="BG487" s="3569"/>
      <c r="BH487" s="3569"/>
      <c r="BI487" s="3569"/>
      <c r="BJ487" s="3569"/>
      <c r="BK487" s="3569"/>
      <c r="BL487" s="3569"/>
      <c r="BM487" s="3569"/>
      <c r="BN487" s="3569"/>
      <c r="BO487" s="3569"/>
      <c r="BP487" s="3569"/>
      <c r="BQ487" s="3569"/>
      <c r="BR487" s="3569"/>
      <c r="BS487" s="3569"/>
      <c r="BT487" s="3569"/>
      <c r="BU487" s="3569"/>
      <c r="BV487" s="3569"/>
      <c r="BW487" s="3569"/>
      <c r="BX487" s="3569"/>
      <c r="BY487" s="3569"/>
      <c r="BZ487" s="3569"/>
      <c r="CA487" s="3569"/>
      <c r="CB487" s="3569"/>
      <c r="CC487" s="3569"/>
      <c r="CD487" s="3569"/>
      <c r="CE487" s="3569"/>
      <c r="CF487" s="3569"/>
      <c r="CG487" s="3569"/>
      <c r="CH487" s="3569"/>
      <c r="CI487" s="3569"/>
      <c r="CJ487" s="3569"/>
      <c r="CK487" s="3569"/>
      <c r="CL487" s="3569"/>
      <c r="CM487" s="3569"/>
      <c r="CN487" s="3569"/>
      <c r="CO487" s="3569"/>
      <c r="CP487" s="3569"/>
      <c r="CQ487" s="3910"/>
      <c r="CR487" s="3581"/>
      <c r="CS487" s="3728"/>
      <c r="CT487" s="3728" t="str">
        <f>IF(T487="","",T487)</f>
        <v/>
      </c>
      <c r="CU487" s="3728"/>
      <c r="CV487" s="3728"/>
    </row>
    <row s="10163" customFormat="1" customHeight="1" ht="21">
      <c r="A488" s="3716"/>
      <c r="B488" s="3716"/>
      <c r="C488" s="3716"/>
      <c r="D488" s="3716" t="s">
        <v>368</v>
      </c>
      <c r="E488" s="3717"/>
      <c r="F488" s="3717"/>
      <c r="G488" s="3717"/>
      <c r="H488" s="3718" t="s">
        <v>104</v>
      </c>
      <c r="I488" s="3716"/>
      <c r="J488" s="3716"/>
      <c r="K488" s="3716"/>
      <c r="L488" s="3719"/>
      <c r="M488" s="3720"/>
      <c r="N488" s="3720"/>
      <c r="O488" s="3720"/>
      <c r="P488" s="3721"/>
      <c r="Q488" s="3722"/>
      <c r="R488" s="3723"/>
      <c r="S488" s="3724" t="str">
        <f>INDEX(PT_DIFFERENTIATION_NUM_IST_TE,MATCH(D488,PT_DIFFERENTIATION_IST_TE_ID,0))</f>
        <v>2.11.1.2</v>
      </c>
      <c r="T488" s="3725" t="s">
        <v>616</v>
      </c>
      <c r="U488" s="3726"/>
      <c r="V488" s="3432"/>
      <c r="W488" s="3433"/>
      <c r="X488" s="3433"/>
      <c r="Y488" s="3433"/>
      <c r="Z488" s="3433"/>
      <c r="AA488" s="3433"/>
      <c r="AB488" s="3433"/>
      <c r="AC488" s="3434"/>
      <c r="AD488" s="3432" t="str">
        <f>INDEX(PT_DIFFERENTIATION_IST_TE,MATCH(D488,PT_DIFFERENTIATION_IST_TE_ID,0))</f>
        <v>город Заполярный</v>
      </c>
      <c r="AE488" s="3433"/>
      <c r="AF488" s="3433"/>
      <c r="AG488" s="3433"/>
      <c r="AH488" s="3433"/>
      <c r="AI488" s="3433"/>
      <c r="AJ488" s="3433"/>
      <c r="AK488" s="3433"/>
      <c r="AL488" s="3432"/>
      <c r="AM488" s="3433"/>
      <c r="AN488" s="3433"/>
      <c r="AO488" s="3433"/>
      <c r="AP488" s="3433"/>
      <c r="AQ488" s="3433"/>
      <c r="AR488" s="3433"/>
      <c r="AS488" s="3434"/>
      <c r="AT488" s="3432"/>
      <c r="AU488" s="3433"/>
      <c r="AV488" s="3433"/>
      <c r="AW488" s="3433"/>
      <c r="AX488" s="3433"/>
      <c r="AY488" s="3433"/>
      <c r="AZ488" s="3433"/>
      <c r="BA488" s="3434"/>
      <c r="BB488" s="3432"/>
      <c r="BC488" s="3433"/>
      <c r="BD488" s="3433"/>
      <c r="BE488" s="3433"/>
      <c r="BF488" s="3433"/>
      <c r="BG488" s="3433"/>
      <c r="BH488" s="3433"/>
      <c r="BI488" s="3434"/>
      <c r="BJ488" s="3432"/>
      <c r="BK488" s="3433"/>
      <c r="BL488" s="3433"/>
      <c r="BM488" s="3433"/>
      <c r="BN488" s="3433"/>
      <c r="BO488" s="3433"/>
      <c r="BP488" s="3433"/>
      <c r="BQ488" s="3434"/>
      <c r="BR488" s="3432"/>
      <c r="BS488" s="3433"/>
      <c r="BT488" s="3433"/>
      <c r="BU488" s="3433"/>
      <c r="BV488" s="3433"/>
      <c r="BW488" s="3433"/>
      <c r="BX488" s="3433"/>
      <c r="BY488" s="3434"/>
      <c r="BZ488" s="3432"/>
      <c r="CA488" s="3433"/>
      <c r="CB488" s="3433"/>
      <c r="CC488" s="3433"/>
      <c r="CD488" s="3433"/>
      <c r="CE488" s="3433"/>
      <c r="CF488" s="3433"/>
      <c r="CG488" s="3434"/>
      <c r="CH488" s="3432"/>
      <c r="CI488" s="3433"/>
      <c r="CJ488" s="3433"/>
      <c r="CK488" s="3433"/>
      <c r="CL488" s="3433"/>
      <c r="CM488" s="3433"/>
      <c r="CN488" s="3433"/>
      <c r="CO488" s="3434"/>
      <c r="CP488" s="3434"/>
      <c r="CQ488" s="3727" t="s">
        <v>617</v>
      </c>
      <c r="CR488" s="3581"/>
      <c r="CS488" s="3728"/>
      <c r="CT488" s="3728" t="str">
        <f>IF(T488="","",T488)</f>
        <v>Источник тепловой энергии  </v>
      </c>
      <c r="CU488" s="3728"/>
      <c r="CV488" s="3728"/>
    </row>
    <row s="10164" customFormat="1" customHeight="1" ht="14.25">
      <c r="A489" s="3716"/>
      <c r="B489" s="3716"/>
      <c r="C489" s="3716"/>
      <c r="D489" s="3716"/>
      <c r="E489" s="3717"/>
      <c r="F489" s="3717"/>
      <c r="G489" s="3717"/>
      <c r="H489" s="3717">
        <v>1</v>
      </c>
      <c r="I489" s="3730" t="str">
        <f>S488&amp;".1"</f>
        <v>2.11.1.2.1</v>
      </c>
      <c r="J489" s="3716"/>
      <c r="K489" s="3716"/>
      <c r="L489" s="3719" t="s">
        <v>618</v>
      </c>
      <c r="M489" s="3573"/>
      <c r="N489" s="3731"/>
      <c r="O489" s="3731"/>
      <c r="P489" s="3732">
        <v>1</v>
      </c>
      <c r="Q489" s="3732"/>
      <c r="R489" s="3733"/>
      <c r="S489" s="3734"/>
      <c r="T489" s="3735"/>
      <c r="U489" s="3736"/>
      <c r="V489" s="3441"/>
      <c r="W489" s="3442"/>
      <c r="X489" s="3442"/>
      <c r="Y489" s="3442"/>
      <c r="Z489" s="3442"/>
      <c r="AA489" s="3442"/>
      <c r="AB489" s="3442"/>
      <c r="AC489" s="3443"/>
      <c r="AD489" s="3441"/>
      <c r="AE489" s="3442"/>
      <c r="AF489" s="3442"/>
      <c r="AG489" s="3442"/>
      <c r="AH489" s="3442"/>
      <c r="AI489" s="3442"/>
      <c r="AJ489" s="3442"/>
      <c r="AK489" s="3442"/>
      <c r="AL489" s="3441"/>
      <c r="AM489" s="3442"/>
      <c r="AN489" s="3442"/>
      <c r="AO489" s="3442"/>
      <c r="AP489" s="3442"/>
      <c r="AQ489" s="3442"/>
      <c r="AR489" s="3442"/>
      <c r="AS489" s="3443"/>
      <c r="AT489" s="3441"/>
      <c r="AU489" s="3442"/>
      <c r="AV489" s="3442"/>
      <c r="AW489" s="3442"/>
      <c r="AX489" s="3442"/>
      <c r="AY489" s="3442"/>
      <c r="AZ489" s="3442"/>
      <c r="BA489" s="3443"/>
      <c r="BB489" s="3441"/>
      <c r="BC489" s="3442"/>
      <c r="BD489" s="3442"/>
      <c r="BE489" s="3442"/>
      <c r="BF489" s="3442"/>
      <c r="BG489" s="3442"/>
      <c r="BH489" s="3442"/>
      <c r="BI489" s="3443"/>
      <c r="BJ489" s="3441"/>
      <c r="BK489" s="3442"/>
      <c r="BL489" s="3442"/>
      <c r="BM489" s="3442"/>
      <c r="BN489" s="3442"/>
      <c r="BO489" s="3442"/>
      <c r="BP489" s="3442"/>
      <c r="BQ489" s="3443"/>
      <c r="BR489" s="3441"/>
      <c r="BS489" s="3442"/>
      <c r="BT489" s="3442"/>
      <c r="BU489" s="3442"/>
      <c r="BV489" s="3442"/>
      <c r="BW489" s="3442"/>
      <c r="BX489" s="3442"/>
      <c r="BY489" s="3443"/>
      <c r="BZ489" s="3441"/>
      <c r="CA489" s="3442"/>
      <c r="CB489" s="3442"/>
      <c r="CC489" s="3442"/>
      <c r="CD489" s="3442"/>
      <c r="CE489" s="3442"/>
      <c r="CF489" s="3442"/>
      <c r="CG489" s="3443"/>
      <c r="CH489" s="3441"/>
      <c r="CI489" s="3442"/>
      <c r="CJ489" s="3442"/>
      <c r="CK489" s="3442"/>
      <c r="CL489" s="3442"/>
      <c r="CM489" s="3442"/>
      <c r="CN489" s="3442"/>
      <c r="CO489" s="3443"/>
      <c r="CP489" s="3443"/>
      <c r="CQ489" s="3737"/>
      <c r="CR489" s="3581"/>
      <c r="CS489" s="3728"/>
      <c r="CT489" s="3728" t="str">
        <f>IF(T489="","",T489)</f>
        <v/>
      </c>
      <c r="CU489" s="3728"/>
      <c r="CV489" s="3728"/>
    </row>
    <row s="10165" customFormat="1" customHeight="1" ht="21">
      <c r="A490" s="3716"/>
      <c r="B490" s="3716"/>
      <c r="C490" s="3716"/>
      <c r="D490" s="3716"/>
      <c r="E490" s="3717"/>
      <c r="F490" s="3717"/>
      <c r="G490" s="3717"/>
      <c r="H490" s="3717">
        <v>1</v>
      </c>
      <c r="I490" s="3739"/>
      <c r="J490" s="3730" t="str">
        <f>I489&amp;".1"</f>
        <v>2.11.1.2.1.1</v>
      </c>
      <c r="K490" s="3716"/>
      <c r="L490" s="3719" t="s">
        <v>621</v>
      </c>
      <c r="M490" s="3573"/>
      <c r="N490" s="3573"/>
      <c r="O490" s="3731"/>
      <c r="P490" s="3732"/>
      <c r="Q490" s="3732">
        <v>1</v>
      </c>
      <c r="R490" s="3740"/>
      <c r="S490" s="3724" t="str">
        <f>$J490</f>
        <v>2.11.1.2.1.1</v>
      </c>
      <c r="T490" s="3741" t="s">
        <v>622</v>
      </c>
      <c r="U490" s="3726"/>
      <c r="V490" s="3445"/>
      <c r="W490" s="3446"/>
      <c r="X490" s="3446"/>
      <c r="Y490" s="3446"/>
      <c r="Z490" s="3446"/>
      <c r="AA490" s="3446"/>
      <c r="AB490" s="3446"/>
      <c r="AC490" s="3447"/>
      <c r="AD490" s="3445" t="s">
        <v>665</v>
      </c>
      <c r="AE490" s="3446"/>
      <c r="AF490" s="3446"/>
      <c r="AG490" s="3446"/>
      <c r="AH490" s="3446"/>
      <c r="AI490" s="3446"/>
      <c r="AJ490" s="3446"/>
      <c r="AK490" s="3446"/>
      <c r="AL490" s="3445"/>
      <c r="AM490" s="3446"/>
      <c r="AN490" s="3446"/>
      <c r="AO490" s="3446"/>
      <c r="AP490" s="3446"/>
      <c r="AQ490" s="3446"/>
      <c r="AR490" s="3446"/>
      <c r="AS490" s="3447"/>
      <c r="AT490" s="3445"/>
      <c r="AU490" s="3446"/>
      <c r="AV490" s="3446"/>
      <c r="AW490" s="3446"/>
      <c r="AX490" s="3446"/>
      <c r="AY490" s="3446"/>
      <c r="AZ490" s="3446"/>
      <c r="BA490" s="3447"/>
      <c r="BB490" s="3445"/>
      <c r="BC490" s="3446"/>
      <c r="BD490" s="3446"/>
      <c r="BE490" s="3446"/>
      <c r="BF490" s="3446"/>
      <c r="BG490" s="3446"/>
      <c r="BH490" s="3446"/>
      <c r="BI490" s="3447"/>
      <c r="BJ490" s="3445"/>
      <c r="BK490" s="3446"/>
      <c r="BL490" s="3446"/>
      <c r="BM490" s="3446"/>
      <c r="BN490" s="3446"/>
      <c r="BO490" s="3446"/>
      <c r="BP490" s="3446"/>
      <c r="BQ490" s="3447"/>
      <c r="BR490" s="3445"/>
      <c r="BS490" s="3446"/>
      <c r="BT490" s="3446"/>
      <c r="BU490" s="3446"/>
      <c r="BV490" s="3446"/>
      <c r="BW490" s="3446"/>
      <c r="BX490" s="3446"/>
      <c r="BY490" s="3447"/>
      <c r="BZ490" s="3445"/>
      <c r="CA490" s="3446"/>
      <c r="CB490" s="3446"/>
      <c r="CC490" s="3446"/>
      <c r="CD490" s="3446"/>
      <c r="CE490" s="3446"/>
      <c r="CF490" s="3446"/>
      <c r="CG490" s="3447"/>
      <c r="CH490" s="3445"/>
      <c r="CI490" s="3446"/>
      <c r="CJ490" s="3446"/>
      <c r="CK490" s="3446"/>
      <c r="CL490" s="3446"/>
      <c r="CM490" s="3446"/>
      <c r="CN490" s="3446"/>
      <c r="CO490" s="3447"/>
      <c r="CP490" s="3447"/>
      <c r="CQ490" s="3727" t="s">
        <v>623</v>
      </c>
      <c r="CR490" s="3581"/>
      <c r="CS490" s="3728"/>
      <c r="CT490" s="3728" t="str">
        <f>IF(T490="","",T490)</f>
        <v>Группа потребителей</v>
      </c>
      <c r="CU490" s="3728"/>
      <c r="CV490" s="3728"/>
    </row>
    <row s="10166" customFormat="1" customHeight="1" ht="21">
      <c r="A491" s="3716"/>
      <c r="B491" s="3716"/>
      <c r="C491" s="3716"/>
      <c r="D491" s="3716"/>
      <c r="E491" s="3717"/>
      <c r="F491" s="3717"/>
      <c r="G491" s="3717"/>
      <c r="H491" s="3717">
        <v>1</v>
      </c>
      <c r="I491" s="3739"/>
      <c r="J491" s="3739"/>
      <c r="K491" s="3730" t="str">
        <f>J490&amp;".1"</f>
        <v>2.11.1.2.1.1.1</v>
      </c>
      <c r="L491" s="3719" t="s">
        <v>624</v>
      </c>
      <c r="M491" s="3573"/>
      <c r="N491" s="3573"/>
      <c r="O491" s="3573"/>
      <c r="P491" s="3732"/>
      <c r="Q491" s="3732"/>
      <c r="R491" s="3740">
        <v>1</v>
      </c>
      <c r="S491" s="3724" t="str">
        <f>$K491</f>
        <v>2.11.1.2.1.1.1</v>
      </c>
      <c r="T491" s="3743" t="s">
        <v>663</v>
      </c>
      <c r="U491" s="3726"/>
      <c r="V491" s="3448"/>
      <c r="W491" s="3449"/>
      <c r="X491" s="3448"/>
      <c r="Y491" s="3450"/>
      <c r="Z491" s="3451"/>
      <c r="AA491" s="2872" t="s">
        <v>63</v>
      </c>
      <c r="AB491" s="3451"/>
      <c r="AC491" s="2872" t="s">
        <v>63</v>
      </c>
      <c r="AD491" s="3448">
        <v>7.61</v>
      </c>
      <c r="AE491" s="3449"/>
      <c r="AF491" s="3448"/>
      <c r="AG491" s="3450"/>
      <c r="AH491" s="3451">
        <v>44197</v>
      </c>
      <c r="AI491" s="2872" t="s">
        <v>63</v>
      </c>
      <c r="AJ491" s="3451">
        <v>44377</v>
      </c>
      <c r="AK491" s="2872" t="s">
        <v>63</v>
      </c>
      <c r="AL491" s="3448">
        <v>8.17</v>
      </c>
      <c r="AM491" s="3449"/>
      <c r="AN491" s="3448"/>
      <c r="AO491" s="3450"/>
      <c r="AP491" s="3451">
        <v>44378</v>
      </c>
      <c r="AQ491" s="2872" t="s">
        <v>63</v>
      </c>
      <c r="AR491" s="3451">
        <v>44561</v>
      </c>
      <c r="AS491" s="2872" t="s">
        <v>63</v>
      </c>
      <c r="AT491" s="3448">
        <v>8.17</v>
      </c>
      <c r="AU491" s="3449"/>
      <c r="AV491" s="3448"/>
      <c r="AW491" s="3450"/>
      <c r="AX491" s="3451">
        <v>44562</v>
      </c>
      <c r="AY491" s="2872" t="s">
        <v>63</v>
      </c>
      <c r="AZ491" s="3451">
        <v>44601</v>
      </c>
      <c r="BA491" s="2872" t="s">
        <v>63</v>
      </c>
      <c r="BB491" s="3448">
        <v>8.17</v>
      </c>
      <c r="BC491" s="3449"/>
      <c r="BD491" s="3448"/>
      <c r="BE491" s="3450"/>
      <c r="BF491" s="3451">
        <v>44602</v>
      </c>
      <c r="BG491" s="2872" t="s">
        <v>63</v>
      </c>
      <c r="BH491" s="3451">
        <v>44742</v>
      </c>
      <c r="BI491" s="2872" t="s">
        <v>63</v>
      </c>
      <c r="BJ491" s="3448">
        <v>8.32</v>
      </c>
      <c r="BK491" s="3449"/>
      <c r="BL491" s="3448"/>
      <c r="BM491" s="3450"/>
      <c r="BN491" s="3451">
        <v>44743</v>
      </c>
      <c r="BO491" s="2872" t="s">
        <v>63</v>
      </c>
      <c r="BP491" s="3451">
        <v>44804</v>
      </c>
      <c r="BQ491" s="2872" t="s">
        <v>63</v>
      </c>
      <c r="BR491" s="3448">
        <v>8.32</v>
      </c>
      <c r="BS491" s="3449"/>
      <c r="BT491" s="3448"/>
      <c r="BU491" s="3450"/>
      <c r="BV491" s="3451">
        <v>44805</v>
      </c>
      <c r="BW491" s="2872" t="s">
        <v>63</v>
      </c>
      <c r="BX491" s="3451">
        <v>44895</v>
      </c>
      <c r="BY491" s="2872" t="s">
        <v>63</v>
      </c>
      <c r="BZ491" s="3448">
        <v>8.83</v>
      </c>
      <c r="CA491" s="3449"/>
      <c r="CB491" s="3448"/>
      <c r="CC491" s="3450"/>
      <c r="CD491" s="3451">
        <v>44896</v>
      </c>
      <c r="CE491" s="2872" t="s">
        <v>63</v>
      </c>
      <c r="CF491" s="3451">
        <v>45174</v>
      </c>
      <c r="CG491" s="2872" t="s">
        <v>63</v>
      </c>
      <c r="CH491" s="3448">
        <v>8.83</v>
      </c>
      <c r="CI491" s="3449"/>
      <c r="CJ491" s="3448"/>
      <c r="CK491" s="3450"/>
      <c r="CL491" s="3451">
        <v>45175</v>
      </c>
      <c r="CM491" s="2872" t="s">
        <v>63</v>
      </c>
      <c r="CN491" s="3451">
        <v>45291</v>
      </c>
      <c r="CO491" s="2872" t="s">
        <v>63</v>
      </c>
      <c r="CP491" s="3449"/>
      <c r="CQ491" s="3744" t="s">
        <v>625</v>
      </c>
      <c r="CR491" s="3581">
        <f>STRCHECKDATE(V492:CP492)</f>
      </c>
      <c r="CS491" s="3728"/>
      <c r="CT491" s="3728" t="str">
        <f>IF(T491="","",T491)</f>
        <v>вода</v>
      </c>
      <c r="CU491" s="3728"/>
      <c r="CV491" s="3728"/>
    </row>
    <row s="10167" customFormat="1" customHeight="1" ht="0.75">
      <c r="A492" s="3716"/>
      <c r="B492" s="3716"/>
      <c r="C492" s="3716"/>
      <c r="D492" s="3716"/>
      <c r="E492" s="3717"/>
      <c r="F492" s="3717"/>
      <c r="G492" s="3717"/>
      <c r="H492" s="3717">
        <v>1</v>
      </c>
      <c r="I492" s="3739"/>
      <c r="J492" s="3739"/>
      <c r="K492" s="3730"/>
      <c r="L492" s="3719"/>
      <c r="M492" s="3573"/>
      <c r="N492" s="3573"/>
      <c r="O492" s="3573"/>
      <c r="P492" s="3732"/>
      <c r="Q492" s="3732"/>
      <c r="R492" s="3740"/>
      <c r="S492" s="3746"/>
      <c r="T492" s="3726"/>
      <c r="U492" s="3726"/>
      <c r="V492" s="3449"/>
      <c r="W492" s="3449"/>
      <c r="X492" s="3449"/>
      <c r="Y492" s="3452" t="str">
        <f>Z491&amp;"-"&amp;AB491</f>
        <v>-</v>
      </c>
      <c r="Z492" s="3453"/>
      <c r="AA492" s="2872"/>
      <c r="AB492" s="3453"/>
      <c r="AC492" s="2872"/>
      <c r="AD492" s="3449"/>
      <c r="AE492" s="3449"/>
      <c r="AF492" s="3449"/>
      <c r="AG492" s="3452" t="str">
        <f>AH491&amp;"-"&amp;AJ491</f>
        <v>44197-44377</v>
      </c>
      <c r="AH492" s="3453"/>
      <c r="AI492" s="2872"/>
      <c r="AJ492" s="3453"/>
      <c r="AK492" s="2872"/>
      <c r="AL492" s="3449"/>
      <c r="AM492" s="3449"/>
      <c r="AN492" s="3449"/>
      <c r="AO492" s="3452" t="str">
        <f>AP491&amp;"-"&amp;AR491</f>
        <v>44378-44561</v>
      </c>
      <c r="AP492" s="3453"/>
      <c r="AQ492" s="2872"/>
      <c r="AR492" s="3453"/>
      <c r="AS492" s="2872"/>
      <c r="AT492" s="3449"/>
      <c r="AU492" s="3449"/>
      <c r="AV492" s="3449"/>
      <c r="AW492" s="3452" t="str">
        <f>AX491&amp;"-"&amp;AZ491</f>
        <v>44562-44601</v>
      </c>
      <c r="AX492" s="3453"/>
      <c r="AY492" s="2872"/>
      <c r="AZ492" s="3453"/>
      <c r="BA492" s="2872"/>
      <c r="BB492" s="3449"/>
      <c r="BC492" s="3449"/>
      <c r="BD492" s="3449"/>
      <c r="BE492" s="3452" t="str">
        <f>BF491&amp;"-"&amp;BH491</f>
        <v>44602-44742</v>
      </c>
      <c r="BF492" s="3453"/>
      <c r="BG492" s="2872"/>
      <c r="BH492" s="3453"/>
      <c r="BI492" s="2872"/>
      <c r="BJ492" s="3449"/>
      <c r="BK492" s="3449"/>
      <c r="BL492" s="3449"/>
      <c r="BM492" s="3452" t="str">
        <f>BN491&amp;"-"&amp;BP491</f>
        <v>44743-44804</v>
      </c>
      <c r="BN492" s="3453"/>
      <c r="BO492" s="2872"/>
      <c r="BP492" s="3453"/>
      <c r="BQ492" s="2872"/>
      <c r="BR492" s="3449"/>
      <c r="BS492" s="3449"/>
      <c r="BT492" s="3449"/>
      <c r="BU492" s="3452" t="str">
        <f>BV491&amp;"-"&amp;BX491</f>
        <v>44805-44895</v>
      </c>
      <c r="BV492" s="3453"/>
      <c r="BW492" s="2872"/>
      <c r="BX492" s="3453"/>
      <c r="BY492" s="2872"/>
      <c r="BZ492" s="3449"/>
      <c r="CA492" s="3449"/>
      <c r="CB492" s="3449"/>
      <c r="CC492" s="3452" t="str">
        <f>CD491&amp;"-"&amp;CF491</f>
        <v>44896-45174</v>
      </c>
      <c r="CD492" s="3453"/>
      <c r="CE492" s="2872"/>
      <c r="CF492" s="3453"/>
      <c r="CG492" s="2872"/>
      <c r="CH492" s="3449"/>
      <c r="CI492" s="3449"/>
      <c r="CJ492" s="3449"/>
      <c r="CK492" s="3452" t="str">
        <f>CL491&amp;"-"&amp;CN491</f>
        <v>45175-45291</v>
      </c>
      <c r="CL492" s="3453"/>
      <c r="CM492" s="2872"/>
      <c r="CN492" s="3453"/>
      <c r="CO492" s="2872"/>
      <c r="CP492" s="3449"/>
      <c r="CQ492" s="3747"/>
      <c r="CR492" s="3581"/>
      <c r="CS492" s="3728"/>
      <c r="CT492" s="3728" t="str">
        <f>IF(T492="","",T492)</f>
        <v/>
      </c>
      <c r="CU492" s="3728"/>
      <c r="CV492" s="3728"/>
    </row>
    <row s="10168" customFormat="1" customHeight="1" ht="15">
      <c r="A493" s="3716"/>
      <c r="B493" s="3716"/>
      <c r="C493" s="3716"/>
      <c r="D493" s="3716"/>
      <c r="E493" s="3717"/>
      <c r="F493" s="3717"/>
      <c r="G493" s="3717"/>
      <c r="H493" s="3717">
        <v>1</v>
      </c>
      <c r="I493" s="3739"/>
      <c r="J493" s="3730"/>
      <c r="K493" s="3716"/>
      <c r="L493" s="3719"/>
      <c r="M493" s="3573"/>
      <c r="N493" s="3573"/>
      <c r="O493" s="3731"/>
      <c r="P493" s="3732"/>
      <c r="Q493" s="3732"/>
      <c r="R493" s="3733"/>
      <c r="S493" s="10169"/>
      <c r="T493" s="10170" t="s">
        <v>626</v>
      </c>
      <c r="U493" s="10171"/>
      <c r="V493" s="10172"/>
      <c r="W493" s="10173"/>
      <c r="X493" s="10174"/>
      <c r="Y493" s="10175"/>
      <c r="Z493" s="10176"/>
      <c r="AA493" s="10177"/>
      <c r="AB493" s="10178"/>
      <c r="AC493" s="10179"/>
      <c r="AD493" s="10180"/>
      <c r="AE493" s="10181"/>
      <c r="AF493" s="10182"/>
      <c r="AG493" s="10183"/>
      <c r="AH493" s="10184"/>
      <c r="AI493" s="10185"/>
      <c r="AJ493" s="10186"/>
      <c r="AK493" s="10187"/>
      <c r="AL493" s="10188"/>
      <c r="AM493" s="10189"/>
      <c r="AN493" s="10190"/>
      <c r="AO493" s="10191"/>
      <c r="AP493" s="10192"/>
      <c r="AQ493" s="10193"/>
      <c r="AR493" s="10194"/>
      <c r="AS493" s="10195"/>
      <c r="AT493" s="10196"/>
      <c r="AU493" s="10197"/>
      <c r="AV493" s="10198"/>
      <c r="AW493" s="10199"/>
      <c r="AX493" s="10200"/>
      <c r="AY493" s="10201"/>
      <c r="AZ493" s="10202"/>
      <c r="BA493" s="10203"/>
      <c r="BB493" s="10204"/>
      <c r="BC493" s="10205"/>
      <c r="BD493" s="10206"/>
      <c r="BE493" s="10207"/>
      <c r="BF493" s="10208"/>
      <c r="BG493" s="10209"/>
      <c r="BH493" s="10210"/>
      <c r="BI493" s="10211"/>
      <c r="BJ493" s="10212"/>
      <c r="BK493" s="10213"/>
      <c r="BL493" s="10214"/>
      <c r="BM493" s="10215"/>
      <c r="BN493" s="10216"/>
      <c r="BO493" s="10217"/>
      <c r="BP493" s="10218"/>
      <c r="BQ493" s="10219"/>
      <c r="BR493" s="10220"/>
      <c r="BS493" s="10221"/>
      <c r="BT493" s="10222"/>
      <c r="BU493" s="10223"/>
      <c r="BV493" s="10224"/>
      <c r="BW493" s="10225"/>
      <c r="BX493" s="10226"/>
      <c r="BY493" s="10227"/>
      <c r="BZ493" s="10228"/>
      <c r="CA493" s="10229"/>
      <c r="CB493" s="10230"/>
      <c r="CC493" s="10231"/>
      <c r="CD493" s="10232"/>
      <c r="CE493" s="10233"/>
      <c r="CF493" s="10234"/>
      <c r="CG493" s="10235"/>
      <c r="CH493" s="10236"/>
      <c r="CI493" s="10237"/>
      <c r="CJ493" s="10238"/>
      <c r="CK493" s="10239"/>
      <c r="CL493" s="10240"/>
      <c r="CM493" s="10241"/>
      <c r="CN493" s="10242"/>
      <c r="CO493" s="10243"/>
      <c r="CP493" s="10244"/>
      <c r="CQ493" s="3825"/>
      <c r="CR493" s="3581"/>
      <c r="CS493" s="3728"/>
      <c r="CT493" s="3728" t="str">
        <f>IF(T493="","",T493)</f>
        <v>Добавить вид теплоносителя (параметры теплоносителя)</v>
      </c>
      <c r="CU493" s="3728"/>
      <c r="CV493" s="3728"/>
    </row>
    <row s="10245" customFormat="1" customHeight="1" ht="15">
      <c r="A494" s="3716"/>
      <c r="B494" s="3716"/>
      <c r="C494" s="3716"/>
      <c r="D494" s="3716"/>
      <c r="E494" s="3717"/>
      <c r="F494" s="3717"/>
      <c r="G494" s="3717"/>
      <c r="H494" s="3717">
        <v>1</v>
      </c>
      <c r="I494" s="3730"/>
      <c r="J494" s="3716"/>
      <c r="K494" s="3716"/>
      <c r="L494" s="3719"/>
      <c r="M494" s="3573"/>
      <c r="N494" s="3731"/>
      <c r="O494" s="3731"/>
      <c r="P494" s="3732"/>
      <c r="Q494" s="3732"/>
      <c r="R494" s="3733"/>
      <c r="S494" s="10246"/>
      <c r="T494" s="10247" t="s">
        <v>627</v>
      </c>
      <c r="U494" s="10248"/>
      <c r="V494" s="10249"/>
      <c r="W494" s="10250"/>
      <c r="X494" s="10251"/>
      <c r="Y494" s="10252"/>
      <c r="Z494" s="10253"/>
      <c r="AA494" s="10254"/>
      <c r="AB494" s="10255"/>
      <c r="AC494" s="10256"/>
      <c r="AD494" s="10257"/>
      <c r="AE494" s="10258"/>
      <c r="AF494" s="10259"/>
      <c r="AG494" s="10260"/>
      <c r="AH494" s="10261"/>
      <c r="AI494" s="10262"/>
      <c r="AJ494" s="10263"/>
      <c r="AK494" s="10264"/>
      <c r="AL494" s="10265"/>
      <c r="AM494" s="10266"/>
      <c r="AN494" s="10267"/>
      <c r="AO494" s="10268"/>
      <c r="AP494" s="10269"/>
      <c r="AQ494" s="10270"/>
      <c r="AR494" s="10271"/>
      <c r="AS494" s="10272"/>
      <c r="AT494" s="10273"/>
      <c r="AU494" s="10274"/>
      <c r="AV494" s="10275"/>
      <c r="AW494" s="10276"/>
      <c r="AX494" s="10277"/>
      <c r="AY494" s="10278"/>
      <c r="AZ494" s="10279"/>
      <c r="BA494" s="10280"/>
      <c r="BB494" s="10281"/>
      <c r="BC494" s="10282"/>
      <c r="BD494" s="10283"/>
      <c r="BE494" s="10284"/>
      <c r="BF494" s="10285"/>
      <c r="BG494" s="10286"/>
      <c r="BH494" s="10287"/>
      <c r="BI494" s="10288"/>
      <c r="BJ494" s="10289"/>
      <c r="BK494" s="10290"/>
      <c r="BL494" s="10291"/>
      <c r="BM494" s="10292"/>
      <c r="BN494" s="10293"/>
      <c r="BO494" s="10294"/>
      <c r="BP494" s="10295"/>
      <c r="BQ494" s="10296"/>
      <c r="BR494" s="10297"/>
      <c r="BS494" s="10298"/>
      <c r="BT494" s="10299"/>
      <c r="BU494" s="10300"/>
      <c r="BV494" s="10301"/>
      <c r="BW494" s="10302"/>
      <c r="BX494" s="10303"/>
      <c r="BY494" s="10304"/>
      <c r="BZ494" s="10305"/>
      <c r="CA494" s="10306"/>
      <c r="CB494" s="10307"/>
      <c r="CC494" s="10308"/>
      <c r="CD494" s="10309"/>
      <c r="CE494" s="10310"/>
      <c r="CF494" s="10311"/>
      <c r="CG494" s="10312"/>
      <c r="CH494" s="10313"/>
      <c r="CI494" s="10314"/>
      <c r="CJ494" s="10315"/>
      <c r="CK494" s="10316"/>
      <c r="CL494" s="10317"/>
      <c r="CM494" s="10318"/>
      <c r="CN494" s="10319"/>
      <c r="CO494" s="10320"/>
      <c r="CP494" s="10321"/>
      <c r="CQ494" s="10322"/>
      <c r="CR494" s="3581"/>
      <c r="CS494" s="3728"/>
      <c r="CT494" s="3728" t="str">
        <f>IF(T494="","",T494)</f>
        <v>Добавить группу потребителей</v>
      </c>
      <c r="CU494" s="3728"/>
      <c r="CV494" s="3728"/>
    </row>
    <row s="10323" customFormat="1" customHeight="1" ht="14.25">
      <c r="A495" s="3716"/>
      <c r="B495" s="3716"/>
      <c r="C495" s="3716"/>
      <c r="D495" s="3716"/>
      <c r="E495" s="3717"/>
      <c r="F495" s="3717"/>
      <c r="G495" s="3717"/>
      <c r="H495" s="3718">
        <v>1</v>
      </c>
      <c r="I495" s="3716"/>
      <c r="J495" s="3716"/>
      <c r="K495" s="3716"/>
      <c r="L495" s="3719"/>
      <c r="M495" s="3720"/>
      <c r="N495" s="3720"/>
      <c r="O495" s="3573"/>
      <c r="P495" s="3905"/>
      <c r="Q495" s="3906"/>
      <c r="R495" s="3907"/>
      <c r="S495" s="3908"/>
      <c r="T495" s="3909"/>
      <c r="U495" s="3569"/>
      <c r="V495" s="3569"/>
      <c r="W495" s="3569"/>
      <c r="X495" s="3569"/>
      <c r="Y495" s="3569"/>
      <c r="Z495" s="3569"/>
      <c r="AA495" s="3569"/>
      <c r="AB495" s="3569"/>
      <c r="AC495" s="3569"/>
      <c r="AD495" s="3569"/>
      <c r="AE495" s="3569"/>
      <c r="AF495" s="3569"/>
      <c r="AG495" s="3569"/>
      <c r="AH495" s="3569"/>
      <c r="AI495" s="3569"/>
      <c r="AJ495" s="3569"/>
      <c r="AK495" s="3569"/>
      <c r="AL495" s="3569"/>
      <c r="AM495" s="3569"/>
      <c r="AN495" s="3569"/>
      <c r="AO495" s="3569"/>
      <c r="AP495" s="3569"/>
      <c r="AQ495" s="3569"/>
      <c r="AR495" s="3569"/>
      <c r="AS495" s="3569"/>
      <c r="AT495" s="3569"/>
      <c r="AU495" s="3569"/>
      <c r="AV495" s="3569"/>
      <c r="AW495" s="3569"/>
      <c r="AX495" s="3569"/>
      <c r="AY495" s="3569"/>
      <c r="AZ495" s="3569"/>
      <c r="BA495" s="3569"/>
      <c r="BB495" s="3569"/>
      <c r="BC495" s="3569"/>
      <c r="BD495" s="3569"/>
      <c r="BE495" s="3569"/>
      <c r="BF495" s="3569"/>
      <c r="BG495" s="3569"/>
      <c r="BH495" s="3569"/>
      <c r="BI495" s="3569"/>
      <c r="BJ495" s="3569"/>
      <c r="BK495" s="3569"/>
      <c r="BL495" s="3569"/>
      <c r="BM495" s="3569"/>
      <c r="BN495" s="3569"/>
      <c r="BO495" s="3569"/>
      <c r="BP495" s="3569"/>
      <c r="BQ495" s="3569"/>
      <c r="BR495" s="3569"/>
      <c r="BS495" s="3569"/>
      <c r="BT495" s="3569"/>
      <c r="BU495" s="3569"/>
      <c r="BV495" s="3569"/>
      <c r="BW495" s="3569"/>
      <c r="BX495" s="3569"/>
      <c r="BY495" s="3569"/>
      <c r="BZ495" s="3569"/>
      <c r="CA495" s="3569"/>
      <c r="CB495" s="3569"/>
      <c r="CC495" s="3569"/>
      <c r="CD495" s="3569"/>
      <c r="CE495" s="3569"/>
      <c r="CF495" s="3569"/>
      <c r="CG495" s="3569"/>
      <c r="CH495" s="3569"/>
      <c r="CI495" s="3569"/>
      <c r="CJ495" s="3569"/>
      <c r="CK495" s="3569"/>
      <c r="CL495" s="3569"/>
      <c r="CM495" s="3569"/>
      <c r="CN495" s="3569"/>
      <c r="CO495" s="3569"/>
      <c r="CP495" s="3569"/>
      <c r="CQ495" s="3910"/>
      <c r="CR495" s="3581"/>
      <c r="CS495" s="3728"/>
      <c r="CT495" s="3728" t="str">
        <f>IF(T495="","",T495)</f>
        <v/>
      </c>
      <c r="CU495" s="3728"/>
      <c r="CV495" s="3728"/>
    </row>
    <row s="10324" customFormat="1" customHeight="1" ht="0.75">
      <c r="A496" s="4239"/>
      <c r="B496" s="4239"/>
      <c r="C496" s="4239"/>
      <c r="D496" s="4239"/>
      <c r="E496" s="3717"/>
      <c r="F496" s="3717" t="s">
        <v>139</v>
      </c>
      <c r="G496" s="3718"/>
      <c r="H496" s="4239"/>
      <c r="I496" s="4239"/>
      <c r="J496" s="4239"/>
      <c r="K496" s="4239"/>
      <c r="L496" s="4240"/>
      <c r="M496" s="4241"/>
      <c r="N496" s="4241"/>
      <c r="O496" s="3581"/>
      <c r="P496" s="4242"/>
      <c r="Q496" s="4243"/>
      <c r="R496" s="4242"/>
      <c r="S496" s="4244"/>
      <c r="T496" s="4245" t="s">
        <v>254</v>
      </c>
      <c r="U496" s="3571"/>
      <c r="V496" s="3571"/>
      <c r="W496" s="3571"/>
      <c r="X496" s="3571"/>
      <c r="Y496" s="3571"/>
      <c r="Z496" s="3571"/>
      <c r="AA496" s="3571"/>
      <c r="AB496" s="3571"/>
      <c r="AC496" s="3571"/>
      <c r="AD496" s="3571"/>
      <c r="AE496" s="3571"/>
      <c r="AF496" s="3571"/>
      <c r="AG496" s="3571"/>
      <c r="AH496" s="3571"/>
      <c r="AI496" s="3571"/>
      <c r="AJ496" s="3571"/>
      <c r="AK496" s="3571"/>
      <c r="AL496" s="3571"/>
      <c r="AM496" s="3571"/>
      <c r="AN496" s="3571"/>
      <c r="AO496" s="3571"/>
      <c r="AP496" s="3571"/>
      <c r="AQ496" s="3571"/>
      <c r="AR496" s="3571"/>
      <c r="AS496" s="3571"/>
      <c r="AT496" s="3571"/>
      <c r="AU496" s="3571"/>
      <c r="AV496" s="3571"/>
      <c r="AW496" s="3571"/>
      <c r="AX496" s="3571"/>
      <c r="AY496" s="3571"/>
      <c r="AZ496" s="3571"/>
      <c r="BA496" s="3571"/>
      <c r="BB496" s="3571"/>
      <c r="BC496" s="3571"/>
      <c r="BD496" s="3571"/>
      <c r="BE496" s="3571"/>
      <c r="BF496" s="3571"/>
      <c r="BG496" s="3571"/>
      <c r="BH496" s="3571"/>
      <c r="BI496" s="3571"/>
      <c r="BJ496" s="3571"/>
      <c r="BK496" s="3571"/>
      <c r="BL496" s="3571"/>
      <c r="BM496" s="3571"/>
      <c r="BN496" s="3571"/>
      <c r="BO496" s="3571"/>
      <c r="BP496" s="3571"/>
      <c r="BQ496" s="3571"/>
      <c r="BR496" s="3571"/>
      <c r="BS496" s="3571"/>
      <c r="BT496" s="3571"/>
      <c r="BU496" s="3571"/>
      <c r="BV496" s="3571"/>
      <c r="BW496" s="3571"/>
      <c r="BX496" s="3571"/>
      <c r="BY496" s="3571"/>
      <c r="BZ496" s="3571"/>
      <c r="CA496" s="3571"/>
      <c r="CB496" s="3571"/>
      <c r="CC496" s="3571"/>
      <c r="CD496" s="3571"/>
      <c r="CE496" s="3571"/>
      <c r="CF496" s="3571"/>
      <c r="CG496" s="3571"/>
      <c r="CH496" s="3571"/>
      <c r="CI496" s="3571"/>
      <c r="CJ496" s="3571"/>
      <c r="CK496" s="3571"/>
      <c r="CL496" s="3571"/>
      <c r="CM496" s="3571"/>
      <c r="CN496" s="3571"/>
      <c r="CO496" s="3571"/>
      <c r="CP496" s="3571"/>
      <c r="CQ496" s="3571"/>
      <c r="CR496" s="3581"/>
      <c r="CS496" s="3728"/>
      <c r="CT496" s="3728" t="str">
        <f>IF(T496="","",T496)</f>
        <v>Добавить источник для дифференциации</v>
      </c>
      <c r="CU496" s="3728"/>
      <c r="CV496" s="3728"/>
    </row>
    <row s="10325" customFormat="1" customHeight="1" ht="0.75">
      <c r="A497" s="4239"/>
      <c r="B497" s="4239"/>
      <c r="C497" s="4239"/>
      <c r="D497" s="4239"/>
      <c r="E497" s="3717"/>
      <c r="F497" s="3718" t="s">
        <v>139</v>
      </c>
      <c r="G497" s="4239"/>
      <c r="H497" s="4239"/>
      <c r="I497" s="4239"/>
      <c r="J497" s="4239"/>
      <c r="K497" s="4239"/>
      <c r="L497" s="4240"/>
      <c r="M497" s="4247"/>
      <c r="N497" s="4247"/>
      <c r="O497" s="3581"/>
      <c r="P497" s="4242"/>
      <c r="Q497" s="4243"/>
      <c r="R497" s="4242"/>
      <c r="S497" s="4248"/>
      <c r="T497" s="4249" t="s">
        <v>255</v>
      </c>
      <c r="U497" s="3572"/>
      <c r="V497" s="3572"/>
      <c r="W497" s="3572"/>
      <c r="X497" s="3572"/>
      <c r="Y497" s="3572"/>
      <c r="Z497" s="3572"/>
      <c r="AA497" s="3572"/>
      <c r="AB497" s="3572"/>
      <c r="AC497" s="3572"/>
      <c r="AD497" s="3572"/>
      <c r="AE497" s="3572"/>
      <c r="AF497" s="3572"/>
      <c r="AG497" s="3572"/>
      <c r="AH497" s="3572"/>
      <c r="AI497" s="3572"/>
      <c r="AJ497" s="3572"/>
      <c r="AK497" s="3572"/>
      <c r="AL497" s="3572"/>
      <c r="AM497" s="3572"/>
      <c r="AN497" s="3572"/>
      <c r="AO497" s="3572"/>
      <c r="AP497" s="3572"/>
      <c r="AQ497" s="3572"/>
      <c r="AR497" s="3572"/>
      <c r="AS497" s="3572"/>
      <c r="AT497" s="3572"/>
      <c r="AU497" s="3572"/>
      <c r="AV497" s="3572"/>
      <c r="AW497" s="3572"/>
      <c r="AX497" s="3572"/>
      <c r="AY497" s="3572"/>
      <c r="AZ497" s="3572"/>
      <c r="BA497" s="3572"/>
      <c r="BB497" s="3572"/>
      <c r="BC497" s="3572"/>
      <c r="BD497" s="3572"/>
      <c r="BE497" s="3572"/>
      <c r="BF497" s="3572"/>
      <c r="BG497" s="3572"/>
      <c r="BH497" s="3572"/>
      <c r="BI497" s="3572"/>
      <c r="BJ497" s="3572"/>
      <c r="BK497" s="3572"/>
      <c r="BL497" s="3572"/>
      <c r="BM497" s="3572"/>
      <c r="BN497" s="3572"/>
      <c r="BO497" s="3572"/>
      <c r="BP497" s="3572"/>
      <c r="BQ497" s="3572"/>
      <c r="BR497" s="3572"/>
      <c r="BS497" s="3572"/>
      <c r="BT497" s="3572"/>
      <c r="BU497" s="3572"/>
      <c r="BV497" s="3572"/>
      <c r="BW497" s="3572"/>
      <c r="BX497" s="3572"/>
      <c r="BY497" s="3572"/>
      <c r="BZ497" s="3572"/>
      <c r="CA497" s="3572"/>
      <c r="CB497" s="3572"/>
      <c r="CC497" s="3572"/>
      <c r="CD497" s="3572"/>
      <c r="CE497" s="3572"/>
      <c r="CF497" s="3572"/>
      <c r="CG497" s="3572"/>
      <c r="CH497" s="3572"/>
      <c r="CI497" s="3572"/>
      <c r="CJ497" s="3572"/>
      <c r="CK497" s="3572"/>
      <c r="CL497" s="3572"/>
      <c r="CM497" s="3572"/>
      <c r="CN497" s="3572"/>
      <c r="CO497" s="3572"/>
      <c r="CP497" s="3572"/>
      <c r="CQ497" s="3572"/>
      <c r="CR497" s="3581"/>
      <c r="CS497" s="3728"/>
      <c r="CT497" s="3728" t="str">
        <f>IF(T497="","",T497)</f>
        <v>Добавить централизованную систему для дифференциации</v>
      </c>
      <c r="CU497" s="3728"/>
      <c r="CV497" s="3728"/>
    </row>
    <row s="10326" customFormat="1" customHeight="1" ht="21">
      <c r="A498" s="3716"/>
      <c r="B498" s="3716" t="s">
        <v>369</v>
      </c>
      <c r="C498" s="3716"/>
      <c r="D498" s="3716"/>
      <c r="E498" s="3717"/>
      <c r="F498" s="3718" t="s">
        <v>148</v>
      </c>
      <c r="G498" s="3716"/>
      <c r="H498" s="3716"/>
      <c r="I498" s="3716"/>
      <c r="J498" s="3716"/>
      <c r="K498" s="3716"/>
      <c r="L498" s="3719"/>
      <c r="M498" s="3720"/>
      <c r="N498" s="3720"/>
      <c r="O498" s="3720"/>
      <c r="P498" s="4073"/>
      <c r="Q498" s="3722"/>
      <c r="R498" s="3723"/>
      <c r="S498" s="3724" t="str">
        <f>INDEX(PT_DIFFERENTIATION_NUM_TER,MATCH(B498,PT_DIFFERENTIATION_TER_ID,0))</f>
        <v>2.12</v>
      </c>
      <c r="T498" s="4074" t="s">
        <v>612</v>
      </c>
      <c r="U498" s="3726"/>
      <c r="V498" s="3432"/>
      <c r="W498" s="3433"/>
      <c r="X498" s="3433"/>
      <c r="Y498" s="3433"/>
      <c r="Z498" s="3433"/>
      <c r="AA498" s="3433"/>
      <c r="AB498" s="3433"/>
      <c r="AC498" s="3434"/>
      <c r="AD498" s="3432" t="str">
        <f>INDEX(PT_DIFFERENTIATION_TER,MATCH(B498,PT_DIFFERENTIATION_TER_ID,0))</f>
        <v>Территория 12</v>
      </c>
      <c r="AE498" s="3433"/>
      <c r="AF498" s="3433"/>
      <c r="AG498" s="3433"/>
      <c r="AH498" s="3433"/>
      <c r="AI498" s="3433"/>
      <c r="AJ498" s="3433"/>
      <c r="AK498" s="3433"/>
      <c r="AL498" s="3432"/>
      <c r="AM498" s="3433"/>
      <c r="AN498" s="3433"/>
      <c r="AO498" s="3433"/>
      <c r="AP498" s="3433"/>
      <c r="AQ498" s="3433"/>
      <c r="AR498" s="3433"/>
      <c r="AS498" s="3434"/>
      <c r="AT498" s="3432"/>
      <c r="AU498" s="3433"/>
      <c r="AV498" s="3433"/>
      <c r="AW498" s="3433"/>
      <c r="AX498" s="3433"/>
      <c r="AY498" s="3433"/>
      <c r="AZ498" s="3433"/>
      <c r="BA498" s="3434"/>
      <c r="BB498" s="3432"/>
      <c r="BC498" s="3433"/>
      <c r="BD498" s="3433"/>
      <c r="BE498" s="3433"/>
      <c r="BF498" s="3433"/>
      <c r="BG498" s="3433"/>
      <c r="BH498" s="3433"/>
      <c r="BI498" s="3434"/>
      <c r="BJ498" s="3432"/>
      <c r="BK498" s="3433"/>
      <c r="BL498" s="3433"/>
      <c r="BM498" s="3433"/>
      <c r="BN498" s="3433"/>
      <c r="BO498" s="3433"/>
      <c r="BP498" s="3433"/>
      <c r="BQ498" s="3434"/>
      <c r="BR498" s="3432"/>
      <c r="BS498" s="3433"/>
      <c r="BT498" s="3433"/>
      <c r="BU498" s="3433"/>
      <c r="BV498" s="3433"/>
      <c r="BW498" s="3433"/>
      <c r="BX498" s="3433"/>
      <c r="BY498" s="3434"/>
      <c r="BZ498" s="3432"/>
      <c r="CA498" s="3433"/>
      <c r="CB498" s="3433"/>
      <c r="CC498" s="3433"/>
      <c r="CD498" s="3433"/>
      <c r="CE498" s="3433"/>
      <c r="CF498" s="3433"/>
      <c r="CG498" s="3434"/>
      <c r="CH498" s="3432"/>
      <c r="CI498" s="3433"/>
      <c r="CJ498" s="3433"/>
      <c r="CK498" s="3433"/>
      <c r="CL498" s="3433"/>
      <c r="CM498" s="3433"/>
      <c r="CN498" s="3433"/>
      <c r="CO498" s="3434"/>
      <c r="CP498" s="3434"/>
      <c r="CQ498" s="3727" t="s">
        <v>613</v>
      </c>
      <c r="CR498" s="3581"/>
      <c r="CS498" s="3728"/>
      <c r="CT498" s="3728" t="str">
        <f>IF(T498="","",T498)</f>
        <v>Территория действия тарифа</v>
      </c>
      <c r="CU498" s="3728"/>
      <c r="CV498" s="3728"/>
    </row>
    <row s="10327" customFormat="1" customHeight="1" ht="23.25">
      <c r="A499" s="3716"/>
      <c r="B499" s="3716"/>
      <c r="C499" s="3716" t="s">
        <v>370</v>
      </c>
      <c r="D499" s="3716"/>
      <c r="E499" s="3717"/>
      <c r="F499" s="3717" t="s">
        <v>143</v>
      </c>
      <c r="G499" s="3718">
        <v>1</v>
      </c>
      <c r="H499" s="3716"/>
      <c r="I499" s="3716"/>
      <c r="J499" s="3716"/>
      <c r="K499" s="3716"/>
      <c r="L499" s="3719"/>
      <c r="M499" s="3720"/>
      <c r="N499" s="3720"/>
      <c r="O499" s="3720"/>
      <c r="P499" s="3721"/>
      <c r="Q499" s="3722"/>
      <c r="R499" s="3723"/>
      <c r="S499" s="3724" t="str">
        <f>INDEX(PT_DIFFERENTIATION_NUM_CS,MATCH(C499,PT_DIFFERENTIATION_CS_ID,0))</f>
        <v>2.12.1</v>
      </c>
      <c r="T499" s="4076" t="s">
        <v>614</v>
      </c>
      <c r="U499" s="3726"/>
      <c r="V499" s="3432"/>
      <c r="W499" s="3433"/>
      <c r="X499" s="3433"/>
      <c r="Y499" s="3433"/>
      <c r="Z499" s="3433"/>
      <c r="AA499" s="3433"/>
      <c r="AB499" s="3433"/>
      <c r="AC499" s="3434"/>
      <c r="AD499" s="3432" t="str">
        <f>INDEX(PT_DIFFERENTIATION_CS,MATCH(C499,PT_DIFFERENTIATION_CS_ID,0))</f>
        <v>без дифференциации</v>
      </c>
      <c r="AE499" s="3433"/>
      <c r="AF499" s="3433"/>
      <c r="AG499" s="3433"/>
      <c r="AH499" s="3433"/>
      <c r="AI499" s="3433"/>
      <c r="AJ499" s="3433"/>
      <c r="AK499" s="3433"/>
      <c r="AL499" s="3432"/>
      <c r="AM499" s="3433"/>
      <c r="AN499" s="3433"/>
      <c r="AO499" s="3433"/>
      <c r="AP499" s="3433"/>
      <c r="AQ499" s="3433"/>
      <c r="AR499" s="3433"/>
      <c r="AS499" s="3434"/>
      <c r="AT499" s="3432"/>
      <c r="AU499" s="3433"/>
      <c r="AV499" s="3433"/>
      <c r="AW499" s="3433"/>
      <c r="AX499" s="3433"/>
      <c r="AY499" s="3433"/>
      <c r="AZ499" s="3433"/>
      <c r="BA499" s="3434"/>
      <c r="BB499" s="3432"/>
      <c r="BC499" s="3433"/>
      <c r="BD499" s="3433"/>
      <c r="BE499" s="3433"/>
      <c r="BF499" s="3433"/>
      <c r="BG499" s="3433"/>
      <c r="BH499" s="3433"/>
      <c r="BI499" s="3434"/>
      <c r="BJ499" s="3432"/>
      <c r="BK499" s="3433"/>
      <c r="BL499" s="3433"/>
      <c r="BM499" s="3433"/>
      <c r="BN499" s="3433"/>
      <c r="BO499" s="3433"/>
      <c r="BP499" s="3433"/>
      <c r="BQ499" s="3434"/>
      <c r="BR499" s="3432"/>
      <c r="BS499" s="3433"/>
      <c r="BT499" s="3433"/>
      <c r="BU499" s="3433"/>
      <c r="BV499" s="3433"/>
      <c r="BW499" s="3433"/>
      <c r="BX499" s="3433"/>
      <c r="BY499" s="3434"/>
      <c r="BZ499" s="3432"/>
      <c r="CA499" s="3433"/>
      <c r="CB499" s="3433"/>
      <c r="CC499" s="3433"/>
      <c r="CD499" s="3433"/>
      <c r="CE499" s="3433"/>
      <c r="CF499" s="3433"/>
      <c r="CG499" s="3434"/>
      <c r="CH499" s="3432"/>
      <c r="CI499" s="3433"/>
      <c r="CJ499" s="3433"/>
      <c r="CK499" s="3433"/>
      <c r="CL499" s="3433"/>
      <c r="CM499" s="3433"/>
      <c r="CN499" s="3433"/>
      <c r="CO499" s="3434"/>
      <c r="CP499" s="3434"/>
      <c r="CQ499" s="3727" t="s">
        <v>615</v>
      </c>
      <c r="CR499" s="3581"/>
      <c r="CS499" s="3728"/>
      <c r="CT499" s="3728" t="str">
        <f>IF(T499="","",T499)</f>
        <v>Наименование системы теплоснабжения </v>
      </c>
      <c r="CU499" s="3728"/>
      <c r="CV499" s="3728"/>
    </row>
    <row s="10328" customFormat="1" customHeight="1" ht="21">
      <c r="A500" s="3716"/>
      <c r="B500" s="3716"/>
      <c r="C500" s="3716"/>
      <c r="D500" s="3716" t="s">
        <v>371</v>
      </c>
      <c r="E500" s="3717"/>
      <c r="F500" s="3717" t="s">
        <v>143</v>
      </c>
      <c r="G500" s="3717"/>
      <c r="H500" s="3718">
        <v>1</v>
      </c>
      <c r="I500" s="3716"/>
      <c r="J500" s="3716"/>
      <c r="K500" s="3716"/>
      <c r="L500" s="3719"/>
      <c r="M500" s="3720"/>
      <c r="N500" s="3720"/>
      <c r="O500" s="3720"/>
      <c r="P500" s="3721"/>
      <c r="Q500" s="3722"/>
      <c r="R500" s="3723"/>
      <c r="S500" s="3724" t="str">
        <f>INDEX(PT_DIFFERENTIATION_NUM_IST_TE,MATCH(D500,PT_DIFFERENTIATION_IST_TE_ID,0))</f>
        <v>2.12.1.1</v>
      </c>
      <c r="T500" s="3725" t="s">
        <v>616</v>
      </c>
      <c r="U500" s="3726"/>
      <c r="V500" s="3432"/>
      <c r="W500" s="3433"/>
      <c r="X500" s="3433"/>
      <c r="Y500" s="3433"/>
      <c r="Z500" s="3433"/>
      <c r="AA500" s="3433"/>
      <c r="AB500" s="3433"/>
      <c r="AC500" s="3434"/>
      <c r="AD500" s="3432" t="str">
        <f>INDEX(PT_DIFFERENTIATION_IST_TE,MATCH(D500,PT_DIFFERENTIATION_IST_TE_ID,0))</f>
        <v>без дифференциации</v>
      </c>
      <c r="AE500" s="3433"/>
      <c r="AF500" s="3433"/>
      <c r="AG500" s="3433"/>
      <c r="AH500" s="3433"/>
      <c r="AI500" s="3433"/>
      <c r="AJ500" s="3433"/>
      <c r="AK500" s="3433"/>
      <c r="AL500" s="3432"/>
      <c r="AM500" s="3433"/>
      <c r="AN500" s="3433"/>
      <c r="AO500" s="3433"/>
      <c r="AP500" s="3433"/>
      <c r="AQ500" s="3433"/>
      <c r="AR500" s="3433"/>
      <c r="AS500" s="3434"/>
      <c r="AT500" s="3432"/>
      <c r="AU500" s="3433"/>
      <c r="AV500" s="3433"/>
      <c r="AW500" s="3433"/>
      <c r="AX500" s="3433"/>
      <c r="AY500" s="3433"/>
      <c r="AZ500" s="3433"/>
      <c r="BA500" s="3434"/>
      <c r="BB500" s="3432"/>
      <c r="BC500" s="3433"/>
      <c r="BD500" s="3433"/>
      <c r="BE500" s="3433"/>
      <c r="BF500" s="3433"/>
      <c r="BG500" s="3433"/>
      <c r="BH500" s="3433"/>
      <c r="BI500" s="3434"/>
      <c r="BJ500" s="3432"/>
      <c r="BK500" s="3433"/>
      <c r="BL500" s="3433"/>
      <c r="BM500" s="3433"/>
      <c r="BN500" s="3433"/>
      <c r="BO500" s="3433"/>
      <c r="BP500" s="3433"/>
      <c r="BQ500" s="3434"/>
      <c r="BR500" s="3432"/>
      <c r="BS500" s="3433"/>
      <c r="BT500" s="3433"/>
      <c r="BU500" s="3433"/>
      <c r="BV500" s="3433"/>
      <c r="BW500" s="3433"/>
      <c r="BX500" s="3433"/>
      <c r="BY500" s="3434"/>
      <c r="BZ500" s="3432"/>
      <c r="CA500" s="3433"/>
      <c r="CB500" s="3433"/>
      <c r="CC500" s="3433"/>
      <c r="CD500" s="3433"/>
      <c r="CE500" s="3433"/>
      <c r="CF500" s="3433"/>
      <c r="CG500" s="3434"/>
      <c r="CH500" s="3432"/>
      <c r="CI500" s="3433"/>
      <c r="CJ500" s="3433"/>
      <c r="CK500" s="3433"/>
      <c r="CL500" s="3433"/>
      <c r="CM500" s="3433"/>
      <c r="CN500" s="3433"/>
      <c r="CO500" s="3434"/>
      <c r="CP500" s="3434"/>
      <c r="CQ500" s="3727" t="s">
        <v>617</v>
      </c>
      <c r="CR500" s="3581"/>
      <c r="CS500" s="3728"/>
      <c r="CT500" s="3728" t="str">
        <f>IF(T500="","",T500)</f>
        <v>Источник тепловой энергии  </v>
      </c>
      <c r="CU500" s="3728"/>
      <c r="CV500" s="3728"/>
    </row>
    <row s="10329" customFormat="1" customHeight="1" ht="14.25">
      <c r="A501" s="3716"/>
      <c r="B501" s="3716"/>
      <c r="C501" s="3716"/>
      <c r="D501" s="3716"/>
      <c r="E501" s="3717"/>
      <c r="F501" s="3717" t="s">
        <v>143</v>
      </c>
      <c r="G501" s="3717"/>
      <c r="H501" s="3717"/>
      <c r="I501" s="3730" t="str">
        <f>S500&amp;".1"</f>
        <v>2.12.1.1.1</v>
      </c>
      <c r="J501" s="3716"/>
      <c r="K501" s="3716"/>
      <c r="L501" s="3719" t="s">
        <v>618</v>
      </c>
      <c r="M501" s="3573"/>
      <c r="N501" s="3731"/>
      <c r="O501" s="3731"/>
      <c r="P501" s="3732">
        <v>1</v>
      </c>
      <c r="Q501" s="3732"/>
      <c r="R501" s="3733"/>
      <c r="S501" s="3734"/>
      <c r="T501" s="3735"/>
      <c r="U501" s="3736"/>
      <c r="V501" s="3441"/>
      <c r="W501" s="3442"/>
      <c r="X501" s="3442"/>
      <c r="Y501" s="3442"/>
      <c r="Z501" s="3442"/>
      <c r="AA501" s="3442"/>
      <c r="AB501" s="3442"/>
      <c r="AC501" s="3443"/>
      <c r="AD501" s="3441"/>
      <c r="AE501" s="3442"/>
      <c r="AF501" s="3442"/>
      <c r="AG501" s="3442"/>
      <c r="AH501" s="3442"/>
      <c r="AI501" s="3442"/>
      <c r="AJ501" s="3442"/>
      <c r="AK501" s="3442"/>
      <c r="AL501" s="3441"/>
      <c r="AM501" s="3442"/>
      <c r="AN501" s="3442"/>
      <c r="AO501" s="3442"/>
      <c r="AP501" s="3442"/>
      <c r="AQ501" s="3442"/>
      <c r="AR501" s="3442"/>
      <c r="AS501" s="3443"/>
      <c r="AT501" s="3441"/>
      <c r="AU501" s="3442"/>
      <c r="AV501" s="3442"/>
      <c r="AW501" s="3442"/>
      <c r="AX501" s="3442"/>
      <c r="AY501" s="3442"/>
      <c r="AZ501" s="3442"/>
      <c r="BA501" s="3443"/>
      <c r="BB501" s="3441"/>
      <c r="BC501" s="3442"/>
      <c r="BD501" s="3442"/>
      <c r="BE501" s="3442"/>
      <c r="BF501" s="3442"/>
      <c r="BG501" s="3442"/>
      <c r="BH501" s="3442"/>
      <c r="BI501" s="3443"/>
      <c r="BJ501" s="3441"/>
      <c r="BK501" s="3442"/>
      <c r="BL501" s="3442"/>
      <c r="BM501" s="3442"/>
      <c r="BN501" s="3442"/>
      <c r="BO501" s="3442"/>
      <c r="BP501" s="3442"/>
      <c r="BQ501" s="3443"/>
      <c r="BR501" s="3441"/>
      <c r="BS501" s="3442"/>
      <c r="BT501" s="3442"/>
      <c r="BU501" s="3442"/>
      <c r="BV501" s="3442"/>
      <c r="BW501" s="3442"/>
      <c r="BX501" s="3442"/>
      <c r="BY501" s="3443"/>
      <c r="BZ501" s="3441"/>
      <c r="CA501" s="3442"/>
      <c r="CB501" s="3442"/>
      <c r="CC501" s="3442"/>
      <c r="CD501" s="3442"/>
      <c r="CE501" s="3442"/>
      <c r="CF501" s="3442"/>
      <c r="CG501" s="3443"/>
      <c r="CH501" s="3441"/>
      <c r="CI501" s="3442"/>
      <c r="CJ501" s="3442"/>
      <c r="CK501" s="3442"/>
      <c r="CL501" s="3442"/>
      <c r="CM501" s="3442"/>
      <c r="CN501" s="3442"/>
      <c r="CO501" s="3443"/>
      <c r="CP501" s="3443"/>
      <c r="CQ501" s="3737"/>
      <c r="CR501" s="3581"/>
      <c r="CS501" s="3728"/>
      <c r="CT501" s="3728" t="str">
        <f>IF(T501="","",T501)</f>
        <v/>
      </c>
      <c r="CU501" s="3728"/>
      <c r="CV501" s="3728"/>
    </row>
    <row s="10330" customFormat="1" customHeight="1" ht="21">
      <c r="A502" s="3716"/>
      <c r="B502" s="3716"/>
      <c r="C502" s="3716"/>
      <c r="D502" s="3716"/>
      <c r="E502" s="3717"/>
      <c r="F502" s="3717" t="s">
        <v>143</v>
      </c>
      <c r="G502" s="3717"/>
      <c r="H502" s="3717"/>
      <c r="I502" s="3739"/>
      <c r="J502" s="3730" t="str">
        <f>I501&amp;".1"</f>
        <v>2.12.1.1.1.1</v>
      </c>
      <c r="K502" s="3716"/>
      <c r="L502" s="3719" t="s">
        <v>621</v>
      </c>
      <c r="M502" s="3573"/>
      <c r="N502" s="3573"/>
      <c r="O502" s="3731"/>
      <c r="P502" s="3732"/>
      <c r="Q502" s="3732">
        <v>1</v>
      </c>
      <c r="R502" s="3740"/>
      <c r="S502" s="3724" t="str">
        <f>$J502</f>
        <v>2.12.1.1.1.1</v>
      </c>
      <c r="T502" s="3741" t="s">
        <v>622</v>
      </c>
      <c r="U502" s="3726"/>
      <c r="V502" s="3445"/>
      <c r="W502" s="3446"/>
      <c r="X502" s="3446"/>
      <c r="Y502" s="3446"/>
      <c r="Z502" s="3446"/>
      <c r="AA502" s="3446"/>
      <c r="AB502" s="3446"/>
      <c r="AC502" s="3447"/>
      <c r="AD502" s="3445" t="s">
        <v>665</v>
      </c>
      <c r="AE502" s="3446"/>
      <c r="AF502" s="3446"/>
      <c r="AG502" s="3446"/>
      <c r="AH502" s="3446"/>
      <c r="AI502" s="3446"/>
      <c r="AJ502" s="3446"/>
      <c r="AK502" s="3446"/>
      <c r="AL502" s="3445"/>
      <c r="AM502" s="3446"/>
      <c r="AN502" s="3446"/>
      <c r="AO502" s="3446"/>
      <c r="AP502" s="3446"/>
      <c r="AQ502" s="3446"/>
      <c r="AR502" s="3446"/>
      <c r="AS502" s="3447"/>
      <c r="AT502" s="3445"/>
      <c r="AU502" s="3446"/>
      <c r="AV502" s="3446"/>
      <c r="AW502" s="3446"/>
      <c r="AX502" s="3446"/>
      <c r="AY502" s="3446"/>
      <c r="AZ502" s="3446"/>
      <c r="BA502" s="3447"/>
      <c r="BB502" s="3445"/>
      <c r="BC502" s="3446"/>
      <c r="BD502" s="3446"/>
      <c r="BE502" s="3446"/>
      <c r="BF502" s="3446"/>
      <c r="BG502" s="3446"/>
      <c r="BH502" s="3446"/>
      <c r="BI502" s="3447"/>
      <c r="BJ502" s="3445"/>
      <c r="BK502" s="3446"/>
      <c r="BL502" s="3446"/>
      <c r="BM502" s="3446"/>
      <c r="BN502" s="3446"/>
      <c r="BO502" s="3446"/>
      <c r="BP502" s="3446"/>
      <c r="BQ502" s="3447"/>
      <c r="BR502" s="3445"/>
      <c r="BS502" s="3446"/>
      <c r="BT502" s="3446"/>
      <c r="BU502" s="3446"/>
      <c r="BV502" s="3446"/>
      <c r="BW502" s="3446"/>
      <c r="BX502" s="3446"/>
      <c r="BY502" s="3447"/>
      <c r="BZ502" s="3445"/>
      <c r="CA502" s="3446"/>
      <c r="CB502" s="3446"/>
      <c r="CC502" s="3446"/>
      <c r="CD502" s="3446"/>
      <c r="CE502" s="3446"/>
      <c r="CF502" s="3446"/>
      <c r="CG502" s="3447"/>
      <c r="CH502" s="3445"/>
      <c r="CI502" s="3446"/>
      <c r="CJ502" s="3446"/>
      <c r="CK502" s="3446"/>
      <c r="CL502" s="3446"/>
      <c r="CM502" s="3446"/>
      <c r="CN502" s="3446"/>
      <c r="CO502" s="3447"/>
      <c r="CP502" s="3447"/>
      <c r="CQ502" s="3727" t="s">
        <v>623</v>
      </c>
      <c r="CR502" s="3581"/>
      <c r="CS502" s="3728"/>
      <c r="CT502" s="3728" t="str">
        <f>IF(T502="","",T502)</f>
        <v>Группа потребителей</v>
      </c>
      <c r="CU502" s="3728"/>
      <c r="CV502" s="3728"/>
    </row>
    <row s="10331" customFormat="1" customHeight="1" ht="21">
      <c r="A503" s="3716"/>
      <c r="B503" s="3716"/>
      <c r="C503" s="3716"/>
      <c r="D503" s="3716"/>
      <c r="E503" s="3717"/>
      <c r="F503" s="3717" t="s">
        <v>143</v>
      </c>
      <c r="G503" s="3717"/>
      <c r="H503" s="3717"/>
      <c r="I503" s="3739"/>
      <c r="J503" s="3739"/>
      <c r="K503" s="3730" t="str">
        <f>J502&amp;".1"</f>
        <v>2.12.1.1.1.1.1</v>
      </c>
      <c r="L503" s="3719" t="s">
        <v>624</v>
      </c>
      <c r="M503" s="3573"/>
      <c r="N503" s="3573"/>
      <c r="O503" s="3573"/>
      <c r="P503" s="3732"/>
      <c r="Q503" s="3732"/>
      <c r="R503" s="3740">
        <v>1</v>
      </c>
      <c r="S503" s="3724" t="str">
        <f>$K503</f>
        <v>2.12.1.1.1.1.1</v>
      </c>
      <c r="T503" s="3743" t="s">
        <v>663</v>
      </c>
      <c r="U503" s="3726"/>
      <c r="V503" s="3448"/>
      <c r="W503" s="3449"/>
      <c r="X503" s="3448"/>
      <c r="Y503" s="3450"/>
      <c r="Z503" s="3451"/>
      <c r="AA503" s="2872" t="s">
        <v>63</v>
      </c>
      <c r="AB503" s="3451"/>
      <c r="AC503" s="2872" t="s">
        <v>63</v>
      </c>
      <c r="AD503" s="3448">
        <v>20.18</v>
      </c>
      <c r="AE503" s="3449"/>
      <c r="AF503" s="3448"/>
      <c r="AG503" s="3450"/>
      <c r="AH503" s="3451">
        <v>44197</v>
      </c>
      <c r="AI503" s="2872" t="s">
        <v>63</v>
      </c>
      <c r="AJ503" s="3451">
        <v>44377</v>
      </c>
      <c r="AK503" s="2872" t="s">
        <v>63</v>
      </c>
      <c r="AL503" s="3448">
        <v>20.18</v>
      </c>
      <c r="AM503" s="3449"/>
      <c r="AN503" s="3448"/>
      <c r="AO503" s="3450"/>
      <c r="AP503" s="3451">
        <v>44378</v>
      </c>
      <c r="AQ503" s="2872" t="s">
        <v>63</v>
      </c>
      <c r="AR503" s="3451">
        <v>44561</v>
      </c>
      <c r="AS503" s="2872" t="s">
        <v>63</v>
      </c>
      <c r="AT503" s="3448">
        <v>20.18</v>
      </c>
      <c r="AU503" s="3449"/>
      <c r="AV503" s="3448"/>
      <c r="AW503" s="3450"/>
      <c r="AX503" s="3451">
        <v>44562</v>
      </c>
      <c r="AY503" s="2872" t="s">
        <v>63</v>
      </c>
      <c r="AZ503" s="3451">
        <v>44601</v>
      </c>
      <c r="BA503" s="2872" t="s">
        <v>63</v>
      </c>
      <c r="BB503" s="3448">
        <v>20.18</v>
      </c>
      <c r="BC503" s="3449"/>
      <c r="BD503" s="3448"/>
      <c r="BE503" s="3450"/>
      <c r="BF503" s="3451">
        <v>44602</v>
      </c>
      <c r="BG503" s="2872" t="s">
        <v>63</v>
      </c>
      <c r="BH503" s="3451">
        <v>44742</v>
      </c>
      <c r="BI503" s="2872" t="s">
        <v>63</v>
      </c>
      <c r="BJ503" s="3448">
        <v>22.4</v>
      </c>
      <c r="BK503" s="3449"/>
      <c r="BL503" s="3448"/>
      <c r="BM503" s="3450"/>
      <c r="BN503" s="3451">
        <v>44743</v>
      </c>
      <c r="BO503" s="2872" t="s">
        <v>63</v>
      </c>
      <c r="BP503" s="3451">
        <v>44804</v>
      </c>
      <c r="BQ503" s="2872" t="s">
        <v>63</v>
      </c>
      <c r="BR503" s="3448">
        <v>22.4</v>
      </c>
      <c r="BS503" s="3449"/>
      <c r="BT503" s="3448"/>
      <c r="BU503" s="3450"/>
      <c r="BV503" s="3451">
        <v>44805</v>
      </c>
      <c r="BW503" s="2872" t="s">
        <v>63</v>
      </c>
      <c r="BX503" s="3451">
        <v>44895</v>
      </c>
      <c r="BY503" s="2872" t="s">
        <v>63</v>
      </c>
      <c r="BZ503" s="3448">
        <v>24.42</v>
      </c>
      <c r="CA503" s="3449"/>
      <c r="CB503" s="3448"/>
      <c r="CC503" s="3450"/>
      <c r="CD503" s="3451">
        <v>44896</v>
      </c>
      <c r="CE503" s="2872" t="s">
        <v>63</v>
      </c>
      <c r="CF503" s="3451">
        <v>45174</v>
      </c>
      <c r="CG503" s="2872" t="s">
        <v>63</v>
      </c>
      <c r="CH503" s="3448">
        <v>24.42</v>
      </c>
      <c r="CI503" s="3449"/>
      <c r="CJ503" s="3448"/>
      <c r="CK503" s="3450"/>
      <c r="CL503" s="3451">
        <v>45175</v>
      </c>
      <c r="CM503" s="2872" t="s">
        <v>63</v>
      </c>
      <c r="CN503" s="3451">
        <v>45291</v>
      </c>
      <c r="CO503" s="2872" t="s">
        <v>63</v>
      </c>
      <c r="CP503" s="3449"/>
      <c r="CQ503" s="3744" t="s">
        <v>625</v>
      </c>
      <c r="CR503" s="3581">
        <f>STRCHECKDATE(V504:CP504)</f>
      </c>
      <c r="CS503" s="3728"/>
      <c r="CT503" s="3728" t="str">
        <f>IF(T503="","",T503)</f>
        <v>вода</v>
      </c>
      <c r="CU503" s="3728"/>
      <c r="CV503" s="3728"/>
    </row>
    <row s="10332" customFormat="1" customHeight="1" ht="0.75">
      <c r="A504" s="3716"/>
      <c r="B504" s="3716"/>
      <c r="C504" s="3716"/>
      <c r="D504" s="3716"/>
      <c r="E504" s="3717"/>
      <c r="F504" s="3717" t="s">
        <v>143</v>
      </c>
      <c r="G504" s="3717"/>
      <c r="H504" s="3717"/>
      <c r="I504" s="3739"/>
      <c r="J504" s="3739"/>
      <c r="K504" s="3730"/>
      <c r="L504" s="3719"/>
      <c r="M504" s="3573"/>
      <c r="N504" s="3573"/>
      <c r="O504" s="3573"/>
      <c r="P504" s="3732"/>
      <c r="Q504" s="3732"/>
      <c r="R504" s="3740"/>
      <c r="S504" s="3746"/>
      <c r="T504" s="3726"/>
      <c r="U504" s="3726"/>
      <c r="V504" s="3449"/>
      <c r="W504" s="3449"/>
      <c r="X504" s="3449"/>
      <c r="Y504" s="3452" t="str">
        <f>Z503&amp;"-"&amp;AB503</f>
        <v>-</v>
      </c>
      <c r="Z504" s="3453"/>
      <c r="AA504" s="2872"/>
      <c r="AB504" s="3453"/>
      <c r="AC504" s="2872"/>
      <c r="AD504" s="3449"/>
      <c r="AE504" s="3449"/>
      <c r="AF504" s="3449"/>
      <c r="AG504" s="3452" t="str">
        <f>AH503&amp;"-"&amp;AJ503</f>
        <v>44197-44377</v>
      </c>
      <c r="AH504" s="3453"/>
      <c r="AI504" s="2872"/>
      <c r="AJ504" s="3453"/>
      <c r="AK504" s="2872"/>
      <c r="AL504" s="3449"/>
      <c r="AM504" s="3449"/>
      <c r="AN504" s="3449"/>
      <c r="AO504" s="3452" t="str">
        <f>AP503&amp;"-"&amp;AR503</f>
        <v>44378-44561</v>
      </c>
      <c r="AP504" s="3453"/>
      <c r="AQ504" s="2872"/>
      <c r="AR504" s="3453"/>
      <c r="AS504" s="2872"/>
      <c r="AT504" s="3449"/>
      <c r="AU504" s="3449"/>
      <c r="AV504" s="3449"/>
      <c r="AW504" s="3452" t="str">
        <f>AX503&amp;"-"&amp;AZ503</f>
        <v>44562-44601</v>
      </c>
      <c r="AX504" s="3453"/>
      <c r="AY504" s="2872"/>
      <c r="AZ504" s="3453"/>
      <c r="BA504" s="2872"/>
      <c r="BB504" s="3449"/>
      <c r="BC504" s="3449"/>
      <c r="BD504" s="3449"/>
      <c r="BE504" s="3452" t="str">
        <f>BF503&amp;"-"&amp;BH503</f>
        <v>44602-44742</v>
      </c>
      <c r="BF504" s="3453"/>
      <c r="BG504" s="2872"/>
      <c r="BH504" s="3453"/>
      <c r="BI504" s="2872"/>
      <c r="BJ504" s="3449"/>
      <c r="BK504" s="3449"/>
      <c r="BL504" s="3449"/>
      <c r="BM504" s="3452" t="str">
        <f>BN503&amp;"-"&amp;BP503</f>
        <v>44743-44804</v>
      </c>
      <c r="BN504" s="3453"/>
      <c r="BO504" s="2872"/>
      <c r="BP504" s="3453"/>
      <c r="BQ504" s="2872"/>
      <c r="BR504" s="3449"/>
      <c r="BS504" s="3449"/>
      <c r="BT504" s="3449"/>
      <c r="BU504" s="3452" t="str">
        <f>BV503&amp;"-"&amp;BX503</f>
        <v>44805-44895</v>
      </c>
      <c r="BV504" s="3453"/>
      <c r="BW504" s="2872"/>
      <c r="BX504" s="3453"/>
      <c r="BY504" s="2872"/>
      <c r="BZ504" s="3449"/>
      <c r="CA504" s="3449"/>
      <c r="CB504" s="3449"/>
      <c r="CC504" s="3452" t="str">
        <f>CD503&amp;"-"&amp;CF503</f>
        <v>44896-45174</v>
      </c>
      <c r="CD504" s="3453"/>
      <c r="CE504" s="2872"/>
      <c r="CF504" s="3453"/>
      <c r="CG504" s="2872"/>
      <c r="CH504" s="3449"/>
      <c r="CI504" s="3449"/>
      <c r="CJ504" s="3449"/>
      <c r="CK504" s="3452" t="str">
        <f>CL503&amp;"-"&amp;CN503</f>
        <v>45175-45291</v>
      </c>
      <c r="CL504" s="3453"/>
      <c r="CM504" s="2872"/>
      <c r="CN504" s="3453"/>
      <c r="CO504" s="2872"/>
      <c r="CP504" s="3449"/>
      <c r="CQ504" s="3747"/>
      <c r="CR504" s="3581"/>
      <c r="CS504" s="3728"/>
      <c r="CT504" s="3728" t="str">
        <f>IF(T504="","",T504)</f>
        <v/>
      </c>
      <c r="CU504" s="3728"/>
      <c r="CV504" s="3728"/>
    </row>
    <row s="10333" customFormat="1" customHeight="1" ht="15">
      <c r="A505" s="3716"/>
      <c r="B505" s="3716"/>
      <c r="C505" s="3716"/>
      <c r="D505" s="3716"/>
      <c r="E505" s="3717"/>
      <c r="F505" s="3717" t="s">
        <v>143</v>
      </c>
      <c r="G505" s="3717"/>
      <c r="H505" s="3717"/>
      <c r="I505" s="3739"/>
      <c r="J505" s="3730"/>
      <c r="K505" s="3716"/>
      <c r="L505" s="3719"/>
      <c r="M505" s="3573"/>
      <c r="N505" s="3573"/>
      <c r="O505" s="3731"/>
      <c r="P505" s="3732"/>
      <c r="Q505" s="3732"/>
      <c r="R505" s="3733"/>
      <c r="S505" s="10334"/>
      <c r="T505" s="10335" t="s">
        <v>626</v>
      </c>
      <c r="U505" s="10336"/>
      <c r="V505" s="10337"/>
      <c r="W505" s="10338"/>
      <c r="X505" s="10339"/>
      <c r="Y505" s="10340"/>
      <c r="Z505" s="10341"/>
      <c r="AA505" s="10342"/>
      <c r="AB505" s="10343"/>
      <c r="AC505" s="10344"/>
      <c r="AD505" s="10345"/>
      <c r="AE505" s="10346"/>
      <c r="AF505" s="10347"/>
      <c r="AG505" s="10348"/>
      <c r="AH505" s="10349"/>
      <c r="AI505" s="10350"/>
      <c r="AJ505" s="10351"/>
      <c r="AK505" s="10352"/>
      <c r="AL505" s="10353"/>
      <c r="AM505" s="10354"/>
      <c r="AN505" s="10355"/>
      <c r="AO505" s="10356"/>
      <c r="AP505" s="10357"/>
      <c r="AQ505" s="10358"/>
      <c r="AR505" s="10359"/>
      <c r="AS505" s="10360"/>
      <c r="AT505" s="10361"/>
      <c r="AU505" s="10362"/>
      <c r="AV505" s="10363"/>
      <c r="AW505" s="10364"/>
      <c r="AX505" s="10365"/>
      <c r="AY505" s="10366"/>
      <c r="AZ505" s="10367"/>
      <c r="BA505" s="10368"/>
      <c r="BB505" s="10369"/>
      <c r="BC505" s="10370"/>
      <c r="BD505" s="10371"/>
      <c r="BE505" s="10372"/>
      <c r="BF505" s="10373"/>
      <c r="BG505" s="10374"/>
      <c r="BH505" s="10375"/>
      <c r="BI505" s="10376"/>
      <c r="BJ505" s="10377"/>
      <c r="BK505" s="10378"/>
      <c r="BL505" s="10379"/>
      <c r="BM505" s="10380"/>
      <c r="BN505" s="10381"/>
      <c r="BO505" s="10382"/>
      <c r="BP505" s="10383"/>
      <c r="BQ505" s="10384"/>
      <c r="BR505" s="10385"/>
      <c r="BS505" s="10386"/>
      <c r="BT505" s="10387"/>
      <c r="BU505" s="10388"/>
      <c r="BV505" s="10389"/>
      <c r="BW505" s="10390"/>
      <c r="BX505" s="10391"/>
      <c r="BY505" s="10392"/>
      <c r="BZ505" s="10393"/>
      <c r="CA505" s="10394"/>
      <c r="CB505" s="10395"/>
      <c r="CC505" s="10396"/>
      <c r="CD505" s="10397"/>
      <c r="CE505" s="10398"/>
      <c r="CF505" s="10399"/>
      <c r="CG505" s="10400"/>
      <c r="CH505" s="10401"/>
      <c r="CI505" s="10402"/>
      <c r="CJ505" s="10403"/>
      <c r="CK505" s="10404"/>
      <c r="CL505" s="10405"/>
      <c r="CM505" s="10406"/>
      <c r="CN505" s="10407"/>
      <c r="CO505" s="10408"/>
      <c r="CP505" s="10409"/>
      <c r="CQ505" s="3825"/>
      <c r="CR505" s="3581"/>
      <c r="CS505" s="3728"/>
      <c r="CT505" s="3728" t="str">
        <f>IF(T505="","",T505)</f>
        <v>Добавить вид теплоносителя (параметры теплоносителя)</v>
      </c>
      <c r="CU505" s="3728"/>
      <c r="CV505" s="3728"/>
    </row>
    <row s="10410" customFormat="1" customHeight="1" ht="15">
      <c r="A506" s="3716"/>
      <c r="B506" s="3716"/>
      <c r="C506" s="3716"/>
      <c r="D506" s="3716"/>
      <c r="E506" s="3717"/>
      <c r="F506" s="3717" t="s">
        <v>143</v>
      </c>
      <c r="G506" s="3717"/>
      <c r="H506" s="3717"/>
      <c r="I506" s="3730"/>
      <c r="J506" s="3716"/>
      <c r="K506" s="3716"/>
      <c r="L506" s="3719"/>
      <c r="M506" s="3573"/>
      <c r="N506" s="3731"/>
      <c r="O506" s="3731"/>
      <c r="P506" s="3732"/>
      <c r="Q506" s="3732"/>
      <c r="R506" s="3733"/>
      <c r="S506" s="10411"/>
      <c r="T506" s="10412" t="s">
        <v>627</v>
      </c>
      <c r="U506" s="10413"/>
      <c r="V506" s="10414"/>
      <c r="W506" s="10415"/>
      <c r="X506" s="10416"/>
      <c r="Y506" s="10417"/>
      <c r="Z506" s="10418"/>
      <c r="AA506" s="10419"/>
      <c r="AB506" s="10420"/>
      <c r="AC506" s="10421"/>
      <c r="AD506" s="10422"/>
      <c r="AE506" s="10423"/>
      <c r="AF506" s="10424"/>
      <c r="AG506" s="10425"/>
      <c r="AH506" s="10426"/>
      <c r="AI506" s="10427"/>
      <c r="AJ506" s="10428"/>
      <c r="AK506" s="10429"/>
      <c r="AL506" s="10430"/>
      <c r="AM506" s="10431"/>
      <c r="AN506" s="10432"/>
      <c r="AO506" s="10433"/>
      <c r="AP506" s="10434"/>
      <c r="AQ506" s="10435"/>
      <c r="AR506" s="10436"/>
      <c r="AS506" s="10437"/>
      <c r="AT506" s="10438"/>
      <c r="AU506" s="10439"/>
      <c r="AV506" s="10440"/>
      <c r="AW506" s="10441"/>
      <c r="AX506" s="10442"/>
      <c r="AY506" s="10443"/>
      <c r="AZ506" s="10444"/>
      <c r="BA506" s="10445"/>
      <c r="BB506" s="10446"/>
      <c r="BC506" s="10447"/>
      <c r="BD506" s="10448"/>
      <c r="BE506" s="10449"/>
      <c r="BF506" s="10450"/>
      <c r="BG506" s="10451"/>
      <c r="BH506" s="10452"/>
      <c r="BI506" s="10453"/>
      <c r="BJ506" s="10454"/>
      <c r="BK506" s="10455"/>
      <c r="BL506" s="10456"/>
      <c r="BM506" s="10457"/>
      <c r="BN506" s="10458"/>
      <c r="BO506" s="10459"/>
      <c r="BP506" s="10460"/>
      <c r="BQ506" s="10461"/>
      <c r="BR506" s="10462"/>
      <c r="BS506" s="10463"/>
      <c r="BT506" s="10464"/>
      <c r="BU506" s="10465"/>
      <c r="BV506" s="10466"/>
      <c r="BW506" s="10467"/>
      <c r="BX506" s="10468"/>
      <c r="BY506" s="10469"/>
      <c r="BZ506" s="10470"/>
      <c r="CA506" s="10471"/>
      <c r="CB506" s="10472"/>
      <c r="CC506" s="10473"/>
      <c r="CD506" s="10474"/>
      <c r="CE506" s="10475"/>
      <c r="CF506" s="10476"/>
      <c r="CG506" s="10477"/>
      <c r="CH506" s="10478"/>
      <c r="CI506" s="10479"/>
      <c r="CJ506" s="10480"/>
      <c r="CK506" s="10481"/>
      <c r="CL506" s="10482"/>
      <c r="CM506" s="10483"/>
      <c r="CN506" s="10484"/>
      <c r="CO506" s="10485"/>
      <c r="CP506" s="10486"/>
      <c r="CQ506" s="10487"/>
      <c r="CR506" s="3581"/>
      <c r="CS506" s="3728"/>
      <c r="CT506" s="3728" t="str">
        <f>IF(T506="","",T506)</f>
        <v>Добавить группу потребителей</v>
      </c>
      <c r="CU506" s="3728"/>
      <c r="CV506" s="3728"/>
    </row>
    <row s="10488" customFormat="1" customHeight="1" ht="14.25">
      <c r="A507" s="3716"/>
      <c r="B507" s="3716"/>
      <c r="C507" s="3716"/>
      <c r="D507" s="3716"/>
      <c r="E507" s="3717"/>
      <c r="F507" s="3717" t="s">
        <v>143</v>
      </c>
      <c r="G507" s="3717"/>
      <c r="H507" s="3718"/>
      <c r="I507" s="3716"/>
      <c r="J507" s="3716"/>
      <c r="K507" s="3716"/>
      <c r="L507" s="3719"/>
      <c r="M507" s="3720"/>
      <c r="N507" s="3720"/>
      <c r="O507" s="3573"/>
      <c r="P507" s="3905"/>
      <c r="Q507" s="3906"/>
      <c r="R507" s="3907"/>
      <c r="S507" s="3908"/>
      <c r="T507" s="3909"/>
      <c r="U507" s="3569"/>
      <c r="V507" s="3569"/>
      <c r="W507" s="3569"/>
      <c r="X507" s="3569"/>
      <c r="Y507" s="3569"/>
      <c r="Z507" s="3569"/>
      <c r="AA507" s="3569"/>
      <c r="AB507" s="3569"/>
      <c r="AC507" s="3569"/>
      <c r="AD507" s="3569"/>
      <c r="AE507" s="3569"/>
      <c r="AF507" s="3569"/>
      <c r="AG507" s="3569"/>
      <c r="AH507" s="3569"/>
      <c r="AI507" s="3569"/>
      <c r="AJ507" s="3569"/>
      <c r="AK507" s="3569"/>
      <c r="AL507" s="3569"/>
      <c r="AM507" s="3569"/>
      <c r="AN507" s="3569"/>
      <c r="AO507" s="3569"/>
      <c r="AP507" s="3569"/>
      <c r="AQ507" s="3569"/>
      <c r="AR507" s="3569"/>
      <c r="AS507" s="3569"/>
      <c r="AT507" s="3569"/>
      <c r="AU507" s="3569"/>
      <c r="AV507" s="3569"/>
      <c r="AW507" s="3569"/>
      <c r="AX507" s="3569"/>
      <c r="AY507" s="3569"/>
      <c r="AZ507" s="3569"/>
      <c r="BA507" s="3569"/>
      <c r="BB507" s="3569"/>
      <c r="BC507" s="3569"/>
      <c r="BD507" s="3569"/>
      <c r="BE507" s="3569"/>
      <c r="BF507" s="3569"/>
      <c r="BG507" s="3569"/>
      <c r="BH507" s="3569"/>
      <c r="BI507" s="3569"/>
      <c r="BJ507" s="3569"/>
      <c r="BK507" s="3569"/>
      <c r="BL507" s="3569"/>
      <c r="BM507" s="3569"/>
      <c r="BN507" s="3569"/>
      <c r="BO507" s="3569"/>
      <c r="BP507" s="3569"/>
      <c r="BQ507" s="3569"/>
      <c r="BR507" s="3569"/>
      <c r="BS507" s="3569"/>
      <c r="BT507" s="3569"/>
      <c r="BU507" s="3569"/>
      <c r="BV507" s="3569"/>
      <c r="BW507" s="3569"/>
      <c r="BX507" s="3569"/>
      <c r="BY507" s="3569"/>
      <c r="BZ507" s="3569"/>
      <c r="CA507" s="3569"/>
      <c r="CB507" s="3569"/>
      <c r="CC507" s="3569"/>
      <c r="CD507" s="3569"/>
      <c r="CE507" s="3569"/>
      <c r="CF507" s="3569"/>
      <c r="CG507" s="3569"/>
      <c r="CH507" s="3569"/>
      <c r="CI507" s="3569"/>
      <c r="CJ507" s="3569"/>
      <c r="CK507" s="3569"/>
      <c r="CL507" s="3569"/>
      <c r="CM507" s="3569"/>
      <c r="CN507" s="3569"/>
      <c r="CO507" s="3569"/>
      <c r="CP507" s="3569"/>
      <c r="CQ507" s="3910"/>
      <c r="CR507" s="3581"/>
      <c r="CS507" s="3728"/>
      <c r="CT507" s="3728" t="str">
        <f>IF(T507="","",T507)</f>
        <v/>
      </c>
      <c r="CU507" s="3728"/>
      <c r="CV507" s="3728"/>
    </row>
    <row s="10489" customFormat="1" customHeight="1" ht="0.75">
      <c r="A508" s="4239"/>
      <c r="B508" s="4239"/>
      <c r="C508" s="4239"/>
      <c r="D508" s="4239"/>
      <c r="E508" s="3717"/>
      <c r="F508" s="3717" t="s">
        <v>143</v>
      </c>
      <c r="G508" s="3718"/>
      <c r="H508" s="4239"/>
      <c r="I508" s="4239"/>
      <c r="J508" s="4239"/>
      <c r="K508" s="4239"/>
      <c r="L508" s="4240"/>
      <c r="M508" s="4241"/>
      <c r="N508" s="4241"/>
      <c r="O508" s="3581"/>
      <c r="P508" s="4242"/>
      <c r="Q508" s="4243"/>
      <c r="R508" s="4242"/>
      <c r="S508" s="4244"/>
      <c r="T508" s="4245" t="s">
        <v>254</v>
      </c>
      <c r="U508" s="3571"/>
      <c r="V508" s="3571"/>
      <c r="W508" s="3571"/>
      <c r="X508" s="3571"/>
      <c r="Y508" s="3571"/>
      <c r="Z508" s="3571"/>
      <c r="AA508" s="3571"/>
      <c r="AB508" s="3571"/>
      <c r="AC508" s="3571"/>
      <c r="AD508" s="3571"/>
      <c r="AE508" s="3571"/>
      <c r="AF508" s="3571"/>
      <c r="AG508" s="3571"/>
      <c r="AH508" s="3571"/>
      <c r="AI508" s="3571"/>
      <c r="AJ508" s="3571"/>
      <c r="AK508" s="3571"/>
      <c r="AL508" s="3571"/>
      <c r="AM508" s="3571"/>
      <c r="AN508" s="3571"/>
      <c r="AO508" s="3571"/>
      <c r="AP508" s="3571"/>
      <c r="AQ508" s="3571"/>
      <c r="AR508" s="3571"/>
      <c r="AS508" s="3571"/>
      <c r="AT508" s="3571"/>
      <c r="AU508" s="3571"/>
      <c r="AV508" s="3571"/>
      <c r="AW508" s="3571"/>
      <c r="AX508" s="3571"/>
      <c r="AY508" s="3571"/>
      <c r="AZ508" s="3571"/>
      <c r="BA508" s="3571"/>
      <c r="BB508" s="3571"/>
      <c r="BC508" s="3571"/>
      <c r="BD508" s="3571"/>
      <c r="BE508" s="3571"/>
      <c r="BF508" s="3571"/>
      <c r="BG508" s="3571"/>
      <c r="BH508" s="3571"/>
      <c r="BI508" s="3571"/>
      <c r="BJ508" s="3571"/>
      <c r="BK508" s="3571"/>
      <c r="BL508" s="3571"/>
      <c r="BM508" s="3571"/>
      <c r="BN508" s="3571"/>
      <c r="BO508" s="3571"/>
      <c r="BP508" s="3571"/>
      <c r="BQ508" s="3571"/>
      <c r="BR508" s="3571"/>
      <c r="BS508" s="3571"/>
      <c r="BT508" s="3571"/>
      <c r="BU508" s="3571"/>
      <c r="BV508" s="3571"/>
      <c r="BW508" s="3571"/>
      <c r="BX508" s="3571"/>
      <c r="BY508" s="3571"/>
      <c r="BZ508" s="3571"/>
      <c r="CA508" s="3571"/>
      <c r="CB508" s="3571"/>
      <c r="CC508" s="3571"/>
      <c r="CD508" s="3571"/>
      <c r="CE508" s="3571"/>
      <c r="CF508" s="3571"/>
      <c r="CG508" s="3571"/>
      <c r="CH508" s="3571"/>
      <c r="CI508" s="3571"/>
      <c r="CJ508" s="3571"/>
      <c r="CK508" s="3571"/>
      <c r="CL508" s="3571"/>
      <c r="CM508" s="3571"/>
      <c r="CN508" s="3571"/>
      <c r="CO508" s="3571"/>
      <c r="CP508" s="3571"/>
      <c r="CQ508" s="3571"/>
      <c r="CR508" s="3581"/>
      <c r="CS508" s="3728"/>
      <c r="CT508" s="3728" t="str">
        <f>IF(T508="","",T508)</f>
        <v>Добавить источник для дифференциации</v>
      </c>
      <c r="CU508" s="3728"/>
      <c r="CV508" s="3728"/>
    </row>
    <row s="10490" customFormat="1" customHeight="1" ht="0.75">
      <c r="A509" s="4239"/>
      <c r="B509" s="4239"/>
      <c r="C509" s="4239"/>
      <c r="D509" s="4239"/>
      <c r="E509" s="3717"/>
      <c r="F509" s="3718" t="s">
        <v>143</v>
      </c>
      <c r="G509" s="4239"/>
      <c r="H509" s="4239"/>
      <c r="I509" s="4239"/>
      <c r="J509" s="4239"/>
      <c r="K509" s="4239"/>
      <c r="L509" s="4240"/>
      <c r="M509" s="4247"/>
      <c r="N509" s="4247"/>
      <c r="O509" s="3581"/>
      <c r="P509" s="4242"/>
      <c r="Q509" s="4243"/>
      <c r="R509" s="4242"/>
      <c r="S509" s="4248"/>
      <c r="T509" s="4249" t="s">
        <v>255</v>
      </c>
      <c r="U509" s="3572"/>
      <c r="V509" s="3572"/>
      <c r="W509" s="3572"/>
      <c r="X509" s="3572"/>
      <c r="Y509" s="3572"/>
      <c r="Z509" s="3572"/>
      <c r="AA509" s="3572"/>
      <c r="AB509" s="3572"/>
      <c r="AC509" s="3572"/>
      <c r="AD509" s="3572"/>
      <c r="AE509" s="3572"/>
      <c r="AF509" s="3572"/>
      <c r="AG509" s="3572"/>
      <c r="AH509" s="3572"/>
      <c r="AI509" s="3572"/>
      <c r="AJ509" s="3572"/>
      <c r="AK509" s="3572"/>
      <c r="AL509" s="3572"/>
      <c r="AM509" s="3572"/>
      <c r="AN509" s="3572"/>
      <c r="AO509" s="3572"/>
      <c r="AP509" s="3572"/>
      <c r="AQ509" s="3572"/>
      <c r="AR509" s="3572"/>
      <c r="AS509" s="3572"/>
      <c r="AT509" s="3572"/>
      <c r="AU509" s="3572"/>
      <c r="AV509" s="3572"/>
      <c r="AW509" s="3572"/>
      <c r="AX509" s="3572"/>
      <c r="AY509" s="3572"/>
      <c r="AZ509" s="3572"/>
      <c r="BA509" s="3572"/>
      <c r="BB509" s="3572"/>
      <c r="BC509" s="3572"/>
      <c r="BD509" s="3572"/>
      <c r="BE509" s="3572"/>
      <c r="BF509" s="3572"/>
      <c r="BG509" s="3572"/>
      <c r="BH509" s="3572"/>
      <c r="BI509" s="3572"/>
      <c r="BJ509" s="3572"/>
      <c r="BK509" s="3572"/>
      <c r="BL509" s="3572"/>
      <c r="BM509" s="3572"/>
      <c r="BN509" s="3572"/>
      <c r="BO509" s="3572"/>
      <c r="BP509" s="3572"/>
      <c r="BQ509" s="3572"/>
      <c r="BR509" s="3572"/>
      <c r="BS509" s="3572"/>
      <c r="BT509" s="3572"/>
      <c r="BU509" s="3572"/>
      <c r="BV509" s="3572"/>
      <c r="BW509" s="3572"/>
      <c r="BX509" s="3572"/>
      <c r="BY509" s="3572"/>
      <c r="BZ509" s="3572"/>
      <c r="CA509" s="3572"/>
      <c r="CB509" s="3572"/>
      <c r="CC509" s="3572"/>
      <c r="CD509" s="3572"/>
      <c r="CE509" s="3572"/>
      <c r="CF509" s="3572"/>
      <c r="CG509" s="3572"/>
      <c r="CH509" s="3572"/>
      <c r="CI509" s="3572"/>
      <c r="CJ509" s="3572"/>
      <c r="CK509" s="3572"/>
      <c r="CL509" s="3572"/>
      <c r="CM509" s="3572"/>
      <c r="CN509" s="3572"/>
      <c r="CO509" s="3572"/>
      <c r="CP509" s="3572"/>
      <c r="CQ509" s="3572"/>
      <c r="CR509" s="3581"/>
      <c r="CS509" s="3728"/>
      <c r="CT509" s="3728" t="str">
        <f>IF(T509="","",T509)</f>
        <v>Добавить централизованную систему для дифференциации</v>
      </c>
      <c r="CU509" s="3728"/>
      <c r="CV509" s="3728"/>
    </row>
    <row s="10491" customFormat="1" customHeight="1" ht="21">
      <c r="A510" s="3716"/>
      <c r="B510" s="3716" t="s">
        <v>372</v>
      </c>
      <c r="C510" s="3716"/>
      <c r="D510" s="3716"/>
      <c r="E510" s="3717"/>
      <c r="F510" s="3718" t="s">
        <v>152</v>
      </c>
      <c r="G510" s="3716"/>
      <c r="H510" s="3716"/>
      <c r="I510" s="3716"/>
      <c r="J510" s="3716"/>
      <c r="K510" s="3716"/>
      <c r="L510" s="3719"/>
      <c r="M510" s="3720"/>
      <c r="N510" s="3720"/>
      <c r="O510" s="3720"/>
      <c r="P510" s="4073"/>
      <c r="Q510" s="3722"/>
      <c r="R510" s="3723"/>
      <c r="S510" s="3724" t="str">
        <f>INDEX(PT_DIFFERENTIATION_NUM_TER,MATCH(B510,PT_DIFFERENTIATION_TER_ID,0))</f>
        <v>2.13</v>
      </c>
      <c r="T510" s="4074" t="s">
        <v>612</v>
      </c>
      <c r="U510" s="3726"/>
      <c r="V510" s="3432"/>
      <c r="W510" s="3433"/>
      <c r="X510" s="3433"/>
      <c r="Y510" s="3433"/>
      <c r="Z510" s="3433"/>
      <c r="AA510" s="3433"/>
      <c r="AB510" s="3433"/>
      <c r="AC510" s="3434"/>
      <c r="AD510" s="3432" t="str">
        <f>INDEX(PT_DIFFERENTIATION_TER,MATCH(B510,PT_DIFFERENTIATION_TER_ID,0))</f>
        <v>Территория 13</v>
      </c>
      <c r="AE510" s="3433"/>
      <c r="AF510" s="3433"/>
      <c r="AG510" s="3433"/>
      <c r="AH510" s="3433"/>
      <c r="AI510" s="3433"/>
      <c r="AJ510" s="3433"/>
      <c r="AK510" s="3433"/>
      <c r="AL510" s="3432"/>
      <c r="AM510" s="3433"/>
      <c r="AN510" s="3433"/>
      <c r="AO510" s="3433"/>
      <c r="AP510" s="3433"/>
      <c r="AQ510" s="3433"/>
      <c r="AR510" s="3433"/>
      <c r="AS510" s="3434"/>
      <c r="AT510" s="3432"/>
      <c r="AU510" s="3433"/>
      <c r="AV510" s="3433"/>
      <c r="AW510" s="3433"/>
      <c r="AX510" s="3433"/>
      <c r="AY510" s="3433"/>
      <c r="AZ510" s="3433"/>
      <c r="BA510" s="3434"/>
      <c r="BB510" s="3432"/>
      <c r="BC510" s="3433"/>
      <c r="BD510" s="3433"/>
      <c r="BE510" s="3433"/>
      <c r="BF510" s="3433"/>
      <c r="BG510" s="3433"/>
      <c r="BH510" s="3433"/>
      <c r="BI510" s="3434"/>
      <c r="BJ510" s="3432"/>
      <c r="BK510" s="3433"/>
      <c r="BL510" s="3433"/>
      <c r="BM510" s="3433"/>
      <c r="BN510" s="3433"/>
      <c r="BO510" s="3433"/>
      <c r="BP510" s="3433"/>
      <c r="BQ510" s="3434"/>
      <c r="BR510" s="3432"/>
      <c r="BS510" s="3433"/>
      <c r="BT510" s="3433"/>
      <c r="BU510" s="3433"/>
      <c r="BV510" s="3433"/>
      <c r="BW510" s="3433"/>
      <c r="BX510" s="3433"/>
      <c r="BY510" s="3434"/>
      <c r="BZ510" s="3432"/>
      <c r="CA510" s="3433"/>
      <c r="CB510" s="3433"/>
      <c r="CC510" s="3433"/>
      <c r="CD510" s="3433"/>
      <c r="CE510" s="3433"/>
      <c r="CF510" s="3433"/>
      <c r="CG510" s="3434"/>
      <c r="CH510" s="3432"/>
      <c r="CI510" s="3433"/>
      <c r="CJ510" s="3433"/>
      <c r="CK510" s="3433"/>
      <c r="CL510" s="3433"/>
      <c r="CM510" s="3433"/>
      <c r="CN510" s="3433"/>
      <c r="CO510" s="3434"/>
      <c r="CP510" s="3434"/>
      <c r="CQ510" s="3727" t="s">
        <v>613</v>
      </c>
      <c r="CR510" s="3581"/>
      <c r="CS510" s="3728"/>
      <c r="CT510" s="3728" t="str">
        <f>IF(T510="","",T510)</f>
        <v>Территория действия тарифа</v>
      </c>
      <c r="CU510" s="3728"/>
      <c r="CV510" s="3728"/>
    </row>
    <row s="10492" customFormat="1" customHeight="1" ht="23.25">
      <c r="A511" s="3716"/>
      <c r="B511" s="3716"/>
      <c r="C511" s="3716" t="s">
        <v>373</v>
      </c>
      <c r="D511" s="3716"/>
      <c r="E511" s="3717"/>
      <c r="F511" s="3717" t="s">
        <v>148</v>
      </c>
      <c r="G511" s="3718">
        <v>1</v>
      </c>
      <c r="H511" s="3716"/>
      <c r="I511" s="3716"/>
      <c r="J511" s="3716"/>
      <c r="K511" s="3716"/>
      <c r="L511" s="3719"/>
      <c r="M511" s="3720"/>
      <c r="N511" s="3720"/>
      <c r="O511" s="3720"/>
      <c r="P511" s="3721"/>
      <c r="Q511" s="3722"/>
      <c r="R511" s="3723"/>
      <c r="S511" s="3724" t="str">
        <f>INDEX(PT_DIFFERENTIATION_NUM_CS,MATCH(C511,PT_DIFFERENTIATION_CS_ID,0))</f>
        <v>2.13.1</v>
      </c>
      <c r="T511" s="4076" t="s">
        <v>614</v>
      </c>
      <c r="U511" s="3726"/>
      <c r="V511" s="3432"/>
      <c r="W511" s="3433"/>
      <c r="X511" s="3433"/>
      <c r="Y511" s="3433"/>
      <c r="Z511" s="3433"/>
      <c r="AA511" s="3433"/>
      <c r="AB511" s="3433"/>
      <c r="AC511" s="3434"/>
      <c r="AD511" s="3432" t="str">
        <f>INDEX(PT_DIFFERENTIATION_CS,MATCH(C511,PT_DIFFERENTIATION_CS_ID,0))</f>
        <v>без дифференциации</v>
      </c>
      <c r="AE511" s="3433"/>
      <c r="AF511" s="3433"/>
      <c r="AG511" s="3433"/>
      <c r="AH511" s="3433"/>
      <c r="AI511" s="3433"/>
      <c r="AJ511" s="3433"/>
      <c r="AK511" s="3433"/>
      <c r="AL511" s="3432"/>
      <c r="AM511" s="3433"/>
      <c r="AN511" s="3433"/>
      <c r="AO511" s="3433"/>
      <c r="AP511" s="3433"/>
      <c r="AQ511" s="3433"/>
      <c r="AR511" s="3433"/>
      <c r="AS511" s="3434"/>
      <c r="AT511" s="3432"/>
      <c r="AU511" s="3433"/>
      <c r="AV511" s="3433"/>
      <c r="AW511" s="3433"/>
      <c r="AX511" s="3433"/>
      <c r="AY511" s="3433"/>
      <c r="AZ511" s="3433"/>
      <c r="BA511" s="3434"/>
      <c r="BB511" s="3432"/>
      <c r="BC511" s="3433"/>
      <c r="BD511" s="3433"/>
      <c r="BE511" s="3433"/>
      <c r="BF511" s="3433"/>
      <c r="BG511" s="3433"/>
      <c r="BH511" s="3433"/>
      <c r="BI511" s="3434"/>
      <c r="BJ511" s="3432"/>
      <c r="BK511" s="3433"/>
      <c r="BL511" s="3433"/>
      <c r="BM511" s="3433"/>
      <c r="BN511" s="3433"/>
      <c r="BO511" s="3433"/>
      <c r="BP511" s="3433"/>
      <c r="BQ511" s="3434"/>
      <c r="BR511" s="3432"/>
      <c r="BS511" s="3433"/>
      <c r="BT511" s="3433"/>
      <c r="BU511" s="3433"/>
      <c r="BV511" s="3433"/>
      <c r="BW511" s="3433"/>
      <c r="BX511" s="3433"/>
      <c r="BY511" s="3434"/>
      <c r="BZ511" s="3432"/>
      <c r="CA511" s="3433"/>
      <c r="CB511" s="3433"/>
      <c r="CC511" s="3433"/>
      <c r="CD511" s="3433"/>
      <c r="CE511" s="3433"/>
      <c r="CF511" s="3433"/>
      <c r="CG511" s="3434"/>
      <c r="CH511" s="3432"/>
      <c r="CI511" s="3433"/>
      <c r="CJ511" s="3433"/>
      <c r="CK511" s="3433"/>
      <c r="CL511" s="3433"/>
      <c r="CM511" s="3433"/>
      <c r="CN511" s="3433"/>
      <c r="CO511" s="3434"/>
      <c r="CP511" s="3434"/>
      <c r="CQ511" s="3727" t="s">
        <v>615</v>
      </c>
      <c r="CR511" s="3581"/>
      <c r="CS511" s="3728"/>
      <c r="CT511" s="3728" t="str">
        <f>IF(T511="","",T511)</f>
        <v>Наименование системы теплоснабжения </v>
      </c>
      <c r="CU511" s="3728"/>
      <c r="CV511" s="3728"/>
    </row>
    <row s="10493" customFormat="1" customHeight="1" ht="21">
      <c r="A512" s="3716"/>
      <c r="B512" s="3716"/>
      <c r="C512" s="3716"/>
      <c r="D512" s="3716" t="s">
        <v>374</v>
      </c>
      <c r="E512" s="3717"/>
      <c r="F512" s="3717" t="s">
        <v>148</v>
      </c>
      <c r="G512" s="3717"/>
      <c r="H512" s="3718">
        <v>1</v>
      </c>
      <c r="I512" s="3716"/>
      <c r="J512" s="3716"/>
      <c r="K512" s="3716"/>
      <c r="L512" s="3719"/>
      <c r="M512" s="3720"/>
      <c r="N512" s="3720"/>
      <c r="O512" s="3720"/>
      <c r="P512" s="3721"/>
      <c r="Q512" s="3722"/>
      <c r="R512" s="3723"/>
      <c r="S512" s="3724" t="str">
        <f>INDEX(PT_DIFFERENTIATION_NUM_IST_TE,MATCH(D512,PT_DIFFERENTIATION_IST_TE_ID,0))</f>
        <v>2.13.1.1</v>
      </c>
      <c r="T512" s="3725" t="s">
        <v>616</v>
      </c>
      <c r="U512" s="3726"/>
      <c r="V512" s="3432"/>
      <c r="W512" s="3433"/>
      <c r="X512" s="3433"/>
      <c r="Y512" s="3433"/>
      <c r="Z512" s="3433"/>
      <c r="AA512" s="3433"/>
      <c r="AB512" s="3433"/>
      <c r="AC512" s="3434"/>
      <c r="AD512" s="3432" t="str">
        <f>INDEX(PT_DIFFERENTIATION_IST_TE,MATCH(D512,PT_DIFFERENTIATION_IST_TE_ID,0))</f>
        <v>город Кандалакша</v>
      </c>
      <c r="AE512" s="3433"/>
      <c r="AF512" s="3433"/>
      <c r="AG512" s="3433"/>
      <c r="AH512" s="3433"/>
      <c r="AI512" s="3433"/>
      <c r="AJ512" s="3433"/>
      <c r="AK512" s="3433"/>
      <c r="AL512" s="3432"/>
      <c r="AM512" s="3433"/>
      <c r="AN512" s="3433"/>
      <c r="AO512" s="3433"/>
      <c r="AP512" s="3433"/>
      <c r="AQ512" s="3433"/>
      <c r="AR512" s="3433"/>
      <c r="AS512" s="3434"/>
      <c r="AT512" s="3432"/>
      <c r="AU512" s="3433"/>
      <c r="AV512" s="3433"/>
      <c r="AW512" s="3433"/>
      <c r="AX512" s="3433"/>
      <c r="AY512" s="3433"/>
      <c r="AZ512" s="3433"/>
      <c r="BA512" s="3434"/>
      <c r="BB512" s="3432"/>
      <c r="BC512" s="3433"/>
      <c r="BD512" s="3433"/>
      <c r="BE512" s="3433"/>
      <c r="BF512" s="3433"/>
      <c r="BG512" s="3433"/>
      <c r="BH512" s="3433"/>
      <c r="BI512" s="3434"/>
      <c r="BJ512" s="3432"/>
      <c r="BK512" s="3433"/>
      <c r="BL512" s="3433"/>
      <c r="BM512" s="3433"/>
      <c r="BN512" s="3433"/>
      <c r="BO512" s="3433"/>
      <c r="BP512" s="3433"/>
      <c r="BQ512" s="3434"/>
      <c r="BR512" s="3432"/>
      <c r="BS512" s="3433"/>
      <c r="BT512" s="3433"/>
      <c r="BU512" s="3433"/>
      <c r="BV512" s="3433"/>
      <c r="BW512" s="3433"/>
      <c r="BX512" s="3433"/>
      <c r="BY512" s="3434"/>
      <c r="BZ512" s="3432"/>
      <c r="CA512" s="3433"/>
      <c r="CB512" s="3433"/>
      <c r="CC512" s="3433"/>
      <c r="CD512" s="3433"/>
      <c r="CE512" s="3433"/>
      <c r="CF512" s="3433"/>
      <c r="CG512" s="3434"/>
      <c r="CH512" s="3432"/>
      <c r="CI512" s="3433"/>
      <c r="CJ512" s="3433"/>
      <c r="CK512" s="3433"/>
      <c r="CL512" s="3433"/>
      <c r="CM512" s="3433"/>
      <c r="CN512" s="3433"/>
      <c r="CO512" s="3434"/>
      <c r="CP512" s="3434"/>
      <c r="CQ512" s="3727" t="s">
        <v>617</v>
      </c>
      <c r="CR512" s="3581"/>
      <c r="CS512" s="3728"/>
      <c r="CT512" s="3728" t="str">
        <f>IF(T512="","",T512)</f>
        <v>Источник тепловой энергии  </v>
      </c>
      <c r="CU512" s="3728"/>
      <c r="CV512" s="3728"/>
    </row>
    <row s="10494" customFormat="1" customHeight="1" ht="14.25">
      <c r="A513" s="3716"/>
      <c r="B513" s="3716"/>
      <c r="C513" s="3716"/>
      <c r="D513" s="3716"/>
      <c r="E513" s="3717"/>
      <c r="F513" s="3717" t="s">
        <v>148</v>
      </c>
      <c r="G513" s="3717"/>
      <c r="H513" s="3717"/>
      <c r="I513" s="3730" t="str">
        <f>S512&amp;".1"</f>
        <v>2.13.1.1.1</v>
      </c>
      <c r="J513" s="3716"/>
      <c r="K513" s="3716"/>
      <c r="L513" s="3719" t="s">
        <v>618</v>
      </c>
      <c r="M513" s="3573"/>
      <c r="N513" s="3731"/>
      <c r="O513" s="3731"/>
      <c r="P513" s="3732">
        <v>1</v>
      </c>
      <c r="Q513" s="3732"/>
      <c r="R513" s="3733"/>
      <c r="S513" s="3734"/>
      <c r="T513" s="3735"/>
      <c r="U513" s="3736"/>
      <c r="V513" s="3441"/>
      <c r="W513" s="3442"/>
      <c r="X513" s="3442"/>
      <c r="Y513" s="3442"/>
      <c r="Z513" s="3442"/>
      <c r="AA513" s="3442"/>
      <c r="AB513" s="3442"/>
      <c r="AC513" s="3443"/>
      <c r="AD513" s="3441"/>
      <c r="AE513" s="3442"/>
      <c r="AF513" s="3442"/>
      <c r="AG513" s="3442"/>
      <c r="AH513" s="3442"/>
      <c r="AI513" s="3442"/>
      <c r="AJ513" s="3442"/>
      <c r="AK513" s="3442"/>
      <c r="AL513" s="3441"/>
      <c r="AM513" s="3442"/>
      <c r="AN513" s="3442"/>
      <c r="AO513" s="3442"/>
      <c r="AP513" s="3442"/>
      <c r="AQ513" s="3442"/>
      <c r="AR513" s="3442"/>
      <c r="AS513" s="3443"/>
      <c r="AT513" s="3441"/>
      <c r="AU513" s="3442"/>
      <c r="AV513" s="3442"/>
      <c r="AW513" s="3442"/>
      <c r="AX513" s="3442"/>
      <c r="AY513" s="3442"/>
      <c r="AZ513" s="3442"/>
      <c r="BA513" s="3443"/>
      <c r="BB513" s="3441"/>
      <c r="BC513" s="3442"/>
      <c r="BD513" s="3442"/>
      <c r="BE513" s="3442"/>
      <c r="BF513" s="3442"/>
      <c r="BG513" s="3442"/>
      <c r="BH513" s="3442"/>
      <c r="BI513" s="3443"/>
      <c r="BJ513" s="3441"/>
      <c r="BK513" s="3442"/>
      <c r="BL513" s="3442"/>
      <c r="BM513" s="3442"/>
      <c r="BN513" s="3442"/>
      <c r="BO513" s="3442"/>
      <c r="BP513" s="3442"/>
      <c r="BQ513" s="3443"/>
      <c r="BR513" s="3441"/>
      <c r="BS513" s="3442"/>
      <c r="BT513" s="3442"/>
      <c r="BU513" s="3442"/>
      <c r="BV513" s="3442"/>
      <c r="BW513" s="3442"/>
      <c r="BX513" s="3442"/>
      <c r="BY513" s="3443"/>
      <c r="BZ513" s="3441"/>
      <c r="CA513" s="3442"/>
      <c r="CB513" s="3442"/>
      <c r="CC513" s="3442"/>
      <c r="CD513" s="3442"/>
      <c r="CE513" s="3442"/>
      <c r="CF513" s="3442"/>
      <c r="CG513" s="3443"/>
      <c r="CH513" s="3441"/>
      <c r="CI513" s="3442"/>
      <c r="CJ513" s="3442"/>
      <c r="CK513" s="3442"/>
      <c r="CL513" s="3442"/>
      <c r="CM513" s="3442"/>
      <c r="CN513" s="3442"/>
      <c r="CO513" s="3443"/>
      <c r="CP513" s="3443"/>
      <c r="CQ513" s="3737"/>
      <c r="CR513" s="3581"/>
      <c r="CS513" s="3728"/>
      <c r="CT513" s="3728" t="str">
        <f>IF(T513="","",T513)</f>
        <v/>
      </c>
      <c r="CU513" s="3728"/>
      <c r="CV513" s="3728"/>
    </row>
    <row s="10495" customFormat="1" customHeight="1" ht="21">
      <c r="A514" s="3716"/>
      <c r="B514" s="3716"/>
      <c r="C514" s="3716"/>
      <c r="D514" s="3716"/>
      <c r="E514" s="3717"/>
      <c r="F514" s="3717" t="s">
        <v>148</v>
      </c>
      <c r="G514" s="3717"/>
      <c r="H514" s="3717"/>
      <c r="I514" s="3739"/>
      <c r="J514" s="3730" t="str">
        <f>I513&amp;".1"</f>
        <v>2.13.1.1.1.1</v>
      </c>
      <c r="K514" s="3716"/>
      <c r="L514" s="3719" t="s">
        <v>621</v>
      </c>
      <c r="M514" s="3573"/>
      <c r="N514" s="3573"/>
      <c r="O514" s="3731"/>
      <c r="P514" s="3732"/>
      <c r="Q514" s="3732">
        <v>1</v>
      </c>
      <c r="R514" s="3740"/>
      <c r="S514" s="3724" t="str">
        <f>$J514</f>
        <v>2.13.1.1.1.1</v>
      </c>
      <c r="T514" s="3741" t="s">
        <v>622</v>
      </c>
      <c r="U514" s="3726"/>
      <c r="V514" s="3445"/>
      <c r="W514" s="3446"/>
      <c r="X514" s="3446"/>
      <c r="Y514" s="3446"/>
      <c r="Z514" s="3446"/>
      <c r="AA514" s="3446"/>
      <c r="AB514" s="3446"/>
      <c r="AC514" s="3447"/>
      <c r="AD514" s="3445" t="s">
        <v>665</v>
      </c>
      <c r="AE514" s="3446"/>
      <c r="AF514" s="3446"/>
      <c r="AG514" s="3446"/>
      <c r="AH514" s="3446"/>
      <c r="AI514" s="3446"/>
      <c r="AJ514" s="3446"/>
      <c r="AK514" s="3446"/>
      <c r="AL514" s="3445"/>
      <c r="AM514" s="3446"/>
      <c r="AN514" s="3446"/>
      <c r="AO514" s="3446"/>
      <c r="AP514" s="3446"/>
      <c r="AQ514" s="3446"/>
      <c r="AR514" s="3446"/>
      <c r="AS514" s="3447"/>
      <c r="AT514" s="3445"/>
      <c r="AU514" s="3446"/>
      <c r="AV514" s="3446"/>
      <c r="AW514" s="3446"/>
      <c r="AX514" s="3446"/>
      <c r="AY514" s="3446"/>
      <c r="AZ514" s="3446"/>
      <c r="BA514" s="3447"/>
      <c r="BB514" s="3445"/>
      <c r="BC514" s="3446"/>
      <c r="BD514" s="3446"/>
      <c r="BE514" s="3446"/>
      <c r="BF514" s="3446"/>
      <c r="BG514" s="3446"/>
      <c r="BH514" s="3446"/>
      <c r="BI514" s="3447"/>
      <c r="BJ514" s="3445"/>
      <c r="BK514" s="3446"/>
      <c r="BL514" s="3446"/>
      <c r="BM514" s="3446"/>
      <c r="BN514" s="3446"/>
      <c r="BO514" s="3446"/>
      <c r="BP514" s="3446"/>
      <c r="BQ514" s="3447"/>
      <c r="BR514" s="3445"/>
      <c r="BS514" s="3446"/>
      <c r="BT514" s="3446"/>
      <c r="BU514" s="3446"/>
      <c r="BV514" s="3446"/>
      <c r="BW514" s="3446"/>
      <c r="BX514" s="3446"/>
      <c r="BY514" s="3447"/>
      <c r="BZ514" s="3445"/>
      <c r="CA514" s="3446"/>
      <c r="CB514" s="3446"/>
      <c r="CC514" s="3446"/>
      <c r="CD514" s="3446"/>
      <c r="CE514" s="3446"/>
      <c r="CF514" s="3446"/>
      <c r="CG514" s="3447"/>
      <c r="CH514" s="3445"/>
      <c r="CI514" s="3446"/>
      <c r="CJ514" s="3446"/>
      <c r="CK514" s="3446"/>
      <c r="CL514" s="3446"/>
      <c r="CM514" s="3446"/>
      <c r="CN514" s="3446"/>
      <c r="CO514" s="3447"/>
      <c r="CP514" s="3447"/>
      <c r="CQ514" s="3727" t="s">
        <v>623</v>
      </c>
      <c r="CR514" s="3581"/>
      <c r="CS514" s="3728"/>
      <c r="CT514" s="3728" t="str">
        <f>IF(T514="","",T514)</f>
        <v>Группа потребителей</v>
      </c>
      <c r="CU514" s="3728"/>
      <c r="CV514" s="3728"/>
    </row>
    <row s="10496" customFormat="1" customHeight="1" ht="21">
      <c r="A515" s="3716"/>
      <c r="B515" s="3716"/>
      <c r="C515" s="3716"/>
      <c r="D515" s="3716"/>
      <c r="E515" s="3717"/>
      <c r="F515" s="3717" t="s">
        <v>148</v>
      </c>
      <c r="G515" s="3717"/>
      <c r="H515" s="3717"/>
      <c r="I515" s="3739"/>
      <c r="J515" s="3739"/>
      <c r="K515" s="3730" t="str">
        <f>J514&amp;".1"</f>
        <v>2.13.1.1.1.1.1</v>
      </c>
      <c r="L515" s="3719" t="s">
        <v>624</v>
      </c>
      <c r="M515" s="3573"/>
      <c r="N515" s="3573"/>
      <c r="O515" s="3573"/>
      <c r="P515" s="3732"/>
      <c r="Q515" s="3732"/>
      <c r="R515" s="3740">
        <v>1</v>
      </c>
      <c r="S515" s="3724" t="str">
        <f>$K515</f>
        <v>2.13.1.1.1.1.1</v>
      </c>
      <c r="T515" s="3743" t="s">
        <v>663</v>
      </c>
      <c r="U515" s="3726"/>
      <c r="V515" s="3448"/>
      <c r="W515" s="3449"/>
      <c r="X515" s="3448"/>
      <c r="Y515" s="3450"/>
      <c r="Z515" s="3451"/>
      <c r="AA515" s="2872" t="s">
        <v>63</v>
      </c>
      <c r="AB515" s="3451"/>
      <c r="AC515" s="2872" t="s">
        <v>63</v>
      </c>
      <c r="AD515" s="3448">
        <v>35.1</v>
      </c>
      <c r="AE515" s="3449"/>
      <c r="AF515" s="3448"/>
      <c r="AG515" s="3450"/>
      <c r="AH515" s="3451">
        <v>44197</v>
      </c>
      <c r="AI515" s="2872" t="s">
        <v>63</v>
      </c>
      <c r="AJ515" s="3451">
        <v>44377</v>
      </c>
      <c r="AK515" s="2872" t="s">
        <v>63</v>
      </c>
      <c r="AL515" s="3448">
        <v>39.31</v>
      </c>
      <c r="AM515" s="3449"/>
      <c r="AN515" s="3448"/>
      <c r="AO515" s="3450"/>
      <c r="AP515" s="3451">
        <v>44378</v>
      </c>
      <c r="AQ515" s="2872" t="s">
        <v>63</v>
      </c>
      <c r="AR515" s="3451">
        <v>44561</v>
      </c>
      <c r="AS515" s="2872" t="s">
        <v>63</v>
      </c>
      <c r="AT515" s="3448">
        <v>39.31</v>
      </c>
      <c r="AU515" s="3449"/>
      <c r="AV515" s="3448"/>
      <c r="AW515" s="3450"/>
      <c r="AX515" s="3451">
        <v>44562</v>
      </c>
      <c r="AY515" s="2872" t="s">
        <v>63</v>
      </c>
      <c r="AZ515" s="3451">
        <v>44601</v>
      </c>
      <c r="BA515" s="2872" t="s">
        <v>63</v>
      </c>
      <c r="BB515" s="3448">
        <v>39.31</v>
      </c>
      <c r="BC515" s="3449"/>
      <c r="BD515" s="3448"/>
      <c r="BE515" s="3450"/>
      <c r="BF515" s="3451">
        <v>44602</v>
      </c>
      <c r="BG515" s="2872" t="s">
        <v>63</v>
      </c>
      <c r="BH515" s="3451">
        <v>44742</v>
      </c>
      <c r="BI515" s="2872" t="s">
        <v>63</v>
      </c>
      <c r="BJ515" s="3448">
        <v>42.45</v>
      </c>
      <c r="BK515" s="3449"/>
      <c r="BL515" s="3448"/>
      <c r="BM515" s="3450"/>
      <c r="BN515" s="3451">
        <v>44743</v>
      </c>
      <c r="BO515" s="2872" t="s">
        <v>63</v>
      </c>
      <c r="BP515" s="3451">
        <v>44804</v>
      </c>
      <c r="BQ515" s="2872" t="s">
        <v>63</v>
      </c>
      <c r="BR515" s="3448">
        <v>42.45</v>
      </c>
      <c r="BS515" s="3449"/>
      <c r="BT515" s="3448"/>
      <c r="BU515" s="3450"/>
      <c r="BV515" s="3451">
        <v>44805</v>
      </c>
      <c r="BW515" s="2872" t="s">
        <v>63</v>
      </c>
      <c r="BX515" s="3451">
        <v>44895</v>
      </c>
      <c r="BY515" s="2872" t="s">
        <v>63</v>
      </c>
      <c r="BZ515" s="3448">
        <v>45</v>
      </c>
      <c r="CA515" s="3449"/>
      <c r="CB515" s="3448"/>
      <c r="CC515" s="3450"/>
      <c r="CD515" s="3451">
        <v>44896</v>
      </c>
      <c r="CE515" s="2872" t="s">
        <v>63</v>
      </c>
      <c r="CF515" s="3451">
        <v>45174</v>
      </c>
      <c r="CG515" s="2872" t="s">
        <v>63</v>
      </c>
      <c r="CH515" s="3448">
        <v>45</v>
      </c>
      <c r="CI515" s="3449"/>
      <c r="CJ515" s="3448"/>
      <c r="CK515" s="3450"/>
      <c r="CL515" s="3451">
        <v>45175</v>
      </c>
      <c r="CM515" s="2872" t="s">
        <v>63</v>
      </c>
      <c r="CN515" s="3451">
        <v>45291</v>
      </c>
      <c r="CO515" s="2872" t="s">
        <v>63</v>
      </c>
      <c r="CP515" s="3449"/>
      <c r="CQ515" s="3744" t="s">
        <v>625</v>
      </c>
      <c r="CR515" s="3581">
        <f>STRCHECKDATE(V516:CP516)</f>
      </c>
      <c r="CS515" s="3728"/>
      <c r="CT515" s="3728" t="str">
        <f>IF(T515="","",T515)</f>
        <v>вода</v>
      </c>
      <c r="CU515" s="3728"/>
      <c r="CV515" s="3728"/>
    </row>
    <row s="10497" customFormat="1" customHeight="1" ht="0.75">
      <c r="A516" s="3716"/>
      <c r="B516" s="3716"/>
      <c r="C516" s="3716"/>
      <c r="D516" s="3716"/>
      <c r="E516" s="3717"/>
      <c r="F516" s="3717" t="s">
        <v>148</v>
      </c>
      <c r="G516" s="3717"/>
      <c r="H516" s="3717"/>
      <c r="I516" s="3739"/>
      <c r="J516" s="3739"/>
      <c r="K516" s="3730"/>
      <c r="L516" s="3719"/>
      <c r="M516" s="3573"/>
      <c r="N516" s="3573"/>
      <c r="O516" s="3573"/>
      <c r="P516" s="3732"/>
      <c r="Q516" s="3732"/>
      <c r="R516" s="3740"/>
      <c r="S516" s="3746"/>
      <c r="T516" s="3726"/>
      <c r="U516" s="3726"/>
      <c r="V516" s="3449"/>
      <c r="W516" s="3449"/>
      <c r="X516" s="3449"/>
      <c r="Y516" s="3452" t="str">
        <f>Z515&amp;"-"&amp;AB515</f>
        <v>-</v>
      </c>
      <c r="Z516" s="3453"/>
      <c r="AA516" s="2872"/>
      <c r="AB516" s="3453"/>
      <c r="AC516" s="2872"/>
      <c r="AD516" s="3449"/>
      <c r="AE516" s="3449"/>
      <c r="AF516" s="3449"/>
      <c r="AG516" s="3452" t="str">
        <f>AH515&amp;"-"&amp;AJ515</f>
        <v>44197-44377</v>
      </c>
      <c r="AH516" s="3453"/>
      <c r="AI516" s="2872"/>
      <c r="AJ516" s="3453"/>
      <c r="AK516" s="2872"/>
      <c r="AL516" s="3449"/>
      <c r="AM516" s="3449"/>
      <c r="AN516" s="3449"/>
      <c r="AO516" s="3452" t="str">
        <f>AP515&amp;"-"&amp;AR515</f>
        <v>44378-44561</v>
      </c>
      <c r="AP516" s="3453"/>
      <c r="AQ516" s="2872"/>
      <c r="AR516" s="3453"/>
      <c r="AS516" s="2872"/>
      <c r="AT516" s="3449"/>
      <c r="AU516" s="3449"/>
      <c r="AV516" s="3449"/>
      <c r="AW516" s="3452" t="str">
        <f>AX515&amp;"-"&amp;AZ515</f>
        <v>44562-44601</v>
      </c>
      <c r="AX516" s="3453"/>
      <c r="AY516" s="2872"/>
      <c r="AZ516" s="3453"/>
      <c r="BA516" s="2872"/>
      <c r="BB516" s="3449"/>
      <c r="BC516" s="3449"/>
      <c r="BD516" s="3449"/>
      <c r="BE516" s="3452" t="str">
        <f>BF515&amp;"-"&amp;BH515</f>
        <v>44602-44742</v>
      </c>
      <c r="BF516" s="3453"/>
      <c r="BG516" s="2872"/>
      <c r="BH516" s="3453"/>
      <c r="BI516" s="2872"/>
      <c r="BJ516" s="3449"/>
      <c r="BK516" s="3449"/>
      <c r="BL516" s="3449"/>
      <c r="BM516" s="3452" t="str">
        <f>BN515&amp;"-"&amp;BP515</f>
        <v>44743-44804</v>
      </c>
      <c r="BN516" s="3453"/>
      <c r="BO516" s="2872"/>
      <c r="BP516" s="3453"/>
      <c r="BQ516" s="2872"/>
      <c r="BR516" s="3449"/>
      <c r="BS516" s="3449"/>
      <c r="BT516" s="3449"/>
      <c r="BU516" s="3452" t="str">
        <f>BV515&amp;"-"&amp;BX515</f>
        <v>44805-44895</v>
      </c>
      <c r="BV516" s="3453"/>
      <c r="BW516" s="2872"/>
      <c r="BX516" s="3453"/>
      <c r="BY516" s="2872"/>
      <c r="BZ516" s="3449"/>
      <c r="CA516" s="3449"/>
      <c r="CB516" s="3449"/>
      <c r="CC516" s="3452" t="str">
        <f>CD515&amp;"-"&amp;CF515</f>
        <v>44896-45174</v>
      </c>
      <c r="CD516" s="3453"/>
      <c r="CE516" s="2872"/>
      <c r="CF516" s="3453"/>
      <c r="CG516" s="2872"/>
      <c r="CH516" s="3449"/>
      <c r="CI516" s="3449"/>
      <c r="CJ516" s="3449"/>
      <c r="CK516" s="3452" t="str">
        <f>CL515&amp;"-"&amp;CN515</f>
        <v>45175-45291</v>
      </c>
      <c r="CL516" s="3453"/>
      <c r="CM516" s="2872"/>
      <c r="CN516" s="3453"/>
      <c r="CO516" s="2872"/>
      <c r="CP516" s="3449"/>
      <c r="CQ516" s="3747"/>
      <c r="CR516" s="3581"/>
      <c r="CS516" s="3728"/>
      <c r="CT516" s="3728" t="str">
        <f>IF(T516="","",T516)</f>
        <v/>
      </c>
      <c r="CU516" s="3728"/>
      <c r="CV516" s="3728"/>
    </row>
    <row s="10498" customFormat="1" customHeight="1" ht="15">
      <c r="A517" s="3716"/>
      <c r="B517" s="3716"/>
      <c r="C517" s="3716"/>
      <c r="D517" s="3716"/>
      <c r="E517" s="3717"/>
      <c r="F517" s="3717" t="s">
        <v>148</v>
      </c>
      <c r="G517" s="3717"/>
      <c r="H517" s="3717"/>
      <c r="I517" s="3739"/>
      <c r="J517" s="3730"/>
      <c r="K517" s="3716"/>
      <c r="L517" s="3719"/>
      <c r="M517" s="3573"/>
      <c r="N517" s="3573"/>
      <c r="O517" s="3731"/>
      <c r="P517" s="3732"/>
      <c r="Q517" s="3732"/>
      <c r="R517" s="3733"/>
      <c r="S517" s="10499"/>
      <c r="T517" s="10500" t="s">
        <v>626</v>
      </c>
      <c r="U517" s="10501"/>
      <c r="V517" s="10502"/>
      <c r="W517" s="10503"/>
      <c r="X517" s="10504"/>
      <c r="Y517" s="10505"/>
      <c r="Z517" s="10506"/>
      <c r="AA517" s="10507"/>
      <c r="AB517" s="10508"/>
      <c r="AC517" s="10509"/>
      <c r="AD517" s="10510"/>
      <c r="AE517" s="10511"/>
      <c r="AF517" s="10512"/>
      <c r="AG517" s="10513"/>
      <c r="AH517" s="10514"/>
      <c r="AI517" s="10515"/>
      <c r="AJ517" s="10516"/>
      <c r="AK517" s="10517"/>
      <c r="AL517" s="10518"/>
      <c r="AM517" s="10519"/>
      <c r="AN517" s="10520"/>
      <c r="AO517" s="10521"/>
      <c r="AP517" s="10522"/>
      <c r="AQ517" s="10523"/>
      <c r="AR517" s="10524"/>
      <c r="AS517" s="10525"/>
      <c r="AT517" s="10526"/>
      <c r="AU517" s="10527"/>
      <c r="AV517" s="10528"/>
      <c r="AW517" s="10529"/>
      <c r="AX517" s="10530"/>
      <c r="AY517" s="10531"/>
      <c r="AZ517" s="10532"/>
      <c r="BA517" s="10533"/>
      <c r="BB517" s="10534"/>
      <c r="BC517" s="10535"/>
      <c r="BD517" s="10536"/>
      <c r="BE517" s="10537"/>
      <c r="BF517" s="10538"/>
      <c r="BG517" s="10539"/>
      <c r="BH517" s="10540"/>
      <c r="BI517" s="10541"/>
      <c r="BJ517" s="10542"/>
      <c r="BK517" s="10543"/>
      <c r="BL517" s="10544"/>
      <c r="BM517" s="10545"/>
      <c r="BN517" s="10546"/>
      <c r="BO517" s="10547"/>
      <c r="BP517" s="10548"/>
      <c r="BQ517" s="10549"/>
      <c r="BR517" s="10550"/>
      <c r="BS517" s="10551"/>
      <c r="BT517" s="10552"/>
      <c r="BU517" s="10553"/>
      <c r="BV517" s="10554"/>
      <c r="BW517" s="10555"/>
      <c r="BX517" s="10556"/>
      <c r="BY517" s="10557"/>
      <c r="BZ517" s="10558"/>
      <c r="CA517" s="10559"/>
      <c r="CB517" s="10560"/>
      <c r="CC517" s="10561"/>
      <c r="CD517" s="10562"/>
      <c r="CE517" s="10563"/>
      <c r="CF517" s="10564"/>
      <c r="CG517" s="10565"/>
      <c r="CH517" s="10566"/>
      <c r="CI517" s="10567"/>
      <c r="CJ517" s="10568"/>
      <c r="CK517" s="10569"/>
      <c r="CL517" s="10570"/>
      <c r="CM517" s="10571"/>
      <c r="CN517" s="10572"/>
      <c r="CO517" s="10573"/>
      <c r="CP517" s="10574"/>
      <c r="CQ517" s="3825"/>
      <c r="CR517" s="3581"/>
      <c r="CS517" s="3728"/>
      <c r="CT517" s="3728" t="str">
        <f>IF(T517="","",T517)</f>
        <v>Добавить вид теплоносителя (параметры теплоносителя)</v>
      </c>
      <c r="CU517" s="3728"/>
      <c r="CV517" s="3728"/>
    </row>
    <row s="10575" customFormat="1" customHeight="1" ht="15">
      <c r="A518" s="3716"/>
      <c r="B518" s="3716"/>
      <c r="C518" s="3716"/>
      <c r="D518" s="3716"/>
      <c r="E518" s="3717"/>
      <c r="F518" s="3717" t="s">
        <v>148</v>
      </c>
      <c r="G518" s="3717"/>
      <c r="H518" s="3717"/>
      <c r="I518" s="3730"/>
      <c r="J518" s="3716"/>
      <c r="K518" s="3716"/>
      <c r="L518" s="3719"/>
      <c r="M518" s="3573"/>
      <c r="N518" s="3731"/>
      <c r="O518" s="3731"/>
      <c r="P518" s="3732"/>
      <c r="Q518" s="3732"/>
      <c r="R518" s="3733"/>
      <c r="S518" s="10576"/>
      <c r="T518" s="10577" t="s">
        <v>627</v>
      </c>
      <c r="U518" s="10578"/>
      <c r="V518" s="10579"/>
      <c r="W518" s="10580"/>
      <c r="X518" s="10581"/>
      <c r="Y518" s="10582"/>
      <c r="Z518" s="10583"/>
      <c r="AA518" s="10584"/>
      <c r="AB518" s="10585"/>
      <c r="AC518" s="10586"/>
      <c r="AD518" s="10587"/>
      <c r="AE518" s="10588"/>
      <c r="AF518" s="10589"/>
      <c r="AG518" s="10590"/>
      <c r="AH518" s="10591"/>
      <c r="AI518" s="10592"/>
      <c r="AJ518" s="10593"/>
      <c r="AK518" s="10594"/>
      <c r="AL518" s="10595"/>
      <c r="AM518" s="10596"/>
      <c r="AN518" s="10597"/>
      <c r="AO518" s="10598"/>
      <c r="AP518" s="10599"/>
      <c r="AQ518" s="10600"/>
      <c r="AR518" s="10601"/>
      <c r="AS518" s="10602"/>
      <c r="AT518" s="10603"/>
      <c r="AU518" s="10604"/>
      <c r="AV518" s="10605"/>
      <c r="AW518" s="10606"/>
      <c r="AX518" s="10607"/>
      <c r="AY518" s="10608"/>
      <c r="AZ518" s="10609"/>
      <c r="BA518" s="10610"/>
      <c r="BB518" s="10611"/>
      <c r="BC518" s="10612"/>
      <c r="BD518" s="10613"/>
      <c r="BE518" s="10614"/>
      <c r="BF518" s="10615"/>
      <c r="BG518" s="10616"/>
      <c r="BH518" s="10617"/>
      <c r="BI518" s="10618"/>
      <c r="BJ518" s="10619"/>
      <c r="BK518" s="10620"/>
      <c r="BL518" s="10621"/>
      <c r="BM518" s="10622"/>
      <c r="BN518" s="10623"/>
      <c r="BO518" s="10624"/>
      <c r="BP518" s="10625"/>
      <c r="BQ518" s="10626"/>
      <c r="BR518" s="10627"/>
      <c r="BS518" s="10628"/>
      <c r="BT518" s="10629"/>
      <c r="BU518" s="10630"/>
      <c r="BV518" s="10631"/>
      <c r="BW518" s="10632"/>
      <c r="BX518" s="10633"/>
      <c r="BY518" s="10634"/>
      <c r="BZ518" s="10635"/>
      <c r="CA518" s="10636"/>
      <c r="CB518" s="10637"/>
      <c r="CC518" s="10638"/>
      <c r="CD518" s="10639"/>
      <c r="CE518" s="10640"/>
      <c r="CF518" s="10641"/>
      <c r="CG518" s="10642"/>
      <c r="CH518" s="10643"/>
      <c r="CI518" s="10644"/>
      <c r="CJ518" s="10645"/>
      <c r="CK518" s="10646"/>
      <c r="CL518" s="10647"/>
      <c r="CM518" s="10648"/>
      <c r="CN518" s="10649"/>
      <c r="CO518" s="10650"/>
      <c r="CP518" s="10651"/>
      <c r="CQ518" s="10652"/>
      <c r="CR518" s="3581"/>
      <c r="CS518" s="3728"/>
      <c r="CT518" s="3728" t="str">
        <f>IF(T518="","",T518)</f>
        <v>Добавить группу потребителей</v>
      </c>
      <c r="CU518" s="3728"/>
      <c r="CV518" s="3728"/>
    </row>
    <row s="10653" customFormat="1" customHeight="1" ht="14.25">
      <c r="A519" s="3716"/>
      <c r="B519" s="3716"/>
      <c r="C519" s="3716"/>
      <c r="D519" s="3716"/>
      <c r="E519" s="3717"/>
      <c r="F519" s="3717" t="s">
        <v>148</v>
      </c>
      <c r="G519" s="3717"/>
      <c r="H519" s="3718"/>
      <c r="I519" s="3716"/>
      <c r="J519" s="3716"/>
      <c r="K519" s="3716"/>
      <c r="L519" s="3719"/>
      <c r="M519" s="3720"/>
      <c r="N519" s="3720"/>
      <c r="O519" s="3573"/>
      <c r="P519" s="3905"/>
      <c r="Q519" s="3906"/>
      <c r="R519" s="3907"/>
      <c r="S519" s="3908"/>
      <c r="T519" s="3909"/>
      <c r="U519" s="3569"/>
      <c r="V519" s="3569"/>
      <c r="W519" s="3569"/>
      <c r="X519" s="3569"/>
      <c r="Y519" s="3569"/>
      <c r="Z519" s="3569"/>
      <c r="AA519" s="3569"/>
      <c r="AB519" s="3569"/>
      <c r="AC519" s="3569"/>
      <c r="AD519" s="3569"/>
      <c r="AE519" s="3569"/>
      <c r="AF519" s="3569"/>
      <c r="AG519" s="3569"/>
      <c r="AH519" s="3569"/>
      <c r="AI519" s="3569"/>
      <c r="AJ519" s="3569"/>
      <c r="AK519" s="3569"/>
      <c r="AL519" s="3569"/>
      <c r="AM519" s="3569"/>
      <c r="AN519" s="3569"/>
      <c r="AO519" s="3569"/>
      <c r="AP519" s="3569"/>
      <c r="AQ519" s="3569"/>
      <c r="AR519" s="3569"/>
      <c r="AS519" s="3569"/>
      <c r="AT519" s="3569"/>
      <c r="AU519" s="3569"/>
      <c r="AV519" s="3569"/>
      <c r="AW519" s="3569"/>
      <c r="AX519" s="3569"/>
      <c r="AY519" s="3569"/>
      <c r="AZ519" s="3569"/>
      <c r="BA519" s="3569"/>
      <c r="BB519" s="3569"/>
      <c r="BC519" s="3569"/>
      <c r="BD519" s="3569"/>
      <c r="BE519" s="3569"/>
      <c r="BF519" s="3569"/>
      <c r="BG519" s="3569"/>
      <c r="BH519" s="3569"/>
      <c r="BI519" s="3569"/>
      <c r="BJ519" s="3569"/>
      <c r="BK519" s="3569"/>
      <c r="BL519" s="3569"/>
      <c r="BM519" s="3569"/>
      <c r="BN519" s="3569"/>
      <c r="BO519" s="3569"/>
      <c r="BP519" s="3569"/>
      <c r="BQ519" s="3569"/>
      <c r="BR519" s="3569"/>
      <c r="BS519" s="3569"/>
      <c r="BT519" s="3569"/>
      <c r="BU519" s="3569"/>
      <c r="BV519" s="3569"/>
      <c r="BW519" s="3569"/>
      <c r="BX519" s="3569"/>
      <c r="BY519" s="3569"/>
      <c r="BZ519" s="3569"/>
      <c r="CA519" s="3569"/>
      <c r="CB519" s="3569"/>
      <c r="CC519" s="3569"/>
      <c r="CD519" s="3569"/>
      <c r="CE519" s="3569"/>
      <c r="CF519" s="3569"/>
      <c r="CG519" s="3569"/>
      <c r="CH519" s="3569"/>
      <c r="CI519" s="3569"/>
      <c r="CJ519" s="3569"/>
      <c r="CK519" s="3569"/>
      <c r="CL519" s="3569"/>
      <c r="CM519" s="3569"/>
      <c r="CN519" s="3569"/>
      <c r="CO519" s="3569"/>
      <c r="CP519" s="3569"/>
      <c r="CQ519" s="3910"/>
      <c r="CR519" s="3581"/>
      <c r="CS519" s="3728"/>
      <c r="CT519" s="3728" t="str">
        <f>IF(T519="","",T519)</f>
        <v/>
      </c>
      <c r="CU519" s="3728"/>
      <c r="CV519" s="3728"/>
    </row>
    <row s="10654" customFormat="1" customHeight="1" ht="21">
      <c r="A520" s="3716"/>
      <c r="B520" s="3716"/>
      <c r="C520" s="3716"/>
      <c r="D520" s="3716" t="s">
        <v>375</v>
      </c>
      <c r="E520" s="3717"/>
      <c r="F520" s="3717"/>
      <c r="G520" s="3717"/>
      <c r="H520" s="3718" t="s">
        <v>104</v>
      </c>
      <c r="I520" s="3716"/>
      <c r="J520" s="3716"/>
      <c r="K520" s="3716"/>
      <c r="L520" s="3719"/>
      <c r="M520" s="3720"/>
      <c r="N520" s="3720"/>
      <c r="O520" s="3720"/>
      <c r="P520" s="3721"/>
      <c r="Q520" s="3722"/>
      <c r="R520" s="3723"/>
      <c r="S520" s="3724" t="str">
        <f>INDEX(PT_DIFFERENTIATION_NUM_IST_TE,MATCH(D520,PT_DIFFERENTIATION_IST_TE_ID,0))</f>
        <v>2.13.1.2</v>
      </c>
      <c r="T520" s="3725" t="s">
        <v>616</v>
      </c>
      <c r="U520" s="3726"/>
      <c r="V520" s="3432"/>
      <c r="W520" s="3433"/>
      <c r="X520" s="3433"/>
      <c r="Y520" s="3433"/>
      <c r="Z520" s="3433"/>
      <c r="AA520" s="3433"/>
      <c r="AB520" s="3433"/>
      <c r="AC520" s="3434"/>
      <c r="AD520" s="3432" t="str">
        <f>INDEX(PT_DIFFERENTIATION_IST_TE,MATCH(D520,PT_DIFFERENTIATION_IST_TE_ID,0))</f>
        <v>город Кандалакша (микрорайон Нива-3)</v>
      </c>
      <c r="AE520" s="3433"/>
      <c r="AF520" s="3433"/>
      <c r="AG520" s="3433"/>
      <c r="AH520" s="3433"/>
      <c r="AI520" s="3433"/>
      <c r="AJ520" s="3433"/>
      <c r="AK520" s="3433"/>
      <c r="AL520" s="3432"/>
      <c r="AM520" s="3433"/>
      <c r="AN520" s="3433"/>
      <c r="AO520" s="3433"/>
      <c r="AP520" s="3433"/>
      <c r="AQ520" s="3433"/>
      <c r="AR520" s="3433"/>
      <c r="AS520" s="3434"/>
      <c r="AT520" s="3432"/>
      <c r="AU520" s="3433"/>
      <c r="AV520" s="3433"/>
      <c r="AW520" s="3433"/>
      <c r="AX520" s="3433"/>
      <c r="AY520" s="3433"/>
      <c r="AZ520" s="3433"/>
      <c r="BA520" s="3434"/>
      <c r="BB520" s="3432"/>
      <c r="BC520" s="3433"/>
      <c r="BD520" s="3433"/>
      <c r="BE520" s="3433"/>
      <c r="BF520" s="3433"/>
      <c r="BG520" s="3433"/>
      <c r="BH520" s="3433"/>
      <c r="BI520" s="3434"/>
      <c r="BJ520" s="3432"/>
      <c r="BK520" s="3433"/>
      <c r="BL520" s="3433"/>
      <c r="BM520" s="3433"/>
      <c r="BN520" s="3433"/>
      <c r="BO520" s="3433"/>
      <c r="BP520" s="3433"/>
      <c r="BQ520" s="3434"/>
      <c r="BR520" s="3432"/>
      <c r="BS520" s="3433"/>
      <c r="BT520" s="3433"/>
      <c r="BU520" s="3433"/>
      <c r="BV520" s="3433"/>
      <c r="BW520" s="3433"/>
      <c r="BX520" s="3433"/>
      <c r="BY520" s="3434"/>
      <c r="BZ520" s="3432"/>
      <c r="CA520" s="3433"/>
      <c r="CB520" s="3433"/>
      <c r="CC520" s="3433"/>
      <c r="CD520" s="3433"/>
      <c r="CE520" s="3433"/>
      <c r="CF520" s="3433"/>
      <c r="CG520" s="3434"/>
      <c r="CH520" s="3432"/>
      <c r="CI520" s="3433"/>
      <c r="CJ520" s="3433"/>
      <c r="CK520" s="3433"/>
      <c r="CL520" s="3433"/>
      <c r="CM520" s="3433"/>
      <c r="CN520" s="3433"/>
      <c r="CO520" s="3434"/>
      <c r="CP520" s="3434"/>
      <c r="CQ520" s="3727" t="s">
        <v>617</v>
      </c>
      <c r="CR520" s="3581"/>
      <c r="CS520" s="3728"/>
      <c r="CT520" s="3728" t="str">
        <f>IF(T520="","",T520)</f>
        <v>Источник тепловой энергии  </v>
      </c>
      <c r="CU520" s="3728"/>
      <c r="CV520" s="3728"/>
    </row>
    <row s="10655" customFormat="1" customHeight="1" ht="14.25">
      <c r="A521" s="3716"/>
      <c r="B521" s="3716"/>
      <c r="C521" s="3716"/>
      <c r="D521" s="3716"/>
      <c r="E521" s="3717"/>
      <c r="F521" s="3717"/>
      <c r="G521" s="3717"/>
      <c r="H521" s="3717">
        <v>1</v>
      </c>
      <c r="I521" s="3730" t="str">
        <f>S520&amp;".1"</f>
        <v>2.13.1.2.1</v>
      </c>
      <c r="J521" s="3716"/>
      <c r="K521" s="3716"/>
      <c r="L521" s="3719" t="s">
        <v>618</v>
      </c>
      <c r="M521" s="3573"/>
      <c r="N521" s="3731"/>
      <c r="O521" s="3731"/>
      <c r="P521" s="3732">
        <v>1</v>
      </c>
      <c r="Q521" s="3732"/>
      <c r="R521" s="3733"/>
      <c r="S521" s="3734"/>
      <c r="T521" s="3735"/>
      <c r="U521" s="3736"/>
      <c r="V521" s="3441"/>
      <c r="W521" s="3442"/>
      <c r="X521" s="3442"/>
      <c r="Y521" s="3442"/>
      <c r="Z521" s="3442"/>
      <c r="AA521" s="3442"/>
      <c r="AB521" s="3442"/>
      <c r="AC521" s="3443"/>
      <c r="AD521" s="3441"/>
      <c r="AE521" s="3442"/>
      <c r="AF521" s="3442"/>
      <c r="AG521" s="3442"/>
      <c r="AH521" s="3442"/>
      <c r="AI521" s="3442"/>
      <c r="AJ521" s="3442"/>
      <c r="AK521" s="3442"/>
      <c r="AL521" s="3441"/>
      <c r="AM521" s="3442"/>
      <c r="AN521" s="3442"/>
      <c r="AO521" s="3442"/>
      <c r="AP521" s="3442"/>
      <c r="AQ521" s="3442"/>
      <c r="AR521" s="3442"/>
      <c r="AS521" s="3443"/>
      <c r="AT521" s="3441"/>
      <c r="AU521" s="3442"/>
      <c r="AV521" s="3442"/>
      <c r="AW521" s="3442"/>
      <c r="AX521" s="3442"/>
      <c r="AY521" s="3442"/>
      <c r="AZ521" s="3442"/>
      <c r="BA521" s="3443"/>
      <c r="BB521" s="3441"/>
      <c r="BC521" s="3442"/>
      <c r="BD521" s="3442"/>
      <c r="BE521" s="3442"/>
      <c r="BF521" s="3442"/>
      <c r="BG521" s="3442"/>
      <c r="BH521" s="3442"/>
      <c r="BI521" s="3443"/>
      <c r="BJ521" s="3441"/>
      <c r="BK521" s="3442"/>
      <c r="BL521" s="3442"/>
      <c r="BM521" s="3442"/>
      <c r="BN521" s="3442"/>
      <c r="BO521" s="3442"/>
      <c r="BP521" s="3442"/>
      <c r="BQ521" s="3443"/>
      <c r="BR521" s="3441"/>
      <c r="BS521" s="3442"/>
      <c r="BT521" s="3442"/>
      <c r="BU521" s="3442"/>
      <c r="BV521" s="3442"/>
      <c r="BW521" s="3442"/>
      <c r="BX521" s="3442"/>
      <c r="BY521" s="3443"/>
      <c r="BZ521" s="3441"/>
      <c r="CA521" s="3442"/>
      <c r="CB521" s="3442"/>
      <c r="CC521" s="3442"/>
      <c r="CD521" s="3442"/>
      <c r="CE521" s="3442"/>
      <c r="CF521" s="3442"/>
      <c r="CG521" s="3443"/>
      <c r="CH521" s="3441"/>
      <c r="CI521" s="3442"/>
      <c r="CJ521" s="3442"/>
      <c r="CK521" s="3442"/>
      <c r="CL521" s="3442"/>
      <c r="CM521" s="3442"/>
      <c r="CN521" s="3442"/>
      <c r="CO521" s="3443"/>
      <c r="CP521" s="3443"/>
      <c r="CQ521" s="3737"/>
      <c r="CR521" s="3581"/>
      <c r="CS521" s="3728"/>
      <c r="CT521" s="3728" t="str">
        <f>IF(T521="","",T521)</f>
        <v/>
      </c>
      <c r="CU521" s="3728"/>
      <c r="CV521" s="3728"/>
    </row>
    <row s="10656" customFormat="1" customHeight="1" ht="21">
      <c r="A522" s="3716"/>
      <c r="B522" s="3716"/>
      <c r="C522" s="3716"/>
      <c r="D522" s="3716"/>
      <c r="E522" s="3717"/>
      <c r="F522" s="3717"/>
      <c r="G522" s="3717"/>
      <c r="H522" s="3717">
        <v>1</v>
      </c>
      <c r="I522" s="3739"/>
      <c r="J522" s="3730" t="str">
        <f>I521&amp;".1"</f>
        <v>2.13.1.2.1.1</v>
      </c>
      <c r="K522" s="3716"/>
      <c r="L522" s="3719" t="s">
        <v>621</v>
      </c>
      <c r="M522" s="3573"/>
      <c r="N522" s="3573"/>
      <c r="O522" s="3731"/>
      <c r="P522" s="3732"/>
      <c r="Q522" s="3732">
        <v>1</v>
      </c>
      <c r="R522" s="3740"/>
      <c r="S522" s="3724" t="str">
        <f>$J522</f>
        <v>2.13.1.2.1.1</v>
      </c>
      <c r="T522" s="3741" t="s">
        <v>622</v>
      </c>
      <c r="U522" s="3726"/>
      <c r="V522" s="3445"/>
      <c r="W522" s="3446"/>
      <c r="X522" s="3446"/>
      <c r="Y522" s="3446"/>
      <c r="Z522" s="3446"/>
      <c r="AA522" s="3446"/>
      <c r="AB522" s="3446"/>
      <c r="AC522" s="3447"/>
      <c r="AD522" s="3445" t="s">
        <v>665</v>
      </c>
      <c r="AE522" s="3446"/>
      <c r="AF522" s="3446"/>
      <c r="AG522" s="3446"/>
      <c r="AH522" s="3446"/>
      <c r="AI522" s="3446"/>
      <c r="AJ522" s="3446"/>
      <c r="AK522" s="3446"/>
      <c r="AL522" s="3445"/>
      <c r="AM522" s="3446"/>
      <c r="AN522" s="3446"/>
      <c r="AO522" s="3446"/>
      <c r="AP522" s="3446"/>
      <c r="AQ522" s="3446"/>
      <c r="AR522" s="3446"/>
      <c r="AS522" s="3447"/>
      <c r="AT522" s="3445"/>
      <c r="AU522" s="3446"/>
      <c r="AV522" s="3446"/>
      <c r="AW522" s="3446"/>
      <c r="AX522" s="3446"/>
      <c r="AY522" s="3446"/>
      <c r="AZ522" s="3446"/>
      <c r="BA522" s="3447"/>
      <c r="BB522" s="3445"/>
      <c r="BC522" s="3446"/>
      <c r="BD522" s="3446"/>
      <c r="BE522" s="3446"/>
      <c r="BF522" s="3446"/>
      <c r="BG522" s="3446"/>
      <c r="BH522" s="3446"/>
      <c r="BI522" s="3447"/>
      <c r="BJ522" s="3445"/>
      <c r="BK522" s="3446"/>
      <c r="BL522" s="3446"/>
      <c r="BM522" s="3446"/>
      <c r="BN522" s="3446"/>
      <c r="BO522" s="3446"/>
      <c r="BP522" s="3446"/>
      <c r="BQ522" s="3447"/>
      <c r="BR522" s="3445"/>
      <c r="BS522" s="3446"/>
      <c r="BT522" s="3446"/>
      <c r="BU522" s="3446"/>
      <c r="BV522" s="3446"/>
      <c r="BW522" s="3446"/>
      <c r="BX522" s="3446"/>
      <c r="BY522" s="3447"/>
      <c r="BZ522" s="3445"/>
      <c r="CA522" s="3446"/>
      <c r="CB522" s="3446"/>
      <c r="CC522" s="3446"/>
      <c r="CD522" s="3446"/>
      <c r="CE522" s="3446"/>
      <c r="CF522" s="3446"/>
      <c r="CG522" s="3447"/>
      <c r="CH522" s="3445"/>
      <c r="CI522" s="3446"/>
      <c r="CJ522" s="3446"/>
      <c r="CK522" s="3446"/>
      <c r="CL522" s="3446"/>
      <c r="CM522" s="3446"/>
      <c r="CN522" s="3446"/>
      <c r="CO522" s="3447"/>
      <c r="CP522" s="3447"/>
      <c r="CQ522" s="3727" t="s">
        <v>623</v>
      </c>
      <c r="CR522" s="3581"/>
      <c r="CS522" s="3728"/>
      <c r="CT522" s="3728" t="str">
        <f>IF(T522="","",T522)</f>
        <v>Группа потребителей</v>
      </c>
      <c r="CU522" s="3728"/>
      <c r="CV522" s="3728"/>
    </row>
    <row s="10657" customFormat="1" customHeight="1" ht="21">
      <c r="A523" s="3716"/>
      <c r="B523" s="3716"/>
      <c r="C523" s="3716"/>
      <c r="D523" s="3716"/>
      <c r="E523" s="3717"/>
      <c r="F523" s="3717"/>
      <c r="G523" s="3717"/>
      <c r="H523" s="3717">
        <v>1</v>
      </c>
      <c r="I523" s="3739"/>
      <c r="J523" s="3739"/>
      <c r="K523" s="3730" t="str">
        <f>J522&amp;".1"</f>
        <v>2.13.1.2.1.1.1</v>
      </c>
      <c r="L523" s="3719" t="s">
        <v>624</v>
      </c>
      <c r="M523" s="3573"/>
      <c r="N523" s="3573"/>
      <c r="O523" s="3573"/>
      <c r="P523" s="3732"/>
      <c r="Q523" s="3732"/>
      <c r="R523" s="3740">
        <v>1</v>
      </c>
      <c r="S523" s="3724" t="str">
        <f>$K523</f>
        <v>2.13.1.2.1.1.1</v>
      </c>
      <c r="T523" s="3743" t="s">
        <v>663</v>
      </c>
      <c r="U523" s="3726"/>
      <c r="V523" s="3448"/>
      <c r="W523" s="3449"/>
      <c r="X523" s="3448"/>
      <c r="Y523" s="3450"/>
      <c r="Z523" s="3451"/>
      <c r="AA523" s="2872" t="s">
        <v>63</v>
      </c>
      <c r="AB523" s="3451"/>
      <c r="AC523" s="2872" t="s">
        <v>63</v>
      </c>
      <c r="AD523" s="3448">
        <v>35.1</v>
      </c>
      <c r="AE523" s="3449"/>
      <c r="AF523" s="3448"/>
      <c r="AG523" s="3450"/>
      <c r="AH523" s="3451">
        <v>44197</v>
      </c>
      <c r="AI523" s="2872" t="s">
        <v>63</v>
      </c>
      <c r="AJ523" s="3451">
        <v>44377</v>
      </c>
      <c r="AK523" s="2872" t="s">
        <v>63</v>
      </c>
      <c r="AL523" s="3448">
        <v>39.31</v>
      </c>
      <c r="AM523" s="3449"/>
      <c r="AN523" s="3448"/>
      <c r="AO523" s="3450"/>
      <c r="AP523" s="3451">
        <v>44378</v>
      </c>
      <c r="AQ523" s="2872" t="s">
        <v>63</v>
      </c>
      <c r="AR523" s="3451">
        <v>44561</v>
      </c>
      <c r="AS523" s="2872" t="s">
        <v>63</v>
      </c>
      <c r="AT523" s="3448">
        <v>39.31</v>
      </c>
      <c r="AU523" s="3449"/>
      <c r="AV523" s="3448"/>
      <c r="AW523" s="3450"/>
      <c r="AX523" s="3451">
        <v>44562</v>
      </c>
      <c r="AY523" s="2872" t="s">
        <v>63</v>
      </c>
      <c r="AZ523" s="3451">
        <v>44601</v>
      </c>
      <c r="BA523" s="2872" t="s">
        <v>63</v>
      </c>
      <c r="BB523" s="3448">
        <v>39.31</v>
      </c>
      <c r="BC523" s="3449"/>
      <c r="BD523" s="3448"/>
      <c r="BE523" s="3450"/>
      <c r="BF523" s="3451">
        <v>44602</v>
      </c>
      <c r="BG523" s="2872" t="s">
        <v>63</v>
      </c>
      <c r="BH523" s="3451">
        <v>44742</v>
      </c>
      <c r="BI523" s="2872" t="s">
        <v>63</v>
      </c>
      <c r="BJ523" s="3448">
        <v>42.45</v>
      </c>
      <c r="BK523" s="3449"/>
      <c r="BL523" s="3448"/>
      <c r="BM523" s="3450"/>
      <c r="BN523" s="3451">
        <v>44743</v>
      </c>
      <c r="BO523" s="2872" t="s">
        <v>63</v>
      </c>
      <c r="BP523" s="3451">
        <v>44804</v>
      </c>
      <c r="BQ523" s="2872" t="s">
        <v>63</v>
      </c>
      <c r="BR523" s="3448">
        <v>42.45</v>
      </c>
      <c r="BS523" s="3449"/>
      <c r="BT523" s="3448"/>
      <c r="BU523" s="3450"/>
      <c r="BV523" s="3451">
        <v>44805</v>
      </c>
      <c r="BW523" s="2872" t="s">
        <v>63</v>
      </c>
      <c r="BX523" s="3451">
        <v>44895</v>
      </c>
      <c r="BY523" s="2872" t="s">
        <v>63</v>
      </c>
      <c r="BZ523" s="3448">
        <v>45</v>
      </c>
      <c r="CA523" s="3449"/>
      <c r="CB523" s="3448"/>
      <c r="CC523" s="3450"/>
      <c r="CD523" s="3451">
        <v>44896</v>
      </c>
      <c r="CE523" s="2872" t="s">
        <v>63</v>
      </c>
      <c r="CF523" s="3451">
        <v>45174</v>
      </c>
      <c r="CG523" s="2872" t="s">
        <v>63</v>
      </c>
      <c r="CH523" s="3448">
        <v>45</v>
      </c>
      <c r="CI523" s="3449"/>
      <c r="CJ523" s="3448"/>
      <c r="CK523" s="3450"/>
      <c r="CL523" s="3451">
        <v>45175</v>
      </c>
      <c r="CM523" s="2872" t="s">
        <v>63</v>
      </c>
      <c r="CN523" s="3451">
        <v>45291</v>
      </c>
      <c r="CO523" s="2872" t="s">
        <v>63</v>
      </c>
      <c r="CP523" s="3449"/>
      <c r="CQ523" s="3744" t="s">
        <v>625</v>
      </c>
      <c r="CR523" s="3581">
        <f>STRCHECKDATE(V524:CP524)</f>
      </c>
      <c r="CS523" s="3728"/>
      <c r="CT523" s="3728" t="str">
        <f>IF(T523="","",T523)</f>
        <v>вода</v>
      </c>
      <c r="CU523" s="3728"/>
      <c r="CV523" s="3728"/>
    </row>
    <row s="10658" customFormat="1" customHeight="1" ht="0.75">
      <c r="A524" s="3716"/>
      <c r="B524" s="3716"/>
      <c r="C524" s="3716"/>
      <c r="D524" s="3716"/>
      <c r="E524" s="3717"/>
      <c r="F524" s="3717"/>
      <c r="G524" s="3717"/>
      <c r="H524" s="3717">
        <v>1</v>
      </c>
      <c r="I524" s="3739"/>
      <c r="J524" s="3739"/>
      <c r="K524" s="3730"/>
      <c r="L524" s="3719"/>
      <c r="M524" s="3573"/>
      <c r="N524" s="3573"/>
      <c r="O524" s="3573"/>
      <c r="P524" s="3732"/>
      <c r="Q524" s="3732"/>
      <c r="R524" s="3740"/>
      <c r="S524" s="3746"/>
      <c r="T524" s="3726"/>
      <c r="U524" s="3726"/>
      <c r="V524" s="3449"/>
      <c r="W524" s="3449"/>
      <c r="X524" s="3449"/>
      <c r="Y524" s="3452" t="str">
        <f>Z523&amp;"-"&amp;AB523</f>
        <v>-</v>
      </c>
      <c r="Z524" s="3453"/>
      <c r="AA524" s="2872"/>
      <c r="AB524" s="3453"/>
      <c r="AC524" s="2872"/>
      <c r="AD524" s="3449"/>
      <c r="AE524" s="3449"/>
      <c r="AF524" s="3449"/>
      <c r="AG524" s="3452" t="str">
        <f>AH523&amp;"-"&amp;AJ523</f>
        <v>44197-44377</v>
      </c>
      <c r="AH524" s="3453"/>
      <c r="AI524" s="2872"/>
      <c r="AJ524" s="3453"/>
      <c r="AK524" s="2872"/>
      <c r="AL524" s="3449"/>
      <c r="AM524" s="3449"/>
      <c r="AN524" s="3449"/>
      <c r="AO524" s="3452" t="str">
        <f>AP523&amp;"-"&amp;AR523</f>
        <v>44378-44561</v>
      </c>
      <c r="AP524" s="3453"/>
      <c r="AQ524" s="2872"/>
      <c r="AR524" s="3453"/>
      <c r="AS524" s="2872"/>
      <c r="AT524" s="3449"/>
      <c r="AU524" s="3449"/>
      <c r="AV524" s="3449"/>
      <c r="AW524" s="3452" t="str">
        <f>AX523&amp;"-"&amp;AZ523</f>
        <v>44562-44601</v>
      </c>
      <c r="AX524" s="3453"/>
      <c r="AY524" s="2872"/>
      <c r="AZ524" s="3453"/>
      <c r="BA524" s="2872"/>
      <c r="BB524" s="3449"/>
      <c r="BC524" s="3449"/>
      <c r="BD524" s="3449"/>
      <c r="BE524" s="3452" t="str">
        <f>BF523&amp;"-"&amp;BH523</f>
        <v>44602-44742</v>
      </c>
      <c r="BF524" s="3453"/>
      <c r="BG524" s="2872"/>
      <c r="BH524" s="3453"/>
      <c r="BI524" s="2872"/>
      <c r="BJ524" s="3449"/>
      <c r="BK524" s="3449"/>
      <c r="BL524" s="3449"/>
      <c r="BM524" s="3452" t="str">
        <f>BN523&amp;"-"&amp;BP523</f>
        <v>44743-44804</v>
      </c>
      <c r="BN524" s="3453"/>
      <c r="BO524" s="2872"/>
      <c r="BP524" s="3453"/>
      <c r="BQ524" s="2872"/>
      <c r="BR524" s="3449"/>
      <c r="BS524" s="3449"/>
      <c r="BT524" s="3449"/>
      <c r="BU524" s="3452" t="str">
        <f>BV523&amp;"-"&amp;BX523</f>
        <v>44805-44895</v>
      </c>
      <c r="BV524" s="3453"/>
      <c r="BW524" s="2872"/>
      <c r="BX524" s="3453"/>
      <c r="BY524" s="2872"/>
      <c r="BZ524" s="3449"/>
      <c r="CA524" s="3449"/>
      <c r="CB524" s="3449"/>
      <c r="CC524" s="3452" t="str">
        <f>CD523&amp;"-"&amp;CF523</f>
        <v>44896-45174</v>
      </c>
      <c r="CD524" s="3453"/>
      <c r="CE524" s="2872"/>
      <c r="CF524" s="3453"/>
      <c r="CG524" s="2872"/>
      <c r="CH524" s="3449"/>
      <c r="CI524" s="3449"/>
      <c r="CJ524" s="3449"/>
      <c r="CK524" s="3452" t="str">
        <f>CL523&amp;"-"&amp;CN523</f>
        <v>45175-45291</v>
      </c>
      <c r="CL524" s="3453"/>
      <c r="CM524" s="2872"/>
      <c r="CN524" s="3453"/>
      <c r="CO524" s="2872"/>
      <c r="CP524" s="3449"/>
      <c r="CQ524" s="3747"/>
      <c r="CR524" s="3581"/>
      <c r="CS524" s="3728"/>
      <c r="CT524" s="3728" t="str">
        <f>IF(T524="","",T524)</f>
        <v/>
      </c>
      <c r="CU524" s="3728"/>
      <c r="CV524" s="3728"/>
    </row>
    <row s="10659" customFormat="1" customHeight="1" ht="15">
      <c r="A525" s="3716"/>
      <c r="B525" s="3716"/>
      <c r="C525" s="3716"/>
      <c r="D525" s="3716"/>
      <c r="E525" s="3717"/>
      <c r="F525" s="3717"/>
      <c r="G525" s="3717"/>
      <c r="H525" s="3717">
        <v>1</v>
      </c>
      <c r="I525" s="3739"/>
      <c r="J525" s="3730"/>
      <c r="K525" s="3716"/>
      <c r="L525" s="3719"/>
      <c r="M525" s="3573"/>
      <c r="N525" s="3573"/>
      <c r="O525" s="3731"/>
      <c r="P525" s="3732"/>
      <c r="Q525" s="3732"/>
      <c r="R525" s="3733"/>
      <c r="S525" s="10660"/>
      <c r="T525" s="10661" t="s">
        <v>626</v>
      </c>
      <c r="U525" s="10662"/>
      <c r="V525" s="10663"/>
      <c r="W525" s="10664"/>
      <c r="X525" s="10665"/>
      <c r="Y525" s="10666"/>
      <c r="Z525" s="10667"/>
      <c r="AA525" s="10668"/>
      <c r="AB525" s="10669"/>
      <c r="AC525" s="10670"/>
      <c r="AD525" s="10671"/>
      <c r="AE525" s="10672"/>
      <c r="AF525" s="10673"/>
      <c r="AG525" s="10674"/>
      <c r="AH525" s="10675"/>
      <c r="AI525" s="10676"/>
      <c r="AJ525" s="10677"/>
      <c r="AK525" s="10678"/>
      <c r="AL525" s="10679"/>
      <c r="AM525" s="10680"/>
      <c r="AN525" s="10681"/>
      <c r="AO525" s="10682"/>
      <c r="AP525" s="10683"/>
      <c r="AQ525" s="10684"/>
      <c r="AR525" s="10685"/>
      <c r="AS525" s="10686"/>
      <c r="AT525" s="10687"/>
      <c r="AU525" s="10688"/>
      <c r="AV525" s="10689"/>
      <c r="AW525" s="10690"/>
      <c r="AX525" s="10691"/>
      <c r="AY525" s="10692"/>
      <c r="AZ525" s="10693"/>
      <c r="BA525" s="10694"/>
      <c r="BB525" s="10695"/>
      <c r="BC525" s="10696"/>
      <c r="BD525" s="10697"/>
      <c r="BE525" s="10698"/>
      <c r="BF525" s="10699"/>
      <c r="BG525" s="10700"/>
      <c r="BH525" s="10701"/>
      <c r="BI525" s="10702"/>
      <c r="BJ525" s="10703"/>
      <c r="BK525" s="10704"/>
      <c r="BL525" s="10705"/>
      <c r="BM525" s="10706"/>
      <c r="BN525" s="10707"/>
      <c r="BO525" s="10708"/>
      <c r="BP525" s="10709"/>
      <c r="BQ525" s="10710"/>
      <c r="BR525" s="10711"/>
      <c r="BS525" s="10712"/>
      <c r="BT525" s="10713"/>
      <c r="BU525" s="10714"/>
      <c r="BV525" s="10715"/>
      <c r="BW525" s="10716"/>
      <c r="BX525" s="10717"/>
      <c r="BY525" s="10718"/>
      <c r="BZ525" s="10719"/>
      <c r="CA525" s="10720"/>
      <c r="CB525" s="10721"/>
      <c r="CC525" s="10722"/>
      <c r="CD525" s="10723"/>
      <c r="CE525" s="10724"/>
      <c r="CF525" s="10725"/>
      <c r="CG525" s="10726"/>
      <c r="CH525" s="10727"/>
      <c r="CI525" s="10728"/>
      <c r="CJ525" s="10729"/>
      <c r="CK525" s="10730"/>
      <c r="CL525" s="10731"/>
      <c r="CM525" s="10732"/>
      <c r="CN525" s="10733"/>
      <c r="CO525" s="10734"/>
      <c r="CP525" s="10735"/>
      <c r="CQ525" s="3825"/>
      <c r="CR525" s="3581"/>
      <c r="CS525" s="3728"/>
      <c r="CT525" s="3728" t="str">
        <f>IF(T525="","",T525)</f>
        <v>Добавить вид теплоносителя (параметры теплоносителя)</v>
      </c>
      <c r="CU525" s="3728"/>
      <c r="CV525" s="3728"/>
    </row>
    <row s="10736" customFormat="1" customHeight="1" ht="15">
      <c r="A526" s="3716"/>
      <c r="B526" s="3716"/>
      <c r="C526" s="3716"/>
      <c r="D526" s="3716"/>
      <c r="E526" s="3717"/>
      <c r="F526" s="3717"/>
      <c r="G526" s="3717"/>
      <c r="H526" s="3717">
        <v>1</v>
      </c>
      <c r="I526" s="3730"/>
      <c r="J526" s="3716"/>
      <c r="K526" s="3716"/>
      <c r="L526" s="3719"/>
      <c r="M526" s="3573"/>
      <c r="N526" s="3731"/>
      <c r="O526" s="3731"/>
      <c r="P526" s="3732"/>
      <c r="Q526" s="3732"/>
      <c r="R526" s="3733"/>
      <c r="S526" s="10737"/>
      <c r="T526" s="10738" t="s">
        <v>627</v>
      </c>
      <c r="U526" s="10739"/>
      <c r="V526" s="10740"/>
      <c r="W526" s="10741"/>
      <c r="X526" s="10742"/>
      <c r="Y526" s="10743"/>
      <c r="Z526" s="10744"/>
      <c r="AA526" s="10745"/>
      <c r="AB526" s="10746"/>
      <c r="AC526" s="10747"/>
      <c r="AD526" s="10748"/>
      <c r="AE526" s="10749"/>
      <c r="AF526" s="10750"/>
      <c r="AG526" s="10751"/>
      <c r="AH526" s="10752"/>
      <c r="AI526" s="10753"/>
      <c r="AJ526" s="10754"/>
      <c r="AK526" s="10755"/>
      <c r="AL526" s="10756"/>
      <c r="AM526" s="10757"/>
      <c r="AN526" s="10758"/>
      <c r="AO526" s="10759"/>
      <c r="AP526" s="10760"/>
      <c r="AQ526" s="10761"/>
      <c r="AR526" s="10762"/>
      <c r="AS526" s="10763"/>
      <c r="AT526" s="10764"/>
      <c r="AU526" s="10765"/>
      <c r="AV526" s="10766"/>
      <c r="AW526" s="10767"/>
      <c r="AX526" s="10768"/>
      <c r="AY526" s="10769"/>
      <c r="AZ526" s="10770"/>
      <c r="BA526" s="10771"/>
      <c r="BB526" s="10772"/>
      <c r="BC526" s="10773"/>
      <c r="BD526" s="10774"/>
      <c r="BE526" s="10775"/>
      <c r="BF526" s="10776"/>
      <c r="BG526" s="10777"/>
      <c r="BH526" s="10778"/>
      <c r="BI526" s="10779"/>
      <c r="BJ526" s="10780"/>
      <c r="BK526" s="10781"/>
      <c r="BL526" s="10782"/>
      <c r="BM526" s="10783"/>
      <c r="BN526" s="10784"/>
      <c r="BO526" s="10785"/>
      <c r="BP526" s="10786"/>
      <c r="BQ526" s="10787"/>
      <c r="BR526" s="10788"/>
      <c r="BS526" s="10789"/>
      <c r="BT526" s="10790"/>
      <c r="BU526" s="10791"/>
      <c r="BV526" s="10792"/>
      <c r="BW526" s="10793"/>
      <c r="BX526" s="10794"/>
      <c r="BY526" s="10795"/>
      <c r="BZ526" s="10796"/>
      <c r="CA526" s="10797"/>
      <c r="CB526" s="10798"/>
      <c r="CC526" s="10799"/>
      <c r="CD526" s="10800"/>
      <c r="CE526" s="10801"/>
      <c r="CF526" s="10802"/>
      <c r="CG526" s="10803"/>
      <c r="CH526" s="10804"/>
      <c r="CI526" s="10805"/>
      <c r="CJ526" s="10806"/>
      <c r="CK526" s="10807"/>
      <c r="CL526" s="10808"/>
      <c r="CM526" s="10809"/>
      <c r="CN526" s="10810"/>
      <c r="CO526" s="10811"/>
      <c r="CP526" s="10812"/>
      <c r="CQ526" s="10813"/>
      <c r="CR526" s="3581"/>
      <c r="CS526" s="3728"/>
      <c r="CT526" s="3728" t="str">
        <f>IF(T526="","",T526)</f>
        <v>Добавить группу потребителей</v>
      </c>
      <c r="CU526" s="3728"/>
      <c r="CV526" s="3728"/>
    </row>
    <row s="10814" customFormat="1" customHeight="1" ht="14.25">
      <c r="A527" s="3716"/>
      <c r="B527" s="3716"/>
      <c r="C527" s="3716"/>
      <c r="D527" s="3716"/>
      <c r="E527" s="3717"/>
      <c r="F527" s="3717"/>
      <c r="G527" s="3717"/>
      <c r="H527" s="3718">
        <v>1</v>
      </c>
      <c r="I527" s="3716"/>
      <c r="J527" s="3716"/>
      <c r="K527" s="3716"/>
      <c r="L527" s="3719"/>
      <c r="M527" s="3720"/>
      <c r="N527" s="3720"/>
      <c r="O527" s="3573"/>
      <c r="P527" s="3905"/>
      <c r="Q527" s="3906"/>
      <c r="R527" s="3907"/>
      <c r="S527" s="3908"/>
      <c r="T527" s="3909"/>
      <c r="U527" s="3569"/>
      <c r="V527" s="3569"/>
      <c r="W527" s="3569"/>
      <c r="X527" s="3569"/>
      <c r="Y527" s="3569"/>
      <c r="Z527" s="3569"/>
      <c r="AA527" s="3569"/>
      <c r="AB527" s="3569"/>
      <c r="AC527" s="3569"/>
      <c r="AD527" s="3569"/>
      <c r="AE527" s="3569"/>
      <c r="AF527" s="3569"/>
      <c r="AG527" s="3569"/>
      <c r="AH527" s="3569"/>
      <c r="AI527" s="3569"/>
      <c r="AJ527" s="3569"/>
      <c r="AK527" s="3569"/>
      <c r="AL527" s="3569"/>
      <c r="AM527" s="3569"/>
      <c r="AN527" s="3569"/>
      <c r="AO527" s="3569"/>
      <c r="AP527" s="3569"/>
      <c r="AQ527" s="3569"/>
      <c r="AR527" s="3569"/>
      <c r="AS527" s="3569"/>
      <c r="AT527" s="3569"/>
      <c r="AU527" s="3569"/>
      <c r="AV527" s="3569"/>
      <c r="AW527" s="3569"/>
      <c r="AX527" s="3569"/>
      <c r="AY527" s="3569"/>
      <c r="AZ527" s="3569"/>
      <c r="BA527" s="3569"/>
      <c r="BB527" s="3569"/>
      <c r="BC527" s="3569"/>
      <c r="BD527" s="3569"/>
      <c r="BE527" s="3569"/>
      <c r="BF527" s="3569"/>
      <c r="BG527" s="3569"/>
      <c r="BH527" s="3569"/>
      <c r="BI527" s="3569"/>
      <c r="BJ527" s="3569"/>
      <c r="BK527" s="3569"/>
      <c r="BL527" s="3569"/>
      <c r="BM527" s="3569"/>
      <c r="BN527" s="3569"/>
      <c r="BO527" s="3569"/>
      <c r="BP527" s="3569"/>
      <c r="BQ527" s="3569"/>
      <c r="BR527" s="3569"/>
      <c r="BS527" s="3569"/>
      <c r="BT527" s="3569"/>
      <c r="BU527" s="3569"/>
      <c r="BV527" s="3569"/>
      <c r="BW527" s="3569"/>
      <c r="BX527" s="3569"/>
      <c r="BY527" s="3569"/>
      <c r="BZ527" s="3569"/>
      <c r="CA527" s="3569"/>
      <c r="CB527" s="3569"/>
      <c r="CC527" s="3569"/>
      <c r="CD527" s="3569"/>
      <c r="CE527" s="3569"/>
      <c r="CF527" s="3569"/>
      <c r="CG527" s="3569"/>
      <c r="CH527" s="3569"/>
      <c r="CI527" s="3569"/>
      <c r="CJ527" s="3569"/>
      <c r="CK527" s="3569"/>
      <c r="CL527" s="3569"/>
      <c r="CM527" s="3569"/>
      <c r="CN527" s="3569"/>
      <c r="CO527" s="3569"/>
      <c r="CP527" s="3569"/>
      <c r="CQ527" s="3910"/>
      <c r="CR527" s="3581"/>
      <c r="CS527" s="3728"/>
      <c r="CT527" s="3728" t="str">
        <f>IF(T527="","",T527)</f>
        <v/>
      </c>
      <c r="CU527" s="3728"/>
      <c r="CV527" s="3728"/>
    </row>
    <row s="10815" customFormat="1" customHeight="1" ht="0.75">
      <c r="A528" s="4239"/>
      <c r="B528" s="4239"/>
      <c r="C528" s="4239"/>
      <c r="D528" s="4239"/>
      <c r="E528" s="3717"/>
      <c r="F528" s="3717" t="s">
        <v>148</v>
      </c>
      <c r="G528" s="3718"/>
      <c r="H528" s="4239"/>
      <c r="I528" s="4239"/>
      <c r="J528" s="4239"/>
      <c r="K528" s="4239"/>
      <c r="L528" s="4240"/>
      <c r="M528" s="4241"/>
      <c r="N528" s="4241"/>
      <c r="O528" s="3581"/>
      <c r="P528" s="4242"/>
      <c r="Q528" s="4243"/>
      <c r="R528" s="4242"/>
      <c r="S528" s="4244"/>
      <c r="T528" s="4245" t="s">
        <v>254</v>
      </c>
      <c r="U528" s="3571"/>
      <c r="V528" s="3571"/>
      <c r="W528" s="3571"/>
      <c r="X528" s="3571"/>
      <c r="Y528" s="3571"/>
      <c r="Z528" s="3571"/>
      <c r="AA528" s="3571"/>
      <c r="AB528" s="3571"/>
      <c r="AC528" s="3571"/>
      <c r="AD528" s="3571"/>
      <c r="AE528" s="3571"/>
      <c r="AF528" s="3571"/>
      <c r="AG528" s="3571"/>
      <c r="AH528" s="3571"/>
      <c r="AI528" s="3571"/>
      <c r="AJ528" s="3571"/>
      <c r="AK528" s="3571"/>
      <c r="AL528" s="3571"/>
      <c r="AM528" s="3571"/>
      <c r="AN528" s="3571"/>
      <c r="AO528" s="3571"/>
      <c r="AP528" s="3571"/>
      <c r="AQ528" s="3571"/>
      <c r="AR528" s="3571"/>
      <c r="AS528" s="3571"/>
      <c r="AT528" s="3571"/>
      <c r="AU528" s="3571"/>
      <c r="AV528" s="3571"/>
      <c r="AW528" s="3571"/>
      <c r="AX528" s="3571"/>
      <c r="AY528" s="3571"/>
      <c r="AZ528" s="3571"/>
      <c r="BA528" s="3571"/>
      <c r="BB528" s="3571"/>
      <c r="BC528" s="3571"/>
      <c r="BD528" s="3571"/>
      <c r="BE528" s="3571"/>
      <c r="BF528" s="3571"/>
      <c r="BG528" s="3571"/>
      <c r="BH528" s="3571"/>
      <c r="BI528" s="3571"/>
      <c r="BJ528" s="3571"/>
      <c r="BK528" s="3571"/>
      <c r="BL528" s="3571"/>
      <c r="BM528" s="3571"/>
      <c r="BN528" s="3571"/>
      <c r="BO528" s="3571"/>
      <c r="BP528" s="3571"/>
      <c r="BQ528" s="3571"/>
      <c r="BR528" s="3571"/>
      <c r="BS528" s="3571"/>
      <c r="BT528" s="3571"/>
      <c r="BU528" s="3571"/>
      <c r="BV528" s="3571"/>
      <c r="BW528" s="3571"/>
      <c r="BX528" s="3571"/>
      <c r="BY528" s="3571"/>
      <c r="BZ528" s="3571"/>
      <c r="CA528" s="3571"/>
      <c r="CB528" s="3571"/>
      <c r="CC528" s="3571"/>
      <c r="CD528" s="3571"/>
      <c r="CE528" s="3571"/>
      <c r="CF528" s="3571"/>
      <c r="CG528" s="3571"/>
      <c r="CH528" s="3571"/>
      <c r="CI528" s="3571"/>
      <c r="CJ528" s="3571"/>
      <c r="CK528" s="3571"/>
      <c r="CL528" s="3571"/>
      <c r="CM528" s="3571"/>
      <c r="CN528" s="3571"/>
      <c r="CO528" s="3571"/>
      <c r="CP528" s="3571"/>
      <c r="CQ528" s="3571"/>
      <c r="CR528" s="3581"/>
      <c r="CS528" s="3728"/>
      <c r="CT528" s="3728" t="str">
        <f>IF(T528="","",T528)</f>
        <v>Добавить источник для дифференциации</v>
      </c>
      <c r="CU528" s="3728"/>
      <c r="CV528" s="3728"/>
    </row>
    <row s="10816" customFormat="1" customHeight="1" ht="0.75">
      <c r="A529" s="4239"/>
      <c r="B529" s="4239"/>
      <c r="C529" s="4239"/>
      <c r="D529" s="4239"/>
      <c r="E529" s="3717"/>
      <c r="F529" s="3718" t="s">
        <v>148</v>
      </c>
      <c r="G529" s="4239"/>
      <c r="H529" s="4239"/>
      <c r="I529" s="4239"/>
      <c r="J529" s="4239"/>
      <c r="K529" s="4239"/>
      <c r="L529" s="4240"/>
      <c r="M529" s="4247"/>
      <c r="N529" s="4247"/>
      <c r="O529" s="3581"/>
      <c r="P529" s="4242"/>
      <c r="Q529" s="4243"/>
      <c r="R529" s="4242"/>
      <c r="S529" s="4248"/>
      <c r="T529" s="4249" t="s">
        <v>255</v>
      </c>
      <c r="U529" s="3572"/>
      <c r="V529" s="3572"/>
      <c r="W529" s="3572"/>
      <c r="X529" s="3572"/>
      <c r="Y529" s="3572"/>
      <c r="Z529" s="3572"/>
      <c r="AA529" s="3572"/>
      <c r="AB529" s="3572"/>
      <c r="AC529" s="3572"/>
      <c r="AD529" s="3572"/>
      <c r="AE529" s="3572"/>
      <c r="AF529" s="3572"/>
      <c r="AG529" s="3572"/>
      <c r="AH529" s="3572"/>
      <c r="AI529" s="3572"/>
      <c r="AJ529" s="3572"/>
      <c r="AK529" s="3572"/>
      <c r="AL529" s="3572"/>
      <c r="AM529" s="3572"/>
      <c r="AN529" s="3572"/>
      <c r="AO529" s="3572"/>
      <c r="AP529" s="3572"/>
      <c r="AQ529" s="3572"/>
      <c r="AR529" s="3572"/>
      <c r="AS529" s="3572"/>
      <c r="AT529" s="3572"/>
      <c r="AU529" s="3572"/>
      <c r="AV529" s="3572"/>
      <c r="AW529" s="3572"/>
      <c r="AX529" s="3572"/>
      <c r="AY529" s="3572"/>
      <c r="AZ529" s="3572"/>
      <c r="BA529" s="3572"/>
      <c r="BB529" s="3572"/>
      <c r="BC529" s="3572"/>
      <c r="BD529" s="3572"/>
      <c r="BE529" s="3572"/>
      <c r="BF529" s="3572"/>
      <c r="BG529" s="3572"/>
      <c r="BH529" s="3572"/>
      <c r="BI529" s="3572"/>
      <c r="BJ529" s="3572"/>
      <c r="BK529" s="3572"/>
      <c r="BL529" s="3572"/>
      <c r="BM529" s="3572"/>
      <c r="BN529" s="3572"/>
      <c r="BO529" s="3572"/>
      <c r="BP529" s="3572"/>
      <c r="BQ529" s="3572"/>
      <c r="BR529" s="3572"/>
      <c r="BS529" s="3572"/>
      <c r="BT529" s="3572"/>
      <c r="BU529" s="3572"/>
      <c r="BV529" s="3572"/>
      <c r="BW529" s="3572"/>
      <c r="BX529" s="3572"/>
      <c r="BY529" s="3572"/>
      <c r="BZ529" s="3572"/>
      <c r="CA529" s="3572"/>
      <c r="CB529" s="3572"/>
      <c r="CC529" s="3572"/>
      <c r="CD529" s="3572"/>
      <c r="CE529" s="3572"/>
      <c r="CF529" s="3572"/>
      <c r="CG529" s="3572"/>
      <c r="CH529" s="3572"/>
      <c r="CI529" s="3572"/>
      <c r="CJ529" s="3572"/>
      <c r="CK529" s="3572"/>
      <c r="CL529" s="3572"/>
      <c r="CM529" s="3572"/>
      <c r="CN529" s="3572"/>
      <c r="CO529" s="3572"/>
      <c r="CP529" s="3572"/>
      <c r="CQ529" s="3572"/>
      <c r="CR529" s="3581"/>
      <c r="CS529" s="3728"/>
      <c r="CT529" s="3728" t="str">
        <f>IF(T529="","",T529)</f>
        <v>Добавить централизованную систему для дифференциации</v>
      </c>
      <c r="CU529" s="3728"/>
      <c r="CV529" s="3728"/>
    </row>
    <row s="10817" customFormat="1" customHeight="1" ht="21">
      <c r="A530" s="3716"/>
      <c r="B530" s="3716" t="s">
        <v>376</v>
      </c>
      <c r="C530" s="3716"/>
      <c r="D530" s="3716"/>
      <c r="E530" s="3717"/>
      <c r="F530" s="3718" t="s">
        <v>157</v>
      </c>
      <c r="G530" s="3716"/>
      <c r="H530" s="3716"/>
      <c r="I530" s="3716"/>
      <c r="J530" s="3716"/>
      <c r="K530" s="3716"/>
      <c r="L530" s="3719"/>
      <c r="M530" s="3720"/>
      <c r="N530" s="3720"/>
      <c r="O530" s="3720"/>
      <c r="P530" s="4073"/>
      <c r="Q530" s="3722"/>
      <c r="R530" s="3723"/>
      <c r="S530" s="3724" t="str">
        <f>INDEX(PT_DIFFERENTIATION_NUM_TER,MATCH(B530,PT_DIFFERENTIATION_TER_ID,0))</f>
        <v>2.14</v>
      </c>
      <c r="T530" s="4074" t="s">
        <v>612</v>
      </c>
      <c r="U530" s="3726"/>
      <c r="V530" s="3432"/>
      <c r="W530" s="3433"/>
      <c r="X530" s="3433"/>
      <c r="Y530" s="3433"/>
      <c r="Z530" s="3433"/>
      <c r="AA530" s="3433"/>
      <c r="AB530" s="3433"/>
      <c r="AC530" s="3434"/>
      <c r="AD530" s="3432" t="str">
        <f>INDEX(PT_DIFFERENTIATION_TER,MATCH(B530,PT_DIFFERENTIATION_TER_ID,0))</f>
        <v>Территория 14</v>
      </c>
      <c r="AE530" s="3433"/>
      <c r="AF530" s="3433"/>
      <c r="AG530" s="3433"/>
      <c r="AH530" s="3433"/>
      <c r="AI530" s="3433"/>
      <c r="AJ530" s="3433"/>
      <c r="AK530" s="3433"/>
      <c r="AL530" s="3432"/>
      <c r="AM530" s="3433"/>
      <c r="AN530" s="3433"/>
      <c r="AO530" s="3433"/>
      <c r="AP530" s="3433"/>
      <c r="AQ530" s="3433"/>
      <c r="AR530" s="3433"/>
      <c r="AS530" s="3434"/>
      <c r="AT530" s="3432"/>
      <c r="AU530" s="3433"/>
      <c r="AV530" s="3433"/>
      <c r="AW530" s="3433"/>
      <c r="AX530" s="3433"/>
      <c r="AY530" s="3433"/>
      <c r="AZ530" s="3433"/>
      <c r="BA530" s="3434"/>
      <c r="BB530" s="3432"/>
      <c r="BC530" s="3433"/>
      <c r="BD530" s="3433"/>
      <c r="BE530" s="3433"/>
      <c r="BF530" s="3433"/>
      <c r="BG530" s="3433"/>
      <c r="BH530" s="3433"/>
      <c r="BI530" s="3434"/>
      <c r="BJ530" s="3432"/>
      <c r="BK530" s="3433"/>
      <c r="BL530" s="3433"/>
      <c r="BM530" s="3433"/>
      <c r="BN530" s="3433"/>
      <c r="BO530" s="3433"/>
      <c r="BP530" s="3433"/>
      <c r="BQ530" s="3434"/>
      <c r="BR530" s="3432"/>
      <c r="BS530" s="3433"/>
      <c r="BT530" s="3433"/>
      <c r="BU530" s="3433"/>
      <c r="BV530" s="3433"/>
      <c r="BW530" s="3433"/>
      <c r="BX530" s="3433"/>
      <c r="BY530" s="3434"/>
      <c r="BZ530" s="3432"/>
      <c r="CA530" s="3433"/>
      <c r="CB530" s="3433"/>
      <c r="CC530" s="3433"/>
      <c r="CD530" s="3433"/>
      <c r="CE530" s="3433"/>
      <c r="CF530" s="3433"/>
      <c r="CG530" s="3434"/>
      <c r="CH530" s="3432"/>
      <c r="CI530" s="3433"/>
      <c r="CJ530" s="3433"/>
      <c r="CK530" s="3433"/>
      <c r="CL530" s="3433"/>
      <c r="CM530" s="3433"/>
      <c r="CN530" s="3433"/>
      <c r="CO530" s="3434"/>
      <c r="CP530" s="3434"/>
      <c r="CQ530" s="3727" t="s">
        <v>613</v>
      </c>
      <c r="CR530" s="3581"/>
      <c r="CS530" s="3728"/>
      <c r="CT530" s="3728" t="str">
        <f>IF(T530="","",T530)</f>
        <v>Территория действия тарифа</v>
      </c>
      <c r="CU530" s="3728"/>
      <c r="CV530" s="3728"/>
    </row>
    <row s="10818" customFormat="1" customHeight="1" ht="23.25">
      <c r="A531" s="3716"/>
      <c r="B531" s="3716"/>
      <c r="C531" s="3716" t="s">
        <v>377</v>
      </c>
      <c r="D531" s="3716"/>
      <c r="E531" s="3717"/>
      <c r="F531" s="3717" t="s">
        <v>152</v>
      </c>
      <c r="G531" s="3718">
        <v>1</v>
      </c>
      <c r="H531" s="3716"/>
      <c r="I531" s="3716"/>
      <c r="J531" s="3716"/>
      <c r="K531" s="3716"/>
      <c r="L531" s="3719"/>
      <c r="M531" s="3720"/>
      <c r="N531" s="3720"/>
      <c r="O531" s="3720"/>
      <c r="P531" s="3721"/>
      <c r="Q531" s="3722"/>
      <c r="R531" s="3723"/>
      <c r="S531" s="3724" t="str">
        <f>INDEX(PT_DIFFERENTIATION_NUM_CS,MATCH(C531,PT_DIFFERENTIATION_CS_ID,0))</f>
        <v>2.14.1</v>
      </c>
      <c r="T531" s="4076" t="s">
        <v>614</v>
      </c>
      <c r="U531" s="3726"/>
      <c r="V531" s="3432"/>
      <c r="W531" s="3433"/>
      <c r="X531" s="3433"/>
      <c r="Y531" s="3433"/>
      <c r="Z531" s="3433"/>
      <c r="AA531" s="3433"/>
      <c r="AB531" s="3433"/>
      <c r="AC531" s="3434"/>
      <c r="AD531" s="3432" t="str">
        <f>INDEX(PT_DIFFERENTIATION_CS,MATCH(C531,PT_DIFFERENTIATION_CS_ID,0))</f>
        <v>без дифференциации</v>
      </c>
      <c r="AE531" s="3433"/>
      <c r="AF531" s="3433"/>
      <c r="AG531" s="3433"/>
      <c r="AH531" s="3433"/>
      <c r="AI531" s="3433"/>
      <c r="AJ531" s="3433"/>
      <c r="AK531" s="3433"/>
      <c r="AL531" s="3432"/>
      <c r="AM531" s="3433"/>
      <c r="AN531" s="3433"/>
      <c r="AO531" s="3433"/>
      <c r="AP531" s="3433"/>
      <c r="AQ531" s="3433"/>
      <c r="AR531" s="3433"/>
      <c r="AS531" s="3434"/>
      <c r="AT531" s="3432"/>
      <c r="AU531" s="3433"/>
      <c r="AV531" s="3433"/>
      <c r="AW531" s="3433"/>
      <c r="AX531" s="3433"/>
      <c r="AY531" s="3433"/>
      <c r="AZ531" s="3433"/>
      <c r="BA531" s="3434"/>
      <c r="BB531" s="3432"/>
      <c r="BC531" s="3433"/>
      <c r="BD531" s="3433"/>
      <c r="BE531" s="3433"/>
      <c r="BF531" s="3433"/>
      <c r="BG531" s="3433"/>
      <c r="BH531" s="3433"/>
      <c r="BI531" s="3434"/>
      <c r="BJ531" s="3432"/>
      <c r="BK531" s="3433"/>
      <c r="BL531" s="3433"/>
      <c r="BM531" s="3433"/>
      <c r="BN531" s="3433"/>
      <c r="BO531" s="3433"/>
      <c r="BP531" s="3433"/>
      <c r="BQ531" s="3434"/>
      <c r="BR531" s="3432"/>
      <c r="BS531" s="3433"/>
      <c r="BT531" s="3433"/>
      <c r="BU531" s="3433"/>
      <c r="BV531" s="3433"/>
      <c r="BW531" s="3433"/>
      <c r="BX531" s="3433"/>
      <c r="BY531" s="3434"/>
      <c r="BZ531" s="3432"/>
      <c r="CA531" s="3433"/>
      <c r="CB531" s="3433"/>
      <c r="CC531" s="3433"/>
      <c r="CD531" s="3433"/>
      <c r="CE531" s="3433"/>
      <c r="CF531" s="3433"/>
      <c r="CG531" s="3434"/>
      <c r="CH531" s="3432"/>
      <c r="CI531" s="3433"/>
      <c r="CJ531" s="3433"/>
      <c r="CK531" s="3433"/>
      <c r="CL531" s="3433"/>
      <c r="CM531" s="3433"/>
      <c r="CN531" s="3433"/>
      <c r="CO531" s="3434"/>
      <c r="CP531" s="3434"/>
      <c r="CQ531" s="3727" t="s">
        <v>615</v>
      </c>
      <c r="CR531" s="3581"/>
      <c r="CS531" s="3728"/>
      <c r="CT531" s="3728" t="str">
        <f>IF(T531="","",T531)</f>
        <v>Наименование системы теплоснабжения </v>
      </c>
      <c r="CU531" s="3728"/>
      <c r="CV531" s="3728"/>
    </row>
    <row s="10819" customFormat="1" customHeight="1" ht="21">
      <c r="A532" s="3716"/>
      <c r="B532" s="3716"/>
      <c r="C532" s="3716"/>
      <c r="D532" s="3716" t="s">
        <v>378</v>
      </c>
      <c r="E532" s="3717"/>
      <c r="F532" s="3717" t="s">
        <v>152</v>
      </c>
      <c r="G532" s="3717"/>
      <c r="H532" s="3718">
        <v>1</v>
      </c>
      <c r="I532" s="3716"/>
      <c r="J532" s="3716"/>
      <c r="K532" s="3716"/>
      <c r="L532" s="3719"/>
      <c r="M532" s="3720"/>
      <c r="N532" s="3720"/>
      <c r="O532" s="3720"/>
      <c r="P532" s="3721"/>
      <c r="Q532" s="3722"/>
      <c r="R532" s="3723"/>
      <c r="S532" s="3724" t="str">
        <f>INDEX(PT_DIFFERENTIATION_NUM_IST_TE,MATCH(D532,PT_DIFFERENTIATION_IST_TE_ID,0))</f>
        <v>2.14.1.1</v>
      </c>
      <c r="T532" s="3725" t="s">
        <v>616</v>
      </c>
      <c r="U532" s="3726"/>
      <c r="V532" s="3432"/>
      <c r="W532" s="3433"/>
      <c r="X532" s="3433"/>
      <c r="Y532" s="3433"/>
      <c r="Z532" s="3433"/>
      <c r="AA532" s="3433"/>
      <c r="AB532" s="3433"/>
      <c r="AC532" s="3434"/>
      <c r="AD532" s="3432" t="str">
        <f>INDEX(PT_DIFFERENTIATION_IST_TE,MATCH(D532,PT_DIFFERENTIATION_IST_TE_ID,0))</f>
        <v>без дифференциации</v>
      </c>
      <c r="AE532" s="3433"/>
      <c r="AF532" s="3433"/>
      <c r="AG532" s="3433"/>
      <c r="AH532" s="3433"/>
      <c r="AI532" s="3433"/>
      <c r="AJ532" s="3433"/>
      <c r="AK532" s="3433"/>
      <c r="AL532" s="3432"/>
      <c r="AM532" s="3433"/>
      <c r="AN532" s="3433"/>
      <c r="AO532" s="3433"/>
      <c r="AP532" s="3433"/>
      <c r="AQ532" s="3433"/>
      <c r="AR532" s="3433"/>
      <c r="AS532" s="3434"/>
      <c r="AT532" s="3432"/>
      <c r="AU532" s="3433"/>
      <c r="AV532" s="3433"/>
      <c r="AW532" s="3433"/>
      <c r="AX532" s="3433"/>
      <c r="AY532" s="3433"/>
      <c r="AZ532" s="3433"/>
      <c r="BA532" s="3434"/>
      <c r="BB532" s="3432"/>
      <c r="BC532" s="3433"/>
      <c r="BD532" s="3433"/>
      <c r="BE532" s="3433"/>
      <c r="BF532" s="3433"/>
      <c r="BG532" s="3433"/>
      <c r="BH532" s="3433"/>
      <c r="BI532" s="3434"/>
      <c r="BJ532" s="3432"/>
      <c r="BK532" s="3433"/>
      <c r="BL532" s="3433"/>
      <c r="BM532" s="3433"/>
      <c r="BN532" s="3433"/>
      <c r="BO532" s="3433"/>
      <c r="BP532" s="3433"/>
      <c r="BQ532" s="3434"/>
      <c r="BR532" s="3432"/>
      <c r="BS532" s="3433"/>
      <c r="BT532" s="3433"/>
      <c r="BU532" s="3433"/>
      <c r="BV532" s="3433"/>
      <c r="BW532" s="3433"/>
      <c r="BX532" s="3433"/>
      <c r="BY532" s="3434"/>
      <c r="BZ532" s="3432"/>
      <c r="CA532" s="3433"/>
      <c r="CB532" s="3433"/>
      <c r="CC532" s="3433"/>
      <c r="CD532" s="3433"/>
      <c r="CE532" s="3433"/>
      <c r="CF532" s="3433"/>
      <c r="CG532" s="3434"/>
      <c r="CH532" s="3432"/>
      <c r="CI532" s="3433"/>
      <c r="CJ532" s="3433"/>
      <c r="CK532" s="3433"/>
      <c r="CL532" s="3433"/>
      <c r="CM532" s="3433"/>
      <c r="CN532" s="3433"/>
      <c r="CO532" s="3434"/>
      <c r="CP532" s="3434"/>
      <c r="CQ532" s="3727" t="s">
        <v>617</v>
      </c>
      <c r="CR532" s="3581"/>
      <c r="CS532" s="3728"/>
      <c r="CT532" s="3728" t="str">
        <f>IF(T532="","",T532)</f>
        <v>Источник тепловой энергии  </v>
      </c>
      <c r="CU532" s="3728"/>
      <c r="CV532" s="3728"/>
    </row>
    <row s="10820" customFormat="1" customHeight="1" ht="14.25">
      <c r="A533" s="3716"/>
      <c r="B533" s="3716"/>
      <c r="C533" s="3716"/>
      <c r="D533" s="3716"/>
      <c r="E533" s="3717"/>
      <c r="F533" s="3717" t="s">
        <v>152</v>
      </c>
      <c r="G533" s="3717"/>
      <c r="H533" s="3717"/>
      <c r="I533" s="3730" t="str">
        <f>S532&amp;".1"</f>
        <v>2.14.1.1.1</v>
      </c>
      <c r="J533" s="3716"/>
      <c r="K533" s="3716"/>
      <c r="L533" s="3719" t="s">
        <v>618</v>
      </c>
      <c r="M533" s="3573"/>
      <c r="N533" s="3731"/>
      <c r="O533" s="3731"/>
      <c r="P533" s="3732">
        <v>1</v>
      </c>
      <c r="Q533" s="3732"/>
      <c r="R533" s="3733"/>
      <c r="S533" s="3734"/>
      <c r="T533" s="3735"/>
      <c r="U533" s="3736"/>
      <c r="V533" s="3441"/>
      <c r="W533" s="3442"/>
      <c r="X533" s="3442"/>
      <c r="Y533" s="3442"/>
      <c r="Z533" s="3442"/>
      <c r="AA533" s="3442"/>
      <c r="AB533" s="3442"/>
      <c r="AC533" s="3443"/>
      <c r="AD533" s="3441"/>
      <c r="AE533" s="3442"/>
      <c r="AF533" s="3442"/>
      <c r="AG533" s="3442"/>
      <c r="AH533" s="3442"/>
      <c r="AI533" s="3442"/>
      <c r="AJ533" s="3442"/>
      <c r="AK533" s="3442"/>
      <c r="AL533" s="3441"/>
      <c r="AM533" s="3442"/>
      <c r="AN533" s="3442"/>
      <c r="AO533" s="3442"/>
      <c r="AP533" s="3442"/>
      <c r="AQ533" s="3442"/>
      <c r="AR533" s="3442"/>
      <c r="AS533" s="3443"/>
      <c r="AT533" s="3441"/>
      <c r="AU533" s="3442"/>
      <c r="AV533" s="3442"/>
      <c r="AW533" s="3442"/>
      <c r="AX533" s="3442"/>
      <c r="AY533" s="3442"/>
      <c r="AZ533" s="3442"/>
      <c r="BA533" s="3443"/>
      <c r="BB533" s="3441"/>
      <c r="BC533" s="3442"/>
      <c r="BD533" s="3442"/>
      <c r="BE533" s="3442"/>
      <c r="BF533" s="3442"/>
      <c r="BG533" s="3442"/>
      <c r="BH533" s="3442"/>
      <c r="BI533" s="3443"/>
      <c r="BJ533" s="3441"/>
      <c r="BK533" s="3442"/>
      <c r="BL533" s="3442"/>
      <c r="BM533" s="3442"/>
      <c r="BN533" s="3442"/>
      <c r="BO533" s="3442"/>
      <c r="BP533" s="3442"/>
      <c r="BQ533" s="3443"/>
      <c r="BR533" s="3441"/>
      <c r="BS533" s="3442"/>
      <c r="BT533" s="3442"/>
      <c r="BU533" s="3442"/>
      <c r="BV533" s="3442"/>
      <c r="BW533" s="3442"/>
      <c r="BX533" s="3442"/>
      <c r="BY533" s="3443"/>
      <c r="BZ533" s="3441"/>
      <c r="CA533" s="3442"/>
      <c r="CB533" s="3442"/>
      <c r="CC533" s="3442"/>
      <c r="CD533" s="3442"/>
      <c r="CE533" s="3442"/>
      <c r="CF533" s="3442"/>
      <c r="CG533" s="3443"/>
      <c r="CH533" s="3441"/>
      <c r="CI533" s="3442"/>
      <c r="CJ533" s="3442"/>
      <c r="CK533" s="3442"/>
      <c r="CL533" s="3442"/>
      <c r="CM533" s="3442"/>
      <c r="CN533" s="3442"/>
      <c r="CO533" s="3443"/>
      <c r="CP533" s="3443"/>
      <c r="CQ533" s="3737"/>
      <c r="CR533" s="3581"/>
      <c r="CS533" s="3728"/>
      <c r="CT533" s="3728" t="str">
        <f>IF(T533="","",T533)</f>
        <v/>
      </c>
      <c r="CU533" s="3728"/>
      <c r="CV533" s="3728"/>
    </row>
    <row s="10821" customFormat="1" customHeight="1" ht="21">
      <c r="A534" s="3716"/>
      <c r="B534" s="3716"/>
      <c r="C534" s="3716"/>
      <c r="D534" s="3716"/>
      <c r="E534" s="3717"/>
      <c r="F534" s="3717" t="s">
        <v>152</v>
      </c>
      <c r="G534" s="3717"/>
      <c r="H534" s="3717"/>
      <c r="I534" s="3739"/>
      <c r="J534" s="3730" t="str">
        <f>I533&amp;".1"</f>
        <v>2.14.1.1.1.1</v>
      </c>
      <c r="K534" s="3716"/>
      <c r="L534" s="3719" t="s">
        <v>621</v>
      </c>
      <c r="M534" s="3573"/>
      <c r="N534" s="3573"/>
      <c r="O534" s="3731"/>
      <c r="P534" s="3732"/>
      <c r="Q534" s="3732">
        <v>1</v>
      </c>
      <c r="R534" s="3740"/>
      <c r="S534" s="3724" t="str">
        <f>$J534</f>
        <v>2.14.1.1.1.1</v>
      </c>
      <c r="T534" s="3741" t="s">
        <v>622</v>
      </c>
      <c r="U534" s="3726"/>
      <c r="V534" s="3445"/>
      <c r="W534" s="3446"/>
      <c r="X534" s="3446"/>
      <c r="Y534" s="3446"/>
      <c r="Z534" s="3446"/>
      <c r="AA534" s="3446"/>
      <c r="AB534" s="3446"/>
      <c r="AC534" s="3447"/>
      <c r="AD534" s="3445" t="s">
        <v>665</v>
      </c>
      <c r="AE534" s="3446"/>
      <c r="AF534" s="3446"/>
      <c r="AG534" s="3446"/>
      <c r="AH534" s="3446"/>
      <c r="AI534" s="3446"/>
      <c r="AJ534" s="3446"/>
      <c r="AK534" s="3446"/>
      <c r="AL534" s="3445"/>
      <c r="AM534" s="3446"/>
      <c r="AN534" s="3446"/>
      <c r="AO534" s="3446"/>
      <c r="AP534" s="3446"/>
      <c r="AQ534" s="3446"/>
      <c r="AR534" s="3446"/>
      <c r="AS534" s="3447"/>
      <c r="AT534" s="3445"/>
      <c r="AU534" s="3446"/>
      <c r="AV534" s="3446"/>
      <c r="AW534" s="3446"/>
      <c r="AX534" s="3446"/>
      <c r="AY534" s="3446"/>
      <c r="AZ534" s="3446"/>
      <c r="BA534" s="3447"/>
      <c r="BB534" s="3445"/>
      <c r="BC534" s="3446"/>
      <c r="BD534" s="3446"/>
      <c r="BE534" s="3446"/>
      <c r="BF534" s="3446"/>
      <c r="BG534" s="3446"/>
      <c r="BH534" s="3446"/>
      <c r="BI534" s="3447"/>
      <c r="BJ534" s="3445"/>
      <c r="BK534" s="3446"/>
      <c r="BL534" s="3446"/>
      <c r="BM534" s="3446"/>
      <c r="BN534" s="3446"/>
      <c r="BO534" s="3446"/>
      <c r="BP534" s="3446"/>
      <c r="BQ534" s="3447"/>
      <c r="BR534" s="3445"/>
      <c r="BS534" s="3446"/>
      <c r="BT534" s="3446"/>
      <c r="BU534" s="3446"/>
      <c r="BV534" s="3446"/>
      <c r="BW534" s="3446"/>
      <c r="BX534" s="3446"/>
      <c r="BY534" s="3447"/>
      <c r="BZ534" s="3445"/>
      <c r="CA534" s="3446"/>
      <c r="CB534" s="3446"/>
      <c r="CC534" s="3446"/>
      <c r="CD534" s="3446"/>
      <c r="CE534" s="3446"/>
      <c r="CF534" s="3446"/>
      <c r="CG534" s="3447"/>
      <c r="CH534" s="3445"/>
      <c r="CI534" s="3446"/>
      <c r="CJ534" s="3446"/>
      <c r="CK534" s="3446"/>
      <c r="CL534" s="3446"/>
      <c r="CM534" s="3446"/>
      <c r="CN534" s="3446"/>
      <c r="CO534" s="3447"/>
      <c r="CP534" s="3447"/>
      <c r="CQ534" s="3727" t="s">
        <v>623</v>
      </c>
      <c r="CR534" s="3581"/>
      <c r="CS534" s="3728"/>
      <c r="CT534" s="3728" t="str">
        <f>IF(T534="","",T534)</f>
        <v>Группа потребителей</v>
      </c>
      <c r="CU534" s="3728"/>
      <c r="CV534" s="3728"/>
    </row>
    <row s="10822" customFormat="1" customHeight="1" ht="21">
      <c r="A535" s="3716"/>
      <c r="B535" s="3716"/>
      <c r="C535" s="3716"/>
      <c r="D535" s="3716"/>
      <c r="E535" s="3717"/>
      <c r="F535" s="3717" t="s">
        <v>152</v>
      </c>
      <c r="G535" s="3717"/>
      <c r="H535" s="3717"/>
      <c r="I535" s="3739"/>
      <c r="J535" s="3739"/>
      <c r="K535" s="3730" t="str">
        <f>J534&amp;".1"</f>
        <v>2.14.1.1.1.1.1</v>
      </c>
      <c r="L535" s="3719" t="s">
        <v>624</v>
      </c>
      <c r="M535" s="3573"/>
      <c r="N535" s="3573"/>
      <c r="O535" s="3573"/>
      <c r="P535" s="3732"/>
      <c r="Q535" s="3732"/>
      <c r="R535" s="3740">
        <v>1</v>
      </c>
      <c r="S535" s="3724" t="str">
        <f>$K535</f>
        <v>2.14.1.1.1.1.1</v>
      </c>
      <c r="T535" s="3743" t="s">
        <v>663</v>
      </c>
      <c r="U535" s="3726"/>
      <c r="V535" s="3448"/>
      <c r="W535" s="3449"/>
      <c r="X535" s="3448"/>
      <c r="Y535" s="3450"/>
      <c r="Z535" s="3451"/>
      <c r="AA535" s="2872" t="s">
        <v>63</v>
      </c>
      <c r="AB535" s="3451"/>
      <c r="AC535" s="2872" t="s">
        <v>63</v>
      </c>
      <c r="AD535" s="3448">
        <v>35.1</v>
      </c>
      <c r="AE535" s="3449"/>
      <c r="AF535" s="3448"/>
      <c r="AG535" s="3450"/>
      <c r="AH535" s="3451">
        <v>44197</v>
      </c>
      <c r="AI535" s="2872" t="s">
        <v>63</v>
      </c>
      <c r="AJ535" s="3451">
        <v>44377</v>
      </c>
      <c r="AK535" s="2872" t="s">
        <v>63</v>
      </c>
      <c r="AL535" s="3448">
        <v>39.31</v>
      </c>
      <c r="AM535" s="3449"/>
      <c r="AN535" s="3448"/>
      <c r="AO535" s="3450"/>
      <c r="AP535" s="3451">
        <v>44378</v>
      </c>
      <c r="AQ535" s="2872" t="s">
        <v>63</v>
      </c>
      <c r="AR535" s="3451">
        <v>44561</v>
      </c>
      <c r="AS535" s="2872" t="s">
        <v>63</v>
      </c>
      <c r="AT535" s="3448">
        <v>39.31</v>
      </c>
      <c r="AU535" s="3449"/>
      <c r="AV535" s="3448"/>
      <c r="AW535" s="3450"/>
      <c r="AX535" s="3451">
        <v>44562</v>
      </c>
      <c r="AY535" s="2872" t="s">
        <v>63</v>
      </c>
      <c r="AZ535" s="3451">
        <v>44601</v>
      </c>
      <c r="BA535" s="2872" t="s">
        <v>63</v>
      </c>
      <c r="BB535" s="3448">
        <v>39.31</v>
      </c>
      <c r="BC535" s="3449"/>
      <c r="BD535" s="3448"/>
      <c r="BE535" s="3450"/>
      <c r="BF535" s="3451">
        <v>44602</v>
      </c>
      <c r="BG535" s="2872" t="s">
        <v>63</v>
      </c>
      <c r="BH535" s="3451">
        <v>44742</v>
      </c>
      <c r="BI535" s="2872" t="s">
        <v>63</v>
      </c>
      <c r="BJ535" s="3448">
        <v>42.45</v>
      </c>
      <c r="BK535" s="3449"/>
      <c r="BL535" s="3448"/>
      <c r="BM535" s="3450"/>
      <c r="BN535" s="3451">
        <v>44743</v>
      </c>
      <c r="BO535" s="2872" t="s">
        <v>63</v>
      </c>
      <c r="BP535" s="3451">
        <v>44804</v>
      </c>
      <c r="BQ535" s="2872" t="s">
        <v>63</v>
      </c>
      <c r="BR535" s="3448">
        <v>42.45</v>
      </c>
      <c r="BS535" s="3449"/>
      <c r="BT535" s="3448"/>
      <c r="BU535" s="3450"/>
      <c r="BV535" s="3451">
        <v>44805</v>
      </c>
      <c r="BW535" s="2872" t="s">
        <v>63</v>
      </c>
      <c r="BX535" s="3451">
        <v>44895</v>
      </c>
      <c r="BY535" s="2872" t="s">
        <v>63</v>
      </c>
      <c r="BZ535" s="3448">
        <v>45</v>
      </c>
      <c r="CA535" s="3449"/>
      <c r="CB535" s="3448"/>
      <c r="CC535" s="3450"/>
      <c r="CD535" s="3451">
        <v>44896</v>
      </c>
      <c r="CE535" s="2872" t="s">
        <v>63</v>
      </c>
      <c r="CF535" s="3451">
        <v>45174</v>
      </c>
      <c r="CG535" s="2872" t="s">
        <v>63</v>
      </c>
      <c r="CH535" s="3448">
        <v>45</v>
      </c>
      <c r="CI535" s="3449"/>
      <c r="CJ535" s="3448"/>
      <c r="CK535" s="3450"/>
      <c r="CL535" s="3451">
        <v>45175</v>
      </c>
      <c r="CM535" s="2872" t="s">
        <v>63</v>
      </c>
      <c r="CN535" s="3451">
        <v>45291</v>
      </c>
      <c r="CO535" s="2872" t="s">
        <v>63</v>
      </c>
      <c r="CP535" s="3449"/>
      <c r="CQ535" s="3744" t="s">
        <v>625</v>
      </c>
      <c r="CR535" s="3581">
        <f>STRCHECKDATE(V536:CP536)</f>
      </c>
      <c r="CS535" s="3728"/>
      <c r="CT535" s="3728" t="str">
        <f>IF(T535="","",T535)</f>
        <v>вода</v>
      </c>
      <c r="CU535" s="3728"/>
      <c r="CV535" s="3728"/>
    </row>
    <row s="10823" customFormat="1" customHeight="1" ht="0.75">
      <c r="A536" s="3716"/>
      <c r="B536" s="3716"/>
      <c r="C536" s="3716"/>
      <c r="D536" s="3716"/>
      <c r="E536" s="3717"/>
      <c r="F536" s="3717" t="s">
        <v>152</v>
      </c>
      <c r="G536" s="3717"/>
      <c r="H536" s="3717"/>
      <c r="I536" s="3739"/>
      <c r="J536" s="3739"/>
      <c r="K536" s="3730"/>
      <c r="L536" s="3719"/>
      <c r="M536" s="3573"/>
      <c r="N536" s="3573"/>
      <c r="O536" s="3573"/>
      <c r="P536" s="3732"/>
      <c r="Q536" s="3732"/>
      <c r="R536" s="3740"/>
      <c r="S536" s="3746"/>
      <c r="T536" s="3726"/>
      <c r="U536" s="3726"/>
      <c r="V536" s="3449"/>
      <c r="W536" s="3449"/>
      <c r="X536" s="3449"/>
      <c r="Y536" s="3452" t="str">
        <f>Z535&amp;"-"&amp;AB535</f>
        <v>-</v>
      </c>
      <c r="Z536" s="3453"/>
      <c r="AA536" s="2872"/>
      <c r="AB536" s="3453"/>
      <c r="AC536" s="2872"/>
      <c r="AD536" s="3449"/>
      <c r="AE536" s="3449"/>
      <c r="AF536" s="3449"/>
      <c r="AG536" s="3452" t="str">
        <f>AH535&amp;"-"&amp;AJ535</f>
        <v>44197-44377</v>
      </c>
      <c r="AH536" s="3453"/>
      <c r="AI536" s="2872"/>
      <c r="AJ536" s="3453"/>
      <c r="AK536" s="2872"/>
      <c r="AL536" s="3449"/>
      <c r="AM536" s="3449"/>
      <c r="AN536" s="3449"/>
      <c r="AO536" s="3452" t="str">
        <f>AP535&amp;"-"&amp;AR535</f>
        <v>44378-44561</v>
      </c>
      <c r="AP536" s="3453"/>
      <c r="AQ536" s="2872"/>
      <c r="AR536" s="3453"/>
      <c r="AS536" s="2872"/>
      <c r="AT536" s="3449"/>
      <c r="AU536" s="3449"/>
      <c r="AV536" s="3449"/>
      <c r="AW536" s="3452" t="str">
        <f>AX535&amp;"-"&amp;AZ535</f>
        <v>44562-44601</v>
      </c>
      <c r="AX536" s="3453"/>
      <c r="AY536" s="2872"/>
      <c r="AZ536" s="3453"/>
      <c r="BA536" s="2872"/>
      <c r="BB536" s="3449"/>
      <c r="BC536" s="3449"/>
      <c r="BD536" s="3449"/>
      <c r="BE536" s="3452" t="str">
        <f>BF535&amp;"-"&amp;BH535</f>
        <v>44602-44742</v>
      </c>
      <c r="BF536" s="3453"/>
      <c r="BG536" s="2872"/>
      <c r="BH536" s="3453"/>
      <c r="BI536" s="2872"/>
      <c r="BJ536" s="3449"/>
      <c r="BK536" s="3449"/>
      <c r="BL536" s="3449"/>
      <c r="BM536" s="3452" t="str">
        <f>BN535&amp;"-"&amp;BP535</f>
        <v>44743-44804</v>
      </c>
      <c r="BN536" s="3453"/>
      <c r="BO536" s="2872"/>
      <c r="BP536" s="3453"/>
      <c r="BQ536" s="2872"/>
      <c r="BR536" s="3449"/>
      <c r="BS536" s="3449"/>
      <c r="BT536" s="3449"/>
      <c r="BU536" s="3452" t="str">
        <f>BV535&amp;"-"&amp;BX535</f>
        <v>44805-44895</v>
      </c>
      <c r="BV536" s="3453"/>
      <c r="BW536" s="2872"/>
      <c r="BX536" s="3453"/>
      <c r="BY536" s="2872"/>
      <c r="BZ536" s="3449"/>
      <c r="CA536" s="3449"/>
      <c r="CB536" s="3449"/>
      <c r="CC536" s="3452" t="str">
        <f>CD535&amp;"-"&amp;CF535</f>
        <v>44896-45174</v>
      </c>
      <c r="CD536" s="3453"/>
      <c r="CE536" s="2872"/>
      <c r="CF536" s="3453"/>
      <c r="CG536" s="2872"/>
      <c r="CH536" s="3449"/>
      <c r="CI536" s="3449"/>
      <c r="CJ536" s="3449"/>
      <c r="CK536" s="3452" t="str">
        <f>CL535&amp;"-"&amp;CN535</f>
        <v>45175-45291</v>
      </c>
      <c r="CL536" s="3453"/>
      <c r="CM536" s="2872"/>
      <c r="CN536" s="3453"/>
      <c r="CO536" s="2872"/>
      <c r="CP536" s="3449"/>
      <c r="CQ536" s="3747"/>
      <c r="CR536" s="3581"/>
      <c r="CS536" s="3728"/>
      <c r="CT536" s="3728" t="str">
        <f>IF(T536="","",T536)</f>
        <v/>
      </c>
      <c r="CU536" s="3728"/>
      <c r="CV536" s="3728"/>
    </row>
    <row s="10824" customFormat="1" customHeight="1" ht="15">
      <c r="A537" s="3716"/>
      <c r="B537" s="3716"/>
      <c r="C537" s="3716"/>
      <c r="D537" s="3716"/>
      <c r="E537" s="3717"/>
      <c r="F537" s="3717" t="s">
        <v>152</v>
      </c>
      <c r="G537" s="3717"/>
      <c r="H537" s="3717"/>
      <c r="I537" s="3739"/>
      <c r="J537" s="3730"/>
      <c r="K537" s="3716"/>
      <c r="L537" s="3719"/>
      <c r="M537" s="3573"/>
      <c r="N537" s="3573"/>
      <c r="O537" s="3731"/>
      <c r="P537" s="3732"/>
      <c r="Q537" s="3732"/>
      <c r="R537" s="3733"/>
      <c r="S537" s="10825"/>
      <c r="T537" s="10826" t="s">
        <v>626</v>
      </c>
      <c r="U537" s="10827"/>
      <c r="V537" s="10828"/>
      <c r="W537" s="10829"/>
      <c r="X537" s="10830"/>
      <c r="Y537" s="10831"/>
      <c r="Z537" s="10832"/>
      <c r="AA537" s="10833"/>
      <c r="AB537" s="10834"/>
      <c r="AC537" s="10835"/>
      <c r="AD537" s="10836"/>
      <c r="AE537" s="10837"/>
      <c r="AF537" s="10838"/>
      <c r="AG537" s="10839"/>
      <c r="AH537" s="10840"/>
      <c r="AI537" s="10841"/>
      <c r="AJ537" s="10842"/>
      <c r="AK537" s="10843"/>
      <c r="AL537" s="10844"/>
      <c r="AM537" s="10845"/>
      <c r="AN537" s="10846"/>
      <c r="AO537" s="10847"/>
      <c r="AP537" s="10848"/>
      <c r="AQ537" s="10849"/>
      <c r="AR537" s="10850"/>
      <c r="AS537" s="10851"/>
      <c r="AT537" s="10852"/>
      <c r="AU537" s="10853"/>
      <c r="AV537" s="10854"/>
      <c r="AW537" s="10855"/>
      <c r="AX537" s="10856"/>
      <c r="AY537" s="10857"/>
      <c r="AZ537" s="10858"/>
      <c r="BA537" s="10859"/>
      <c r="BB537" s="10860"/>
      <c r="BC537" s="10861"/>
      <c r="BD537" s="10862"/>
      <c r="BE537" s="10863"/>
      <c r="BF537" s="10864"/>
      <c r="BG537" s="10865"/>
      <c r="BH537" s="10866"/>
      <c r="BI537" s="10867"/>
      <c r="BJ537" s="10868"/>
      <c r="BK537" s="10869"/>
      <c r="BL537" s="10870"/>
      <c r="BM537" s="10871"/>
      <c r="BN537" s="10872"/>
      <c r="BO537" s="10873"/>
      <c r="BP537" s="10874"/>
      <c r="BQ537" s="10875"/>
      <c r="BR537" s="10876"/>
      <c r="BS537" s="10877"/>
      <c r="BT537" s="10878"/>
      <c r="BU537" s="10879"/>
      <c r="BV537" s="10880"/>
      <c r="BW537" s="10881"/>
      <c r="BX537" s="10882"/>
      <c r="BY537" s="10883"/>
      <c r="BZ537" s="10884"/>
      <c r="CA537" s="10885"/>
      <c r="CB537" s="10886"/>
      <c r="CC537" s="10887"/>
      <c r="CD537" s="10888"/>
      <c r="CE537" s="10889"/>
      <c r="CF537" s="10890"/>
      <c r="CG537" s="10891"/>
      <c r="CH537" s="10892"/>
      <c r="CI537" s="10893"/>
      <c r="CJ537" s="10894"/>
      <c r="CK537" s="10895"/>
      <c r="CL537" s="10896"/>
      <c r="CM537" s="10897"/>
      <c r="CN537" s="10898"/>
      <c r="CO537" s="10899"/>
      <c r="CP537" s="10900"/>
      <c r="CQ537" s="3825"/>
      <c r="CR537" s="3581"/>
      <c r="CS537" s="3728"/>
      <c r="CT537" s="3728" t="str">
        <f>IF(T537="","",T537)</f>
        <v>Добавить вид теплоносителя (параметры теплоносителя)</v>
      </c>
      <c r="CU537" s="3728"/>
      <c r="CV537" s="3728"/>
    </row>
    <row s="10901" customFormat="1" customHeight="1" ht="15">
      <c r="A538" s="3716"/>
      <c r="B538" s="3716"/>
      <c r="C538" s="3716"/>
      <c r="D538" s="3716"/>
      <c r="E538" s="3717"/>
      <c r="F538" s="3717" t="s">
        <v>152</v>
      </c>
      <c r="G538" s="3717"/>
      <c r="H538" s="3717"/>
      <c r="I538" s="3730"/>
      <c r="J538" s="3716"/>
      <c r="K538" s="3716"/>
      <c r="L538" s="3719"/>
      <c r="M538" s="3573"/>
      <c r="N538" s="3731"/>
      <c r="O538" s="3731"/>
      <c r="P538" s="3732"/>
      <c r="Q538" s="3732"/>
      <c r="R538" s="3733"/>
      <c r="S538" s="10902"/>
      <c r="T538" s="10903" t="s">
        <v>627</v>
      </c>
      <c r="U538" s="10904"/>
      <c r="V538" s="10905"/>
      <c r="W538" s="10906"/>
      <c r="X538" s="10907"/>
      <c r="Y538" s="10908"/>
      <c r="Z538" s="10909"/>
      <c r="AA538" s="10910"/>
      <c r="AB538" s="10911"/>
      <c r="AC538" s="10912"/>
      <c r="AD538" s="10913"/>
      <c r="AE538" s="10914"/>
      <c r="AF538" s="10915"/>
      <c r="AG538" s="10916"/>
      <c r="AH538" s="10917"/>
      <c r="AI538" s="10918"/>
      <c r="AJ538" s="10919"/>
      <c r="AK538" s="10920"/>
      <c r="AL538" s="10921"/>
      <c r="AM538" s="10922"/>
      <c r="AN538" s="10923"/>
      <c r="AO538" s="10924"/>
      <c r="AP538" s="10925"/>
      <c r="AQ538" s="10926"/>
      <c r="AR538" s="10927"/>
      <c r="AS538" s="10928"/>
      <c r="AT538" s="10929"/>
      <c r="AU538" s="10930"/>
      <c r="AV538" s="10931"/>
      <c r="AW538" s="10932"/>
      <c r="AX538" s="10933"/>
      <c r="AY538" s="10934"/>
      <c r="AZ538" s="10935"/>
      <c r="BA538" s="10936"/>
      <c r="BB538" s="10937"/>
      <c r="BC538" s="10938"/>
      <c r="BD538" s="10939"/>
      <c r="BE538" s="10940"/>
      <c r="BF538" s="10941"/>
      <c r="BG538" s="10942"/>
      <c r="BH538" s="10943"/>
      <c r="BI538" s="10944"/>
      <c r="BJ538" s="10945"/>
      <c r="BK538" s="10946"/>
      <c r="BL538" s="10947"/>
      <c r="BM538" s="10948"/>
      <c r="BN538" s="10949"/>
      <c r="BO538" s="10950"/>
      <c r="BP538" s="10951"/>
      <c r="BQ538" s="10952"/>
      <c r="BR538" s="10953"/>
      <c r="BS538" s="10954"/>
      <c r="BT538" s="10955"/>
      <c r="BU538" s="10956"/>
      <c r="BV538" s="10957"/>
      <c r="BW538" s="10958"/>
      <c r="BX538" s="10959"/>
      <c r="BY538" s="10960"/>
      <c r="BZ538" s="10961"/>
      <c r="CA538" s="10962"/>
      <c r="CB538" s="10963"/>
      <c r="CC538" s="10964"/>
      <c r="CD538" s="10965"/>
      <c r="CE538" s="10966"/>
      <c r="CF538" s="10967"/>
      <c r="CG538" s="10968"/>
      <c r="CH538" s="10969"/>
      <c r="CI538" s="10970"/>
      <c r="CJ538" s="10971"/>
      <c r="CK538" s="10972"/>
      <c r="CL538" s="10973"/>
      <c r="CM538" s="10974"/>
      <c r="CN538" s="10975"/>
      <c r="CO538" s="10976"/>
      <c r="CP538" s="10977"/>
      <c r="CQ538" s="10978"/>
      <c r="CR538" s="3581"/>
      <c r="CS538" s="3728"/>
      <c r="CT538" s="3728" t="str">
        <f>IF(T538="","",T538)</f>
        <v>Добавить группу потребителей</v>
      </c>
      <c r="CU538" s="3728"/>
      <c r="CV538" s="3728"/>
    </row>
    <row s="10979" customFormat="1" customHeight="1" ht="14.25">
      <c r="A539" s="3716"/>
      <c r="B539" s="3716"/>
      <c r="C539" s="3716"/>
      <c r="D539" s="3716"/>
      <c r="E539" s="3717"/>
      <c r="F539" s="3717" t="s">
        <v>152</v>
      </c>
      <c r="G539" s="3717"/>
      <c r="H539" s="3718"/>
      <c r="I539" s="3716"/>
      <c r="J539" s="3716"/>
      <c r="K539" s="3716"/>
      <c r="L539" s="3719"/>
      <c r="M539" s="3720"/>
      <c r="N539" s="3720"/>
      <c r="O539" s="3573"/>
      <c r="P539" s="3905"/>
      <c r="Q539" s="3906"/>
      <c r="R539" s="3907"/>
      <c r="S539" s="3908"/>
      <c r="T539" s="3909"/>
      <c r="U539" s="3569"/>
      <c r="V539" s="3569"/>
      <c r="W539" s="3569"/>
      <c r="X539" s="3569"/>
      <c r="Y539" s="3569"/>
      <c r="Z539" s="3569"/>
      <c r="AA539" s="3569"/>
      <c r="AB539" s="3569"/>
      <c r="AC539" s="3569"/>
      <c r="AD539" s="3569"/>
      <c r="AE539" s="3569"/>
      <c r="AF539" s="3569"/>
      <c r="AG539" s="3569"/>
      <c r="AH539" s="3569"/>
      <c r="AI539" s="3569"/>
      <c r="AJ539" s="3569"/>
      <c r="AK539" s="3569"/>
      <c r="AL539" s="3569"/>
      <c r="AM539" s="3569"/>
      <c r="AN539" s="3569"/>
      <c r="AO539" s="3569"/>
      <c r="AP539" s="3569"/>
      <c r="AQ539" s="3569"/>
      <c r="AR539" s="3569"/>
      <c r="AS539" s="3569"/>
      <c r="AT539" s="3569"/>
      <c r="AU539" s="3569"/>
      <c r="AV539" s="3569"/>
      <c r="AW539" s="3569"/>
      <c r="AX539" s="3569"/>
      <c r="AY539" s="3569"/>
      <c r="AZ539" s="3569"/>
      <c r="BA539" s="3569"/>
      <c r="BB539" s="3569"/>
      <c r="BC539" s="3569"/>
      <c r="BD539" s="3569"/>
      <c r="BE539" s="3569"/>
      <c r="BF539" s="3569"/>
      <c r="BG539" s="3569"/>
      <c r="BH539" s="3569"/>
      <c r="BI539" s="3569"/>
      <c r="BJ539" s="3569"/>
      <c r="BK539" s="3569"/>
      <c r="BL539" s="3569"/>
      <c r="BM539" s="3569"/>
      <c r="BN539" s="3569"/>
      <c r="BO539" s="3569"/>
      <c r="BP539" s="3569"/>
      <c r="BQ539" s="3569"/>
      <c r="BR539" s="3569"/>
      <c r="BS539" s="3569"/>
      <c r="BT539" s="3569"/>
      <c r="BU539" s="3569"/>
      <c r="BV539" s="3569"/>
      <c r="BW539" s="3569"/>
      <c r="BX539" s="3569"/>
      <c r="BY539" s="3569"/>
      <c r="BZ539" s="3569"/>
      <c r="CA539" s="3569"/>
      <c r="CB539" s="3569"/>
      <c r="CC539" s="3569"/>
      <c r="CD539" s="3569"/>
      <c r="CE539" s="3569"/>
      <c r="CF539" s="3569"/>
      <c r="CG539" s="3569"/>
      <c r="CH539" s="3569"/>
      <c r="CI539" s="3569"/>
      <c r="CJ539" s="3569"/>
      <c r="CK539" s="3569"/>
      <c r="CL539" s="3569"/>
      <c r="CM539" s="3569"/>
      <c r="CN539" s="3569"/>
      <c r="CO539" s="3569"/>
      <c r="CP539" s="3569"/>
      <c r="CQ539" s="3910"/>
      <c r="CR539" s="3581"/>
      <c r="CS539" s="3728"/>
      <c r="CT539" s="3728" t="str">
        <f>IF(T539="","",T539)</f>
        <v/>
      </c>
      <c r="CU539" s="3728"/>
      <c r="CV539" s="3728"/>
    </row>
    <row s="10980" customFormat="1" customHeight="1" ht="0.75">
      <c r="A540" s="4239"/>
      <c r="B540" s="4239"/>
      <c r="C540" s="4239"/>
      <c r="D540" s="4239"/>
      <c r="E540" s="3717"/>
      <c r="F540" s="3717" t="s">
        <v>152</v>
      </c>
      <c r="G540" s="3718"/>
      <c r="H540" s="4239"/>
      <c r="I540" s="4239"/>
      <c r="J540" s="4239"/>
      <c r="K540" s="4239"/>
      <c r="L540" s="4240"/>
      <c r="M540" s="4241"/>
      <c r="N540" s="4241"/>
      <c r="O540" s="3581"/>
      <c r="P540" s="4242"/>
      <c r="Q540" s="4243"/>
      <c r="R540" s="4242"/>
      <c r="S540" s="4244"/>
      <c r="T540" s="4245" t="s">
        <v>254</v>
      </c>
      <c r="U540" s="3571"/>
      <c r="V540" s="3571"/>
      <c r="W540" s="3571"/>
      <c r="X540" s="3571"/>
      <c r="Y540" s="3571"/>
      <c r="Z540" s="3571"/>
      <c r="AA540" s="3571"/>
      <c r="AB540" s="3571"/>
      <c r="AC540" s="3571"/>
      <c r="AD540" s="3571"/>
      <c r="AE540" s="3571"/>
      <c r="AF540" s="3571"/>
      <c r="AG540" s="3571"/>
      <c r="AH540" s="3571"/>
      <c r="AI540" s="3571"/>
      <c r="AJ540" s="3571"/>
      <c r="AK540" s="3571"/>
      <c r="AL540" s="3571"/>
      <c r="AM540" s="3571"/>
      <c r="AN540" s="3571"/>
      <c r="AO540" s="3571"/>
      <c r="AP540" s="3571"/>
      <c r="AQ540" s="3571"/>
      <c r="AR540" s="3571"/>
      <c r="AS540" s="3571"/>
      <c r="AT540" s="3571"/>
      <c r="AU540" s="3571"/>
      <c r="AV540" s="3571"/>
      <c r="AW540" s="3571"/>
      <c r="AX540" s="3571"/>
      <c r="AY540" s="3571"/>
      <c r="AZ540" s="3571"/>
      <c r="BA540" s="3571"/>
      <c r="BB540" s="3571"/>
      <c r="BC540" s="3571"/>
      <c r="BD540" s="3571"/>
      <c r="BE540" s="3571"/>
      <c r="BF540" s="3571"/>
      <c r="BG540" s="3571"/>
      <c r="BH540" s="3571"/>
      <c r="BI540" s="3571"/>
      <c r="BJ540" s="3571"/>
      <c r="BK540" s="3571"/>
      <c r="BL540" s="3571"/>
      <c r="BM540" s="3571"/>
      <c r="BN540" s="3571"/>
      <c r="BO540" s="3571"/>
      <c r="BP540" s="3571"/>
      <c r="BQ540" s="3571"/>
      <c r="BR540" s="3571"/>
      <c r="BS540" s="3571"/>
      <c r="BT540" s="3571"/>
      <c r="BU540" s="3571"/>
      <c r="BV540" s="3571"/>
      <c r="BW540" s="3571"/>
      <c r="BX540" s="3571"/>
      <c r="BY540" s="3571"/>
      <c r="BZ540" s="3571"/>
      <c r="CA540" s="3571"/>
      <c r="CB540" s="3571"/>
      <c r="CC540" s="3571"/>
      <c r="CD540" s="3571"/>
      <c r="CE540" s="3571"/>
      <c r="CF540" s="3571"/>
      <c r="CG540" s="3571"/>
      <c r="CH540" s="3571"/>
      <c r="CI540" s="3571"/>
      <c r="CJ540" s="3571"/>
      <c r="CK540" s="3571"/>
      <c r="CL540" s="3571"/>
      <c r="CM540" s="3571"/>
      <c r="CN540" s="3571"/>
      <c r="CO540" s="3571"/>
      <c r="CP540" s="3571"/>
      <c r="CQ540" s="3571"/>
      <c r="CR540" s="3581"/>
      <c r="CS540" s="3728"/>
      <c r="CT540" s="3728" t="str">
        <f>IF(T540="","",T540)</f>
        <v>Добавить источник для дифференциации</v>
      </c>
      <c r="CU540" s="3728"/>
      <c r="CV540" s="3728"/>
    </row>
    <row s="10981" customFormat="1" customHeight="1" ht="0.75">
      <c r="A541" s="4239"/>
      <c r="B541" s="4239"/>
      <c r="C541" s="4239"/>
      <c r="D541" s="4239"/>
      <c r="E541" s="3717"/>
      <c r="F541" s="3718" t="s">
        <v>152</v>
      </c>
      <c r="G541" s="4239"/>
      <c r="H541" s="4239"/>
      <c r="I541" s="4239"/>
      <c r="J541" s="4239"/>
      <c r="K541" s="4239"/>
      <c r="L541" s="4240"/>
      <c r="M541" s="4247"/>
      <c r="N541" s="4247"/>
      <c r="O541" s="3581"/>
      <c r="P541" s="4242"/>
      <c r="Q541" s="4243"/>
      <c r="R541" s="4242"/>
      <c r="S541" s="4248"/>
      <c r="T541" s="4249" t="s">
        <v>255</v>
      </c>
      <c r="U541" s="3572"/>
      <c r="V541" s="3572"/>
      <c r="W541" s="3572"/>
      <c r="X541" s="3572"/>
      <c r="Y541" s="3572"/>
      <c r="Z541" s="3572"/>
      <c r="AA541" s="3572"/>
      <c r="AB541" s="3572"/>
      <c r="AC541" s="3572"/>
      <c r="AD541" s="3572"/>
      <c r="AE541" s="3572"/>
      <c r="AF541" s="3572"/>
      <c r="AG541" s="3572"/>
      <c r="AH541" s="3572"/>
      <c r="AI541" s="3572"/>
      <c r="AJ541" s="3572"/>
      <c r="AK541" s="3572"/>
      <c r="AL541" s="3572"/>
      <c r="AM541" s="3572"/>
      <c r="AN541" s="3572"/>
      <c r="AO541" s="3572"/>
      <c r="AP541" s="3572"/>
      <c r="AQ541" s="3572"/>
      <c r="AR541" s="3572"/>
      <c r="AS541" s="3572"/>
      <c r="AT541" s="3572"/>
      <c r="AU541" s="3572"/>
      <c r="AV541" s="3572"/>
      <c r="AW541" s="3572"/>
      <c r="AX541" s="3572"/>
      <c r="AY541" s="3572"/>
      <c r="AZ541" s="3572"/>
      <c r="BA541" s="3572"/>
      <c r="BB541" s="3572"/>
      <c r="BC541" s="3572"/>
      <c r="BD541" s="3572"/>
      <c r="BE541" s="3572"/>
      <c r="BF541" s="3572"/>
      <c r="BG541" s="3572"/>
      <c r="BH541" s="3572"/>
      <c r="BI541" s="3572"/>
      <c r="BJ541" s="3572"/>
      <c r="BK541" s="3572"/>
      <c r="BL541" s="3572"/>
      <c r="BM541" s="3572"/>
      <c r="BN541" s="3572"/>
      <c r="BO541" s="3572"/>
      <c r="BP541" s="3572"/>
      <c r="BQ541" s="3572"/>
      <c r="BR541" s="3572"/>
      <c r="BS541" s="3572"/>
      <c r="BT541" s="3572"/>
      <c r="BU541" s="3572"/>
      <c r="BV541" s="3572"/>
      <c r="BW541" s="3572"/>
      <c r="BX541" s="3572"/>
      <c r="BY541" s="3572"/>
      <c r="BZ541" s="3572"/>
      <c r="CA541" s="3572"/>
      <c r="CB541" s="3572"/>
      <c r="CC541" s="3572"/>
      <c r="CD541" s="3572"/>
      <c r="CE541" s="3572"/>
      <c r="CF541" s="3572"/>
      <c r="CG541" s="3572"/>
      <c r="CH541" s="3572"/>
      <c r="CI541" s="3572"/>
      <c r="CJ541" s="3572"/>
      <c r="CK541" s="3572"/>
      <c r="CL541" s="3572"/>
      <c r="CM541" s="3572"/>
      <c r="CN541" s="3572"/>
      <c r="CO541" s="3572"/>
      <c r="CP541" s="3572"/>
      <c r="CQ541" s="3572"/>
      <c r="CR541" s="3581"/>
      <c r="CS541" s="3728"/>
      <c r="CT541" s="3728" t="str">
        <f>IF(T541="","",T541)</f>
        <v>Добавить централизованную систему для дифференциации</v>
      </c>
      <c r="CU541" s="3728"/>
      <c r="CV541" s="3728"/>
    </row>
    <row s="10982" customFormat="1" customHeight="1" ht="21">
      <c r="A542" s="3716"/>
      <c r="B542" s="3716" t="s">
        <v>379</v>
      </c>
      <c r="C542" s="3716"/>
      <c r="D542" s="3716"/>
      <c r="E542" s="3717"/>
      <c r="F542" s="3718" t="s">
        <v>159</v>
      </c>
      <c r="G542" s="3716"/>
      <c r="H542" s="3716"/>
      <c r="I542" s="3716"/>
      <c r="J542" s="3716"/>
      <c r="K542" s="3716"/>
      <c r="L542" s="3719"/>
      <c r="M542" s="3720"/>
      <c r="N542" s="3720"/>
      <c r="O542" s="3720"/>
      <c r="P542" s="4073"/>
      <c r="Q542" s="3722"/>
      <c r="R542" s="3723"/>
      <c r="S542" s="3724" t="str">
        <f>INDEX(PT_DIFFERENTIATION_NUM_TER,MATCH(B542,PT_DIFFERENTIATION_TER_ID,0))</f>
        <v>2.15</v>
      </c>
      <c r="T542" s="4074" t="s">
        <v>612</v>
      </c>
      <c r="U542" s="3726"/>
      <c r="V542" s="3432"/>
      <c r="W542" s="3433"/>
      <c r="X542" s="3433"/>
      <c r="Y542" s="3433"/>
      <c r="Z542" s="3433"/>
      <c r="AA542" s="3433"/>
      <c r="AB542" s="3433"/>
      <c r="AC542" s="3434"/>
      <c r="AD542" s="3432" t="str">
        <f>INDEX(PT_DIFFERENTIATION_TER,MATCH(B542,PT_DIFFERENTIATION_TER_ID,0))</f>
        <v>Территория 15</v>
      </c>
      <c r="AE542" s="3433"/>
      <c r="AF542" s="3433"/>
      <c r="AG542" s="3433"/>
      <c r="AH542" s="3433"/>
      <c r="AI542" s="3433"/>
      <c r="AJ542" s="3433"/>
      <c r="AK542" s="3433"/>
      <c r="AL542" s="3432"/>
      <c r="AM542" s="3433"/>
      <c r="AN542" s="3433"/>
      <c r="AO542" s="3433"/>
      <c r="AP542" s="3433"/>
      <c r="AQ542" s="3433"/>
      <c r="AR542" s="3433"/>
      <c r="AS542" s="3434"/>
      <c r="AT542" s="3432"/>
      <c r="AU542" s="3433"/>
      <c r="AV542" s="3433"/>
      <c r="AW542" s="3433"/>
      <c r="AX542" s="3433"/>
      <c r="AY542" s="3433"/>
      <c r="AZ542" s="3433"/>
      <c r="BA542" s="3434"/>
      <c r="BB542" s="3432"/>
      <c r="BC542" s="3433"/>
      <c r="BD542" s="3433"/>
      <c r="BE542" s="3433"/>
      <c r="BF542" s="3433"/>
      <c r="BG542" s="3433"/>
      <c r="BH542" s="3433"/>
      <c r="BI542" s="3434"/>
      <c r="BJ542" s="3432"/>
      <c r="BK542" s="3433"/>
      <c r="BL542" s="3433"/>
      <c r="BM542" s="3433"/>
      <c r="BN542" s="3433"/>
      <c r="BO542" s="3433"/>
      <c r="BP542" s="3433"/>
      <c r="BQ542" s="3434"/>
      <c r="BR542" s="3432"/>
      <c r="BS542" s="3433"/>
      <c r="BT542" s="3433"/>
      <c r="BU542" s="3433"/>
      <c r="BV542" s="3433"/>
      <c r="BW542" s="3433"/>
      <c r="BX542" s="3433"/>
      <c r="BY542" s="3434"/>
      <c r="BZ542" s="3432"/>
      <c r="CA542" s="3433"/>
      <c r="CB542" s="3433"/>
      <c r="CC542" s="3433"/>
      <c r="CD542" s="3433"/>
      <c r="CE542" s="3433"/>
      <c r="CF542" s="3433"/>
      <c r="CG542" s="3434"/>
      <c r="CH542" s="3432"/>
      <c r="CI542" s="3433"/>
      <c r="CJ542" s="3433"/>
      <c r="CK542" s="3433"/>
      <c r="CL542" s="3433"/>
      <c r="CM542" s="3433"/>
      <c r="CN542" s="3433"/>
      <c r="CO542" s="3434"/>
      <c r="CP542" s="3434"/>
      <c r="CQ542" s="3727" t="s">
        <v>613</v>
      </c>
      <c r="CR542" s="3581"/>
      <c r="CS542" s="3728"/>
      <c r="CT542" s="3728" t="str">
        <f>IF(T542="","",T542)</f>
        <v>Территория действия тарифа</v>
      </c>
      <c r="CU542" s="3728"/>
      <c r="CV542" s="3728"/>
    </row>
    <row s="10983" customFormat="1" customHeight="1" ht="23.25">
      <c r="A543" s="3716"/>
      <c r="B543" s="3716"/>
      <c r="C543" s="3716" t="s">
        <v>380</v>
      </c>
      <c r="D543" s="3716"/>
      <c r="E543" s="3717"/>
      <c r="F543" s="3717" t="s">
        <v>157</v>
      </c>
      <c r="G543" s="3718">
        <v>1</v>
      </c>
      <c r="H543" s="3716"/>
      <c r="I543" s="3716"/>
      <c r="J543" s="3716"/>
      <c r="K543" s="3716"/>
      <c r="L543" s="3719"/>
      <c r="M543" s="3720"/>
      <c r="N543" s="3720"/>
      <c r="O543" s="3720"/>
      <c r="P543" s="3721"/>
      <c r="Q543" s="3722"/>
      <c r="R543" s="3723"/>
      <c r="S543" s="3724" t="str">
        <f>INDEX(PT_DIFFERENTIATION_NUM_CS,MATCH(C543,PT_DIFFERENTIATION_CS_ID,0))</f>
        <v>2.15.1</v>
      </c>
      <c r="T543" s="4076" t="s">
        <v>614</v>
      </c>
      <c r="U543" s="3726"/>
      <c r="V543" s="3432"/>
      <c r="W543" s="3433"/>
      <c r="X543" s="3433"/>
      <c r="Y543" s="3433"/>
      <c r="Z543" s="3433"/>
      <c r="AA543" s="3433"/>
      <c r="AB543" s="3433"/>
      <c r="AC543" s="3434"/>
      <c r="AD543" s="3432" t="str">
        <f>INDEX(PT_DIFFERENTIATION_CS,MATCH(C543,PT_DIFFERENTIATION_CS_ID,0))</f>
        <v>без дифференциации</v>
      </c>
      <c r="AE543" s="3433"/>
      <c r="AF543" s="3433"/>
      <c r="AG543" s="3433"/>
      <c r="AH543" s="3433"/>
      <c r="AI543" s="3433"/>
      <c r="AJ543" s="3433"/>
      <c r="AK543" s="3433"/>
      <c r="AL543" s="3432"/>
      <c r="AM543" s="3433"/>
      <c r="AN543" s="3433"/>
      <c r="AO543" s="3433"/>
      <c r="AP543" s="3433"/>
      <c r="AQ543" s="3433"/>
      <c r="AR543" s="3433"/>
      <c r="AS543" s="3434"/>
      <c r="AT543" s="3432"/>
      <c r="AU543" s="3433"/>
      <c r="AV543" s="3433"/>
      <c r="AW543" s="3433"/>
      <c r="AX543" s="3433"/>
      <c r="AY543" s="3433"/>
      <c r="AZ543" s="3433"/>
      <c r="BA543" s="3434"/>
      <c r="BB543" s="3432"/>
      <c r="BC543" s="3433"/>
      <c r="BD543" s="3433"/>
      <c r="BE543" s="3433"/>
      <c r="BF543" s="3433"/>
      <c r="BG543" s="3433"/>
      <c r="BH543" s="3433"/>
      <c r="BI543" s="3434"/>
      <c r="BJ543" s="3432"/>
      <c r="BK543" s="3433"/>
      <c r="BL543" s="3433"/>
      <c r="BM543" s="3433"/>
      <c r="BN543" s="3433"/>
      <c r="BO543" s="3433"/>
      <c r="BP543" s="3433"/>
      <c r="BQ543" s="3434"/>
      <c r="BR543" s="3432"/>
      <c r="BS543" s="3433"/>
      <c r="BT543" s="3433"/>
      <c r="BU543" s="3433"/>
      <c r="BV543" s="3433"/>
      <c r="BW543" s="3433"/>
      <c r="BX543" s="3433"/>
      <c r="BY543" s="3434"/>
      <c r="BZ543" s="3432"/>
      <c r="CA543" s="3433"/>
      <c r="CB543" s="3433"/>
      <c r="CC543" s="3433"/>
      <c r="CD543" s="3433"/>
      <c r="CE543" s="3433"/>
      <c r="CF543" s="3433"/>
      <c r="CG543" s="3434"/>
      <c r="CH543" s="3432"/>
      <c r="CI543" s="3433"/>
      <c r="CJ543" s="3433"/>
      <c r="CK543" s="3433"/>
      <c r="CL543" s="3433"/>
      <c r="CM543" s="3433"/>
      <c r="CN543" s="3433"/>
      <c r="CO543" s="3434"/>
      <c r="CP543" s="3434"/>
      <c r="CQ543" s="3727" t="s">
        <v>615</v>
      </c>
      <c r="CR543" s="3581"/>
      <c r="CS543" s="3728"/>
      <c r="CT543" s="3728" t="str">
        <f>IF(T543="","",T543)</f>
        <v>Наименование системы теплоснабжения </v>
      </c>
      <c r="CU543" s="3728"/>
      <c r="CV543" s="3728"/>
    </row>
    <row s="10984" customFormat="1" customHeight="1" ht="21">
      <c r="A544" s="3716"/>
      <c r="B544" s="3716"/>
      <c r="C544" s="3716"/>
      <c r="D544" s="3716" t="s">
        <v>381</v>
      </c>
      <c r="E544" s="3717"/>
      <c r="F544" s="3717" t="s">
        <v>157</v>
      </c>
      <c r="G544" s="3717"/>
      <c r="H544" s="3718">
        <v>1</v>
      </c>
      <c r="I544" s="3716"/>
      <c r="J544" s="3716"/>
      <c r="K544" s="3716"/>
      <c r="L544" s="3719"/>
      <c r="M544" s="3720"/>
      <c r="N544" s="3720"/>
      <c r="O544" s="3720"/>
      <c r="P544" s="3721"/>
      <c r="Q544" s="3722"/>
      <c r="R544" s="3723"/>
      <c r="S544" s="3724" t="str">
        <f>INDEX(PT_DIFFERENTIATION_NUM_IST_TE,MATCH(D544,PT_DIFFERENTIATION_IST_TE_ID,0))</f>
        <v>2.15.1.1</v>
      </c>
      <c r="T544" s="3725" t="s">
        <v>616</v>
      </c>
      <c r="U544" s="3726"/>
      <c r="V544" s="3432"/>
      <c r="W544" s="3433"/>
      <c r="X544" s="3433"/>
      <c r="Y544" s="3433"/>
      <c r="Z544" s="3433"/>
      <c r="AA544" s="3433"/>
      <c r="AB544" s="3433"/>
      <c r="AC544" s="3434"/>
      <c r="AD544" s="3432" t="str">
        <f>INDEX(PT_DIFFERENTIATION_IST_TE,MATCH(D544,PT_DIFFERENTIATION_IST_TE_ID,0))</f>
        <v>с.п.Териберка (мазутная котельная)</v>
      </c>
      <c r="AE544" s="3433"/>
      <c r="AF544" s="3433"/>
      <c r="AG544" s="3433"/>
      <c r="AH544" s="3433"/>
      <c r="AI544" s="3433"/>
      <c r="AJ544" s="3433"/>
      <c r="AK544" s="3433"/>
      <c r="AL544" s="3432"/>
      <c r="AM544" s="3433"/>
      <c r="AN544" s="3433"/>
      <c r="AO544" s="3433"/>
      <c r="AP544" s="3433"/>
      <c r="AQ544" s="3433"/>
      <c r="AR544" s="3433"/>
      <c r="AS544" s="3434"/>
      <c r="AT544" s="3432"/>
      <c r="AU544" s="3433"/>
      <c r="AV544" s="3433"/>
      <c r="AW544" s="3433"/>
      <c r="AX544" s="3433"/>
      <c r="AY544" s="3433"/>
      <c r="AZ544" s="3433"/>
      <c r="BA544" s="3434"/>
      <c r="BB544" s="3432"/>
      <c r="BC544" s="3433"/>
      <c r="BD544" s="3433"/>
      <c r="BE544" s="3433"/>
      <c r="BF544" s="3433"/>
      <c r="BG544" s="3433"/>
      <c r="BH544" s="3433"/>
      <c r="BI544" s="3434"/>
      <c r="BJ544" s="3432"/>
      <c r="BK544" s="3433"/>
      <c r="BL544" s="3433"/>
      <c r="BM544" s="3433"/>
      <c r="BN544" s="3433"/>
      <c r="BO544" s="3433"/>
      <c r="BP544" s="3433"/>
      <c r="BQ544" s="3434"/>
      <c r="BR544" s="3432"/>
      <c r="BS544" s="3433"/>
      <c r="BT544" s="3433"/>
      <c r="BU544" s="3433"/>
      <c r="BV544" s="3433"/>
      <c r="BW544" s="3433"/>
      <c r="BX544" s="3433"/>
      <c r="BY544" s="3434"/>
      <c r="BZ544" s="3432"/>
      <c r="CA544" s="3433"/>
      <c r="CB544" s="3433"/>
      <c r="CC544" s="3433"/>
      <c r="CD544" s="3433"/>
      <c r="CE544" s="3433"/>
      <c r="CF544" s="3433"/>
      <c r="CG544" s="3434"/>
      <c r="CH544" s="3432"/>
      <c r="CI544" s="3433"/>
      <c r="CJ544" s="3433"/>
      <c r="CK544" s="3433"/>
      <c r="CL544" s="3433"/>
      <c r="CM544" s="3433"/>
      <c r="CN544" s="3433"/>
      <c r="CO544" s="3434"/>
      <c r="CP544" s="3434"/>
      <c r="CQ544" s="3727" t="s">
        <v>617</v>
      </c>
      <c r="CR544" s="3581"/>
      <c r="CS544" s="3728"/>
      <c r="CT544" s="3728" t="str">
        <f>IF(T544="","",T544)</f>
        <v>Источник тепловой энергии  </v>
      </c>
      <c r="CU544" s="3728"/>
      <c r="CV544" s="3728"/>
    </row>
    <row s="10985" customFormat="1" customHeight="1" ht="14.25">
      <c r="A545" s="3716"/>
      <c r="B545" s="3716"/>
      <c r="C545" s="3716"/>
      <c r="D545" s="3716"/>
      <c r="E545" s="3717"/>
      <c r="F545" s="3717" t="s">
        <v>157</v>
      </c>
      <c r="G545" s="3717"/>
      <c r="H545" s="3717"/>
      <c r="I545" s="3730" t="str">
        <f>S544&amp;".1"</f>
        <v>2.15.1.1.1</v>
      </c>
      <c r="J545" s="3716"/>
      <c r="K545" s="3716"/>
      <c r="L545" s="3719" t="s">
        <v>618</v>
      </c>
      <c r="M545" s="3573"/>
      <c r="N545" s="3731"/>
      <c r="O545" s="3731"/>
      <c r="P545" s="3732">
        <v>1</v>
      </c>
      <c r="Q545" s="3732"/>
      <c r="R545" s="3733"/>
      <c r="S545" s="3734"/>
      <c r="T545" s="3735"/>
      <c r="U545" s="3736"/>
      <c r="V545" s="3441"/>
      <c r="W545" s="3442"/>
      <c r="X545" s="3442"/>
      <c r="Y545" s="3442"/>
      <c r="Z545" s="3442"/>
      <c r="AA545" s="3442"/>
      <c r="AB545" s="3442"/>
      <c r="AC545" s="3443"/>
      <c r="AD545" s="3441"/>
      <c r="AE545" s="3442"/>
      <c r="AF545" s="3442"/>
      <c r="AG545" s="3442"/>
      <c r="AH545" s="3442"/>
      <c r="AI545" s="3442"/>
      <c r="AJ545" s="3442"/>
      <c r="AK545" s="3442"/>
      <c r="AL545" s="3441"/>
      <c r="AM545" s="3442"/>
      <c r="AN545" s="3442"/>
      <c r="AO545" s="3442"/>
      <c r="AP545" s="3442"/>
      <c r="AQ545" s="3442"/>
      <c r="AR545" s="3442"/>
      <c r="AS545" s="3443"/>
      <c r="AT545" s="3441"/>
      <c r="AU545" s="3442"/>
      <c r="AV545" s="3442"/>
      <c r="AW545" s="3442"/>
      <c r="AX545" s="3442"/>
      <c r="AY545" s="3442"/>
      <c r="AZ545" s="3442"/>
      <c r="BA545" s="3443"/>
      <c r="BB545" s="3441"/>
      <c r="BC545" s="3442"/>
      <c r="BD545" s="3442"/>
      <c r="BE545" s="3442"/>
      <c r="BF545" s="3442"/>
      <c r="BG545" s="3442"/>
      <c r="BH545" s="3442"/>
      <c r="BI545" s="3443"/>
      <c r="BJ545" s="3441"/>
      <c r="BK545" s="3442"/>
      <c r="BL545" s="3442"/>
      <c r="BM545" s="3442"/>
      <c r="BN545" s="3442"/>
      <c r="BO545" s="3442"/>
      <c r="BP545" s="3442"/>
      <c r="BQ545" s="3443"/>
      <c r="BR545" s="3441"/>
      <c r="BS545" s="3442"/>
      <c r="BT545" s="3442"/>
      <c r="BU545" s="3442"/>
      <c r="BV545" s="3442"/>
      <c r="BW545" s="3442"/>
      <c r="BX545" s="3442"/>
      <c r="BY545" s="3443"/>
      <c r="BZ545" s="3441"/>
      <c r="CA545" s="3442"/>
      <c r="CB545" s="3442"/>
      <c r="CC545" s="3442"/>
      <c r="CD545" s="3442"/>
      <c r="CE545" s="3442"/>
      <c r="CF545" s="3442"/>
      <c r="CG545" s="3443"/>
      <c r="CH545" s="3441"/>
      <c r="CI545" s="3442"/>
      <c r="CJ545" s="3442"/>
      <c r="CK545" s="3442"/>
      <c r="CL545" s="3442"/>
      <c r="CM545" s="3442"/>
      <c r="CN545" s="3442"/>
      <c r="CO545" s="3443"/>
      <c r="CP545" s="3443"/>
      <c r="CQ545" s="3737"/>
      <c r="CR545" s="3581"/>
      <c r="CS545" s="3728"/>
      <c r="CT545" s="3728" t="str">
        <f>IF(T545="","",T545)</f>
        <v/>
      </c>
      <c r="CU545" s="3728"/>
      <c r="CV545" s="3728"/>
    </row>
    <row s="10986" customFormat="1" customHeight="1" ht="21">
      <c r="A546" s="3716"/>
      <c r="B546" s="3716"/>
      <c r="C546" s="3716"/>
      <c r="D546" s="3716"/>
      <c r="E546" s="3717"/>
      <c r="F546" s="3717" t="s">
        <v>157</v>
      </c>
      <c r="G546" s="3717"/>
      <c r="H546" s="3717"/>
      <c r="I546" s="3739"/>
      <c r="J546" s="3730" t="str">
        <f>I545&amp;".1"</f>
        <v>2.15.1.1.1.1</v>
      </c>
      <c r="K546" s="3716"/>
      <c r="L546" s="3719" t="s">
        <v>621</v>
      </c>
      <c r="M546" s="3573"/>
      <c r="N546" s="3573"/>
      <c r="O546" s="3731"/>
      <c r="P546" s="3732"/>
      <c r="Q546" s="3732">
        <v>1</v>
      </c>
      <c r="R546" s="3740"/>
      <c r="S546" s="3724" t="str">
        <f>$J546</f>
        <v>2.15.1.1.1.1</v>
      </c>
      <c r="T546" s="3741" t="s">
        <v>622</v>
      </c>
      <c r="U546" s="3726"/>
      <c r="V546" s="3445"/>
      <c r="W546" s="3446"/>
      <c r="X546" s="3446"/>
      <c r="Y546" s="3446"/>
      <c r="Z546" s="3446"/>
      <c r="AA546" s="3446"/>
      <c r="AB546" s="3446"/>
      <c r="AC546" s="3447"/>
      <c r="AD546" s="3445" t="s">
        <v>665</v>
      </c>
      <c r="AE546" s="3446"/>
      <c r="AF546" s="3446"/>
      <c r="AG546" s="3446"/>
      <c r="AH546" s="3446"/>
      <c r="AI546" s="3446"/>
      <c r="AJ546" s="3446"/>
      <c r="AK546" s="3446"/>
      <c r="AL546" s="3445"/>
      <c r="AM546" s="3446"/>
      <c r="AN546" s="3446"/>
      <c r="AO546" s="3446"/>
      <c r="AP546" s="3446"/>
      <c r="AQ546" s="3446"/>
      <c r="AR546" s="3446"/>
      <c r="AS546" s="3447"/>
      <c r="AT546" s="3445"/>
      <c r="AU546" s="3446"/>
      <c r="AV546" s="3446"/>
      <c r="AW546" s="3446"/>
      <c r="AX546" s="3446"/>
      <c r="AY546" s="3446"/>
      <c r="AZ546" s="3446"/>
      <c r="BA546" s="3447"/>
      <c r="BB546" s="3445"/>
      <c r="BC546" s="3446"/>
      <c r="BD546" s="3446"/>
      <c r="BE546" s="3446"/>
      <c r="BF546" s="3446"/>
      <c r="BG546" s="3446"/>
      <c r="BH546" s="3446"/>
      <c r="BI546" s="3447"/>
      <c r="BJ546" s="3445"/>
      <c r="BK546" s="3446"/>
      <c r="BL546" s="3446"/>
      <c r="BM546" s="3446"/>
      <c r="BN546" s="3446"/>
      <c r="BO546" s="3446"/>
      <c r="BP546" s="3446"/>
      <c r="BQ546" s="3447"/>
      <c r="BR546" s="3445"/>
      <c r="BS546" s="3446"/>
      <c r="BT546" s="3446"/>
      <c r="BU546" s="3446"/>
      <c r="BV546" s="3446"/>
      <c r="BW546" s="3446"/>
      <c r="BX546" s="3446"/>
      <c r="BY546" s="3447"/>
      <c r="BZ546" s="3445"/>
      <c r="CA546" s="3446"/>
      <c r="CB546" s="3446"/>
      <c r="CC546" s="3446"/>
      <c r="CD546" s="3446"/>
      <c r="CE546" s="3446"/>
      <c r="CF546" s="3446"/>
      <c r="CG546" s="3447"/>
      <c r="CH546" s="3445"/>
      <c r="CI546" s="3446"/>
      <c r="CJ546" s="3446"/>
      <c r="CK546" s="3446"/>
      <c r="CL546" s="3446"/>
      <c r="CM546" s="3446"/>
      <c r="CN546" s="3446"/>
      <c r="CO546" s="3447"/>
      <c r="CP546" s="3447"/>
      <c r="CQ546" s="3727" t="s">
        <v>623</v>
      </c>
      <c r="CR546" s="3581"/>
      <c r="CS546" s="3728"/>
      <c r="CT546" s="3728" t="str">
        <f>IF(T546="","",T546)</f>
        <v>Группа потребителей</v>
      </c>
      <c r="CU546" s="3728"/>
      <c r="CV546" s="3728"/>
    </row>
    <row s="10987" customFormat="1" customHeight="1" ht="21">
      <c r="A547" s="3716"/>
      <c r="B547" s="3716"/>
      <c r="C547" s="3716"/>
      <c r="D547" s="3716"/>
      <c r="E547" s="3717"/>
      <c r="F547" s="3717" t="s">
        <v>157</v>
      </c>
      <c r="G547" s="3717"/>
      <c r="H547" s="3717"/>
      <c r="I547" s="3739"/>
      <c r="J547" s="3739"/>
      <c r="K547" s="3730" t="str">
        <f>J546&amp;".1"</f>
        <v>2.15.1.1.1.1.1</v>
      </c>
      <c r="L547" s="3719" t="s">
        <v>624</v>
      </c>
      <c r="M547" s="3573"/>
      <c r="N547" s="3573"/>
      <c r="O547" s="3573"/>
      <c r="P547" s="3732"/>
      <c r="Q547" s="3732"/>
      <c r="R547" s="3740">
        <v>1</v>
      </c>
      <c r="S547" s="3724" t="str">
        <f>$K547</f>
        <v>2.15.1.1.1.1.1</v>
      </c>
      <c r="T547" s="3743" t="s">
        <v>663</v>
      </c>
      <c r="U547" s="3726"/>
      <c r="V547" s="3448"/>
      <c r="W547" s="3449"/>
      <c r="X547" s="3448"/>
      <c r="Y547" s="3450"/>
      <c r="Z547" s="3451"/>
      <c r="AA547" s="2872" t="s">
        <v>63</v>
      </c>
      <c r="AB547" s="3451"/>
      <c r="AC547" s="2872" t="s">
        <v>63</v>
      </c>
      <c r="AD547" s="3448">
        <v>35.26</v>
      </c>
      <c r="AE547" s="3449"/>
      <c r="AF547" s="3448"/>
      <c r="AG547" s="3450"/>
      <c r="AH547" s="3451">
        <v>44197</v>
      </c>
      <c r="AI547" s="2872" t="s">
        <v>63</v>
      </c>
      <c r="AJ547" s="3451">
        <v>44377</v>
      </c>
      <c r="AK547" s="2872" t="s">
        <v>63</v>
      </c>
      <c r="AL547" s="3448">
        <v>38.8</v>
      </c>
      <c r="AM547" s="3449"/>
      <c r="AN547" s="3448"/>
      <c r="AO547" s="3450"/>
      <c r="AP547" s="3451">
        <v>44378</v>
      </c>
      <c r="AQ547" s="2872" t="s">
        <v>63</v>
      </c>
      <c r="AR547" s="3451">
        <v>44561</v>
      </c>
      <c r="AS547" s="2872" t="s">
        <v>63</v>
      </c>
      <c r="AT547" s="3448">
        <v>38.8</v>
      </c>
      <c r="AU547" s="3449"/>
      <c r="AV547" s="3448"/>
      <c r="AW547" s="3450"/>
      <c r="AX547" s="3451">
        <v>44562</v>
      </c>
      <c r="AY547" s="2872" t="s">
        <v>63</v>
      </c>
      <c r="AZ547" s="3451">
        <v>44601</v>
      </c>
      <c r="BA547" s="2872" t="s">
        <v>63</v>
      </c>
      <c r="BB547" s="3448">
        <v>38.8</v>
      </c>
      <c r="BC547" s="3449"/>
      <c r="BD547" s="3448"/>
      <c r="BE547" s="3450"/>
      <c r="BF547" s="3451">
        <v>44602</v>
      </c>
      <c r="BG547" s="2872" t="s">
        <v>63</v>
      </c>
      <c r="BH547" s="3451">
        <v>44742</v>
      </c>
      <c r="BI547" s="2872" t="s">
        <v>63</v>
      </c>
      <c r="BJ547" s="3448">
        <v>45</v>
      </c>
      <c r="BK547" s="3449"/>
      <c r="BL547" s="3448"/>
      <c r="BM547" s="3450"/>
      <c r="BN547" s="3451">
        <v>44743</v>
      </c>
      <c r="BO547" s="2872" t="s">
        <v>63</v>
      </c>
      <c r="BP547" s="3451">
        <v>44804</v>
      </c>
      <c r="BQ547" s="2872" t="s">
        <v>63</v>
      </c>
      <c r="BR547" s="3448">
        <v>45</v>
      </c>
      <c r="BS547" s="3449"/>
      <c r="BT547" s="3448"/>
      <c r="BU547" s="3450"/>
      <c r="BV547" s="3451">
        <v>44805</v>
      </c>
      <c r="BW547" s="2872" t="s">
        <v>63</v>
      </c>
      <c r="BX547" s="3451">
        <v>44895</v>
      </c>
      <c r="BY547" s="2872" t="s">
        <v>63</v>
      </c>
      <c r="BZ547" s="3448">
        <v>47.7</v>
      </c>
      <c r="CA547" s="3449"/>
      <c r="CB547" s="3448"/>
      <c r="CC547" s="3450"/>
      <c r="CD547" s="3451">
        <v>44896</v>
      </c>
      <c r="CE547" s="2872" t="s">
        <v>63</v>
      </c>
      <c r="CF547" s="3451">
        <v>45174</v>
      </c>
      <c r="CG547" s="2872" t="s">
        <v>63</v>
      </c>
      <c r="CH547" s="3448">
        <v>47.7</v>
      </c>
      <c r="CI547" s="3449"/>
      <c r="CJ547" s="3448"/>
      <c r="CK547" s="3450"/>
      <c r="CL547" s="3451">
        <v>45175</v>
      </c>
      <c r="CM547" s="2872" t="s">
        <v>63</v>
      </c>
      <c r="CN547" s="3451">
        <v>45291</v>
      </c>
      <c r="CO547" s="2872" t="s">
        <v>63</v>
      </c>
      <c r="CP547" s="3449"/>
      <c r="CQ547" s="3744" t="s">
        <v>625</v>
      </c>
      <c r="CR547" s="3581">
        <f>STRCHECKDATE(V548:CP548)</f>
      </c>
      <c r="CS547" s="3728"/>
      <c r="CT547" s="3728" t="str">
        <f>IF(T547="","",T547)</f>
        <v>вода</v>
      </c>
      <c r="CU547" s="3728"/>
      <c r="CV547" s="3728"/>
    </row>
    <row s="10988" customFormat="1" customHeight="1" ht="0.75">
      <c r="A548" s="3716"/>
      <c r="B548" s="3716"/>
      <c r="C548" s="3716"/>
      <c r="D548" s="3716"/>
      <c r="E548" s="3717"/>
      <c r="F548" s="3717" t="s">
        <v>157</v>
      </c>
      <c r="G548" s="3717"/>
      <c r="H548" s="3717"/>
      <c r="I548" s="3739"/>
      <c r="J548" s="3739"/>
      <c r="K548" s="3730"/>
      <c r="L548" s="3719"/>
      <c r="M548" s="3573"/>
      <c r="N548" s="3573"/>
      <c r="O548" s="3573"/>
      <c r="P548" s="3732"/>
      <c r="Q548" s="3732"/>
      <c r="R548" s="3740"/>
      <c r="S548" s="3746"/>
      <c r="T548" s="3726"/>
      <c r="U548" s="3726"/>
      <c r="V548" s="3449"/>
      <c r="W548" s="3449"/>
      <c r="X548" s="3449"/>
      <c r="Y548" s="3452" t="str">
        <f>Z547&amp;"-"&amp;AB547</f>
        <v>-</v>
      </c>
      <c r="Z548" s="3453"/>
      <c r="AA548" s="2872"/>
      <c r="AB548" s="3453"/>
      <c r="AC548" s="2872"/>
      <c r="AD548" s="3449"/>
      <c r="AE548" s="3449"/>
      <c r="AF548" s="3449"/>
      <c r="AG548" s="3452" t="str">
        <f>AH547&amp;"-"&amp;AJ547</f>
        <v>44197-44377</v>
      </c>
      <c r="AH548" s="3453"/>
      <c r="AI548" s="2872"/>
      <c r="AJ548" s="3453"/>
      <c r="AK548" s="2872"/>
      <c r="AL548" s="3449"/>
      <c r="AM548" s="3449"/>
      <c r="AN548" s="3449"/>
      <c r="AO548" s="3452" t="str">
        <f>AP547&amp;"-"&amp;AR547</f>
        <v>44378-44561</v>
      </c>
      <c r="AP548" s="3453"/>
      <c r="AQ548" s="2872"/>
      <c r="AR548" s="3453"/>
      <c r="AS548" s="2872"/>
      <c r="AT548" s="3449"/>
      <c r="AU548" s="3449"/>
      <c r="AV548" s="3449"/>
      <c r="AW548" s="3452" t="str">
        <f>AX547&amp;"-"&amp;AZ547</f>
        <v>44562-44601</v>
      </c>
      <c r="AX548" s="3453"/>
      <c r="AY548" s="2872"/>
      <c r="AZ548" s="3453"/>
      <c r="BA548" s="2872"/>
      <c r="BB548" s="3449"/>
      <c r="BC548" s="3449"/>
      <c r="BD548" s="3449"/>
      <c r="BE548" s="3452" t="str">
        <f>BF547&amp;"-"&amp;BH547</f>
        <v>44602-44742</v>
      </c>
      <c r="BF548" s="3453"/>
      <c r="BG548" s="2872"/>
      <c r="BH548" s="3453"/>
      <c r="BI548" s="2872"/>
      <c r="BJ548" s="3449"/>
      <c r="BK548" s="3449"/>
      <c r="BL548" s="3449"/>
      <c r="BM548" s="3452" t="str">
        <f>BN547&amp;"-"&amp;BP547</f>
        <v>44743-44804</v>
      </c>
      <c r="BN548" s="3453"/>
      <c r="BO548" s="2872"/>
      <c r="BP548" s="3453"/>
      <c r="BQ548" s="2872"/>
      <c r="BR548" s="3449"/>
      <c r="BS548" s="3449"/>
      <c r="BT548" s="3449"/>
      <c r="BU548" s="3452" t="str">
        <f>BV547&amp;"-"&amp;BX547</f>
        <v>44805-44895</v>
      </c>
      <c r="BV548" s="3453"/>
      <c r="BW548" s="2872"/>
      <c r="BX548" s="3453"/>
      <c r="BY548" s="2872"/>
      <c r="BZ548" s="3449"/>
      <c r="CA548" s="3449"/>
      <c r="CB548" s="3449"/>
      <c r="CC548" s="3452" t="str">
        <f>CD547&amp;"-"&amp;CF547</f>
        <v>44896-45174</v>
      </c>
      <c r="CD548" s="3453"/>
      <c r="CE548" s="2872"/>
      <c r="CF548" s="3453"/>
      <c r="CG548" s="2872"/>
      <c r="CH548" s="3449"/>
      <c r="CI548" s="3449"/>
      <c r="CJ548" s="3449"/>
      <c r="CK548" s="3452" t="str">
        <f>CL547&amp;"-"&amp;CN547</f>
        <v>45175-45291</v>
      </c>
      <c r="CL548" s="3453"/>
      <c r="CM548" s="2872"/>
      <c r="CN548" s="3453"/>
      <c r="CO548" s="2872"/>
      <c r="CP548" s="3449"/>
      <c r="CQ548" s="3747"/>
      <c r="CR548" s="3581"/>
      <c r="CS548" s="3728"/>
      <c r="CT548" s="3728" t="str">
        <f>IF(T548="","",T548)</f>
        <v/>
      </c>
      <c r="CU548" s="3728"/>
      <c r="CV548" s="3728"/>
    </row>
    <row s="10989" customFormat="1" customHeight="1" ht="15">
      <c r="A549" s="3716"/>
      <c r="B549" s="3716"/>
      <c r="C549" s="3716"/>
      <c r="D549" s="3716"/>
      <c r="E549" s="3717"/>
      <c r="F549" s="3717" t="s">
        <v>157</v>
      </c>
      <c r="G549" s="3717"/>
      <c r="H549" s="3717"/>
      <c r="I549" s="3739"/>
      <c r="J549" s="3730"/>
      <c r="K549" s="3716"/>
      <c r="L549" s="3719"/>
      <c r="M549" s="3573"/>
      <c r="N549" s="3573"/>
      <c r="O549" s="3731"/>
      <c r="P549" s="3732"/>
      <c r="Q549" s="3732"/>
      <c r="R549" s="3733"/>
      <c r="S549" s="10990"/>
      <c r="T549" s="10991" t="s">
        <v>626</v>
      </c>
      <c r="U549" s="10992"/>
      <c r="V549" s="10993"/>
      <c r="W549" s="10994"/>
      <c r="X549" s="10995"/>
      <c r="Y549" s="10996"/>
      <c r="Z549" s="10997"/>
      <c r="AA549" s="10998"/>
      <c r="AB549" s="10999"/>
      <c r="AC549" s="11000"/>
      <c r="AD549" s="11001"/>
      <c r="AE549" s="11002"/>
      <c r="AF549" s="11003"/>
      <c r="AG549" s="11004"/>
      <c r="AH549" s="11005"/>
      <c r="AI549" s="11006"/>
      <c r="AJ549" s="11007"/>
      <c r="AK549" s="11008"/>
      <c r="AL549" s="11009"/>
      <c r="AM549" s="11010"/>
      <c r="AN549" s="11011"/>
      <c r="AO549" s="11012"/>
      <c r="AP549" s="11013"/>
      <c r="AQ549" s="11014"/>
      <c r="AR549" s="11015"/>
      <c r="AS549" s="11016"/>
      <c r="AT549" s="11017"/>
      <c r="AU549" s="11018"/>
      <c r="AV549" s="11019"/>
      <c r="AW549" s="11020"/>
      <c r="AX549" s="11021"/>
      <c r="AY549" s="11022"/>
      <c r="AZ549" s="11023"/>
      <c r="BA549" s="11024"/>
      <c r="BB549" s="11025"/>
      <c r="BC549" s="11026"/>
      <c r="BD549" s="11027"/>
      <c r="BE549" s="11028"/>
      <c r="BF549" s="11029"/>
      <c r="BG549" s="11030"/>
      <c r="BH549" s="11031"/>
      <c r="BI549" s="11032"/>
      <c r="BJ549" s="11033"/>
      <c r="BK549" s="11034"/>
      <c r="BL549" s="11035"/>
      <c r="BM549" s="11036"/>
      <c r="BN549" s="11037"/>
      <c r="BO549" s="11038"/>
      <c r="BP549" s="11039"/>
      <c r="BQ549" s="11040"/>
      <c r="BR549" s="11041"/>
      <c r="BS549" s="11042"/>
      <c r="BT549" s="11043"/>
      <c r="BU549" s="11044"/>
      <c r="BV549" s="11045"/>
      <c r="BW549" s="11046"/>
      <c r="BX549" s="11047"/>
      <c r="BY549" s="11048"/>
      <c r="BZ549" s="11049"/>
      <c r="CA549" s="11050"/>
      <c r="CB549" s="11051"/>
      <c r="CC549" s="11052"/>
      <c r="CD549" s="11053"/>
      <c r="CE549" s="11054"/>
      <c r="CF549" s="11055"/>
      <c r="CG549" s="11056"/>
      <c r="CH549" s="11057"/>
      <c r="CI549" s="11058"/>
      <c r="CJ549" s="11059"/>
      <c r="CK549" s="11060"/>
      <c r="CL549" s="11061"/>
      <c r="CM549" s="11062"/>
      <c r="CN549" s="11063"/>
      <c r="CO549" s="11064"/>
      <c r="CP549" s="11065"/>
      <c r="CQ549" s="3825"/>
      <c r="CR549" s="3581"/>
      <c r="CS549" s="3728"/>
      <c r="CT549" s="3728" t="str">
        <f>IF(T549="","",T549)</f>
        <v>Добавить вид теплоносителя (параметры теплоносителя)</v>
      </c>
      <c r="CU549" s="3728"/>
      <c r="CV549" s="3728"/>
    </row>
    <row s="11066" customFormat="1" customHeight="1" ht="15">
      <c r="A550" s="3716"/>
      <c r="B550" s="3716"/>
      <c r="C550" s="3716"/>
      <c r="D550" s="3716"/>
      <c r="E550" s="3717"/>
      <c r="F550" s="3717" t="s">
        <v>157</v>
      </c>
      <c r="G550" s="3717"/>
      <c r="H550" s="3717"/>
      <c r="I550" s="3730"/>
      <c r="J550" s="3716"/>
      <c r="K550" s="3716"/>
      <c r="L550" s="3719"/>
      <c r="M550" s="3573"/>
      <c r="N550" s="3731"/>
      <c r="O550" s="3731"/>
      <c r="P550" s="3732"/>
      <c r="Q550" s="3732"/>
      <c r="R550" s="3733"/>
      <c r="S550" s="11067"/>
      <c r="T550" s="11068" t="s">
        <v>627</v>
      </c>
      <c r="U550" s="11069"/>
      <c r="V550" s="11070"/>
      <c r="W550" s="11071"/>
      <c r="X550" s="11072"/>
      <c r="Y550" s="11073"/>
      <c r="Z550" s="11074"/>
      <c r="AA550" s="11075"/>
      <c r="AB550" s="11076"/>
      <c r="AC550" s="11077"/>
      <c r="AD550" s="11078"/>
      <c r="AE550" s="11079"/>
      <c r="AF550" s="11080"/>
      <c r="AG550" s="11081"/>
      <c r="AH550" s="11082"/>
      <c r="AI550" s="11083"/>
      <c r="AJ550" s="11084"/>
      <c r="AK550" s="11085"/>
      <c r="AL550" s="11086"/>
      <c r="AM550" s="11087"/>
      <c r="AN550" s="11088"/>
      <c r="AO550" s="11089"/>
      <c r="AP550" s="11090"/>
      <c r="AQ550" s="11091"/>
      <c r="AR550" s="11092"/>
      <c r="AS550" s="11093"/>
      <c r="AT550" s="11094"/>
      <c r="AU550" s="11095"/>
      <c r="AV550" s="11096"/>
      <c r="AW550" s="11097"/>
      <c r="AX550" s="11098"/>
      <c r="AY550" s="11099"/>
      <c r="AZ550" s="11100"/>
      <c r="BA550" s="11101"/>
      <c r="BB550" s="11102"/>
      <c r="BC550" s="11103"/>
      <c r="BD550" s="11104"/>
      <c r="BE550" s="11105"/>
      <c r="BF550" s="11106"/>
      <c r="BG550" s="11107"/>
      <c r="BH550" s="11108"/>
      <c r="BI550" s="11109"/>
      <c r="BJ550" s="11110"/>
      <c r="BK550" s="11111"/>
      <c r="BL550" s="11112"/>
      <c r="BM550" s="11113"/>
      <c r="BN550" s="11114"/>
      <c r="BO550" s="11115"/>
      <c r="BP550" s="11116"/>
      <c r="BQ550" s="11117"/>
      <c r="BR550" s="11118"/>
      <c r="BS550" s="11119"/>
      <c r="BT550" s="11120"/>
      <c r="BU550" s="11121"/>
      <c r="BV550" s="11122"/>
      <c r="BW550" s="11123"/>
      <c r="BX550" s="11124"/>
      <c r="BY550" s="11125"/>
      <c r="BZ550" s="11126"/>
      <c r="CA550" s="11127"/>
      <c r="CB550" s="11128"/>
      <c r="CC550" s="11129"/>
      <c r="CD550" s="11130"/>
      <c r="CE550" s="11131"/>
      <c r="CF550" s="11132"/>
      <c r="CG550" s="11133"/>
      <c r="CH550" s="11134"/>
      <c r="CI550" s="11135"/>
      <c r="CJ550" s="11136"/>
      <c r="CK550" s="11137"/>
      <c r="CL550" s="11138"/>
      <c r="CM550" s="11139"/>
      <c r="CN550" s="11140"/>
      <c r="CO550" s="11141"/>
      <c r="CP550" s="11142"/>
      <c r="CQ550" s="11143"/>
      <c r="CR550" s="3581"/>
      <c r="CS550" s="3728"/>
      <c r="CT550" s="3728" t="str">
        <f>IF(T550="","",T550)</f>
        <v>Добавить группу потребителей</v>
      </c>
      <c r="CU550" s="3728"/>
      <c r="CV550" s="3728"/>
    </row>
    <row s="11144" customFormat="1" customHeight="1" ht="14.25">
      <c r="A551" s="3716"/>
      <c r="B551" s="3716"/>
      <c r="C551" s="3716"/>
      <c r="D551" s="3716"/>
      <c r="E551" s="3717"/>
      <c r="F551" s="3717" t="s">
        <v>157</v>
      </c>
      <c r="G551" s="3717"/>
      <c r="H551" s="3718"/>
      <c r="I551" s="3716"/>
      <c r="J551" s="3716"/>
      <c r="K551" s="3716"/>
      <c r="L551" s="3719"/>
      <c r="M551" s="3720"/>
      <c r="N551" s="3720"/>
      <c r="O551" s="3573"/>
      <c r="P551" s="3905"/>
      <c r="Q551" s="3906"/>
      <c r="R551" s="3907"/>
      <c r="S551" s="3908"/>
      <c r="T551" s="3909"/>
      <c r="U551" s="3569"/>
      <c r="V551" s="3569"/>
      <c r="W551" s="3569"/>
      <c r="X551" s="3569"/>
      <c r="Y551" s="3569"/>
      <c r="Z551" s="3569"/>
      <c r="AA551" s="3569"/>
      <c r="AB551" s="3569"/>
      <c r="AC551" s="3569"/>
      <c r="AD551" s="3569"/>
      <c r="AE551" s="3569"/>
      <c r="AF551" s="3569"/>
      <c r="AG551" s="3569"/>
      <c r="AH551" s="3569"/>
      <c r="AI551" s="3569"/>
      <c r="AJ551" s="3569"/>
      <c r="AK551" s="3569"/>
      <c r="AL551" s="3569"/>
      <c r="AM551" s="3569"/>
      <c r="AN551" s="3569"/>
      <c r="AO551" s="3569"/>
      <c r="AP551" s="3569"/>
      <c r="AQ551" s="3569"/>
      <c r="AR551" s="3569"/>
      <c r="AS551" s="3569"/>
      <c r="AT551" s="3569"/>
      <c r="AU551" s="3569"/>
      <c r="AV551" s="3569"/>
      <c r="AW551" s="3569"/>
      <c r="AX551" s="3569"/>
      <c r="AY551" s="3569"/>
      <c r="AZ551" s="3569"/>
      <c r="BA551" s="3569"/>
      <c r="BB551" s="3569"/>
      <c r="BC551" s="3569"/>
      <c r="BD551" s="3569"/>
      <c r="BE551" s="3569"/>
      <c r="BF551" s="3569"/>
      <c r="BG551" s="3569"/>
      <c r="BH551" s="3569"/>
      <c r="BI551" s="3569"/>
      <c r="BJ551" s="3569"/>
      <c r="BK551" s="3569"/>
      <c r="BL551" s="3569"/>
      <c r="BM551" s="3569"/>
      <c r="BN551" s="3569"/>
      <c r="BO551" s="3569"/>
      <c r="BP551" s="3569"/>
      <c r="BQ551" s="3569"/>
      <c r="BR551" s="3569"/>
      <c r="BS551" s="3569"/>
      <c r="BT551" s="3569"/>
      <c r="BU551" s="3569"/>
      <c r="BV551" s="3569"/>
      <c r="BW551" s="3569"/>
      <c r="BX551" s="3569"/>
      <c r="BY551" s="3569"/>
      <c r="BZ551" s="3569"/>
      <c r="CA551" s="3569"/>
      <c r="CB551" s="3569"/>
      <c r="CC551" s="3569"/>
      <c r="CD551" s="3569"/>
      <c r="CE551" s="3569"/>
      <c r="CF551" s="3569"/>
      <c r="CG551" s="3569"/>
      <c r="CH551" s="3569"/>
      <c r="CI551" s="3569"/>
      <c r="CJ551" s="3569"/>
      <c r="CK551" s="3569"/>
      <c r="CL551" s="3569"/>
      <c r="CM551" s="3569"/>
      <c r="CN551" s="3569"/>
      <c r="CO551" s="3569"/>
      <c r="CP551" s="3569"/>
      <c r="CQ551" s="3910"/>
      <c r="CR551" s="3581"/>
      <c r="CS551" s="3728"/>
      <c r="CT551" s="3728" t="str">
        <f>IF(T551="","",T551)</f>
        <v/>
      </c>
      <c r="CU551" s="3728"/>
      <c r="CV551" s="3728"/>
    </row>
    <row s="11145" customFormat="1" customHeight="1" ht="0.75">
      <c r="A552" s="4239"/>
      <c r="B552" s="4239"/>
      <c r="C552" s="4239"/>
      <c r="D552" s="4239"/>
      <c r="E552" s="3717"/>
      <c r="F552" s="3717" t="s">
        <v>157</v>
      </c>
      <c r="G552" s="3718"/>
      <c r="H552" s="4239"/>
      <c r="I552" s="4239"/>
      <c r="J552" s="4239"/>
      <c r="K552" s="4239"/>
      <c r="L552" s="4240"/>
      <c r="M552" s="4241"/>
      <c r="N552" s="4241"/>
      <c r="O552" s="3581"/>
      <c r="P552" s="4242"/>
      <c r="Q552" s="4243"/>
      <c r="R552" s="4242"/>
      <c r="S552" s="4244"/>
      <c r="T552" s="4245" t="s">
        <v>254</v>
      </c>
      <c r="U552" s="3571"/>
      <c r="V552" s="3571"/>
      <c r="W552" s="3571"/>
      <c r="X552" s="3571"/>
      <c r="Y552" s="3571"/>
      <c r="Z552" s="3571"/>
      <c r="AA552" s="3571"/>
      <c r="AB552" s="3571"/>
      <c r="AC552" s="3571"/>
      <c r="AD552" s="3571"/>
      <c r="AE552" s="3571"/>
      <c r="AF552" s="3571"/>
      <c r="AG552" s="3571"/>
      <c r="AH552" s="3571"/>
      <c r="AI552" s="3571"/>
      <c r="AJ552" s="3571"/>
      <c r="AK552" s="3571"/>
      <c r="AL552" s="3571"/>
      <c r="AM552" s="3571"/>
      <c r="AN552" s="3571"/>
      <c r="AO552" s="3571"/>
      <c r="AP552" s="3571"/>
      <c r="AQ552" s="3571"/>
      <c r="AR552" s="3571"/>
      <c r="AS552" s="3571"/>
      <c r="AT552" s="3571"/>
      <c r="AU552" s="3571"/>
      <c r="AV552" s="3571"/>
      <c r="AW552" s="3571"/>
      <c r="AX552" s="3571"/>
      <c r="AY552" s="3571"/>
      <c r="AZ552" s="3571"/>
      <c r="BA552" s="3571"/>
      <c r="BB552" s="3571"/>
      <c r="BC552" s="3571"/>
      <c r="BD552" s="3571"/>
      <c r="BE552" s="3571"/>
      <c r="BF552" s="3571"/>
      <c r="BG552" s="3571"/>
      <c r="BH552" s="3571"/>
      <c r="BI552" s="3571"/>
      <c r="BJ552" s="3571"/>
      <c r="BK552" s="3571"/>
      <c r="BL552" s="3571"/>
      <c r="BM552" s="3571"/>
      <c r="BN552" s="3571"/>
      <c r="BO552" s="3571"/>
      <c r="BP552" s="3571"/>
      <c r="BQ552" s="3571"/>
      <c r="BR552" s="3571"/>
      <c r="BS552" s="3571"/>
      <c r="BT552" s="3571"/>
      <c r="BU552" s="3571"/>
      <c r="BV552" s="3571"/>
      <c r="BW552" s="3571"/>
      <c r="BX552" s="3571"/>
      <c r="BY552" s="3571"/>
      <c r="BZ552" s="3571"/>
      <c r="CA552" s="3571"/>
      <c r="CB552" s="3571"/>
      <c r="CC552" s="3571"/>
      <c r="CD552" s="3571"/>
      <c r="CE552" s="3571"/>
      <c r="CF552" s="3571"/>
      <c r="CG552" s="3571"/>
      <c r="CH552" s="3571"/>
      <c r="CI552" s="3571"/>
      <c r="CJ552" s="3571"/>
      <c r="CK552" s="3571"/>
      <c r="CL552" s="3571"/>
      <c r="CM552" s="3571"/>
      <c r="CN552" s="3571"/>
      <c r="CO552" s="3571"/>
      <c r="CP552" s="3571"/>
      <c r="CQ552" s="3571"/>
      <c r="CR552" s="3581"/>
      <c r="CS552" s="3728"/>
      <c r="CT552" s="3728" t="str">
        <f>IF(T552="","",T552)</f>
        <v>Добавить источник для дифференциации</v>
      </c>
      <c r="CU552" s="3728"/>
      <c r="CV552" s="3728"/>
    </row>
    <row s="11146" customFormat="1" customHeight="1" ht="0.75">
      <c r="A553" s="4239"/>
      <c r="B553" s="4239"/>
      <c r="C553" s="4239"/>
      <c r="D553" s="4239"/>
      <c r="E553" s="3717"/>
      <c r="F553" s="3718" t="s">
        <v>157</v>
      </c>
      <c r="G553" s="4239"/>
      <c r="H553" s="4239"/>
      <c r="I553" s="4239"/>
      <c r="J553" s="4239"/>
      <c r="K553" s="4239"/>
      <c r="L553" s="4240"/>
      <c r="M553" s="4247"/>
      <c r="N553" s="4247"/>
      <c r="O553" s="3581"/>
      <c r="P553" s="4242"/>
      <c r="Q553" s="4243"/>
      <c r="R553" s="4242"/>
      <c r="S553" s="4248"/>
      <c r="T553" s="4249" t="s">
        <v>255</v>
      </c>
      <c r="U553" s="3572"/>
      <c r="V553" s="3572"/>
      <c r="W553" s="3572"/>
      <c r="X553" s="3572"/>
      <c r="Y553" s="3572"/>
      <c r="Z553" s="3572"/>
      <c r="AA553" s="3572"/>
      <c r="AB553" s="3572"/>
      <c r="AC553" s="3572"/>
      <c r="AD553" s="3572"/>
      <c r="AE553" s="3572"/>
      <c r="AF553" s="3572"/>
      <c r="AG553" s="3572"/>
      <c r="AH553" s="3572"/>
      <c r="AI553" s="3572"/>
      <c r="AJ553" s="3572"/>
      <c r="AK553" s="3572"/>
      <c r="AL553" s="3572"/>
      <c r="AM553" s="3572"/>
      <c r="AN553" s="3572"/>
      <c r="AO553" s="3572"/>
      <c r="AP553" s="3572"/>
      <c r="AQ553" s="3572"/>
      <c r="AR553" s="3572"/>
      <c r="AS553" s="3572"/>
      <c r="AT553" s="3572"/>
      <c r="AU553" s="3572"/>
      <c r="AV553" s="3572"/>
      <c r="AW553" s="3572"/>
      <c r="AX553" s="3572"/>
      <c r="AY553" s="3572"/>
      <c r="AZ553" s="3572"/>
      <c r="BA553" s="3572"/>
      <c r="BB553" s="3572"/>
      <c r="BC553" s="3572"/>
      <c r="BD553" s="3572"/>
      <c r="BE553" s="3572"/>
      <c r="BF553" s="3572"/>
      <c r="BG553" s="3572"/>
      <c r="BH553" s="3572"/>
      <c r="BI553" s="3572"/>
      <c r="BJ553" s="3572"/>
      <c r="BK553" s="3572"/>
      <c r="BL553" s="3572"/>
      <c r="BM553" s="3572"/>
      <c r="BN553" s="3572"/>
      <c r="BO553" s="3572"/>
      <c r="BP553" s="3572"/>
      <c r="BQ553" s="3572"/>
      <c r="BR553" s="3572"/>
      <c r="BS553" s="3572"/>
      <c r="BT553" s="3572"/>
      <c r="BU553" s="3572"/>
      <c r="BV553" s="3572"/>
      <c r="BW553" s="3572"/>
      <c r="BX553" s="3572"/>
      <c r="BY553" s="3572"/>
      <c r="BZ553" s="3572"/>
      <c r="CA553" s="3572"/>
      <c r="CB553" s="3572"/>
      <c r="CC553" s="3572"/>
      <c r="CD553" s="3572"/>
      <c r="CE553" s="3572"/>
      <c r="CF553" s="3572"/>
      <c r="CG553" s="3572"/>
      <c r="CH553" s="3572"/>
      <c r="CI553" s="3572"/>
      <c r="CJ553" s="3572"/>
      <c r="CK553" s="3572"/>
      <c r="CL553" s="3572"/>
      <c r="CM553" s="3572"/>
      <c r="CN553" s="3572"/>
      <c r="CO553" s="3572"/>
      <c r="CP553" s="3572"/>
      <c r="CQ553" s="3572"/>
      <c r="CR553" s="3581"/>
      <c r="CS553" s="3728"/>
      <c r="CT553" s="3728" t="str">
        <f>IF(T553="","",T553)</f>
        <v>Добавить централизованную систему для дифференциации</v>
      </c>
      <c r="CU553" s="3728"/>
      <c r="CV553" s="3728"/>
    </row>
    <row s="11147" customFormat="1" customHeight="1" ht="21">
      <c r="A554" s="3716"/>
      <c r="B554" s="3716" t="s">
        <v>382</v>
      </c>
      <c r="C554" s="3716"/>
      <c r="D554" s="3716"/>
      <c r="E554" s="3717"/>
      <c r="F554" s="3718" t="s">
        <v>166</v>
      </c>
      <c r="G554" s="3716"/>
      <c r="H554" s="3716"/>
      <c r="I554" s="3716"/>
      <c r="J554" s="3716"/>
      <c r="K554" s="3716"/>
      <c r="L554" s="3719"/>
      <c r="M554" s="3720"/>
      <c r="N554" s="3720"/>
      <c r="O554" s="3720"/>
      <c r="P554" s="4073"/>
      <c r="Q554" s="3722"/>
      <c r="R554" s="3723"/>
      <c r="S554" s="3724" t="str">
        <f>INDEX(PT_DIFFERENTIATION_NUM_TER,MATCH(B554,PT_DIFFERENTIATION_TER_ID,0))</f>
        <v>2.16</v>
      </c>
      <c r="T554" s="4074" t="s">
        <v>612</v>
      </c>
      <c r="U554" s="3726"/>
      <c r="V554" s="3432"/>
      <c r="W554" s="3433"/>
      <c r="X554" s="3433"/>
      <c r="Y554" s="3433"/>
      <c r="Z554" s="3433"/>
      <c r="AA554" s="3433"/>
      <c r="AB554" s="3433"/>
      <c r="AC554" s="3434"/>
      <c r="AD554" s="3432" t="str">
        <f>INDEX(PT_DIFFERENTIATION_TER,MATCH(B554,PT_DIFFERENTIATION_TER_ID,0))</f>
        <v>Территория 16</v>
      </c>
      <c r="AE554" s="3433"/>
      <c r="AF554" s="3433"/>
      <c r="AG554" s="3433"/>
      <c r="AH554" s="3433"/>
      <c r="AI554" s="3433"/>
      <c r="AJ554" s="3433"/>
      <c r="AK554" s="3433"/>
      <c r="AL554" s="3432"/>
      <c r="AM554" s="3433"/>
      <c r="AN554" s="3433"/>
      <c r="AO554" s="3433"/>
      <c r="AP554" s="3433"/>
      <c r="AQ554" s="3433"/>
      <c r="AR554" s="3433"/>
      <c r="AS554" s="3434"/>
      <c r="AT554" s="3432"/>
      <c r="AU554" s="3433"/>
      <c r="AV554" s="3433"/>
      <c r="AW554" s="3433"/>
      <c r="AX554" s="3433"/>
      <c r="AY554" s="3433"/>
      <c r="AZ554" s="3433"/>
      <c r="BA554" s="3434"/>
      <c r="BB554" s="3432"/>
      <c r="BC554" s="3433"/>
      <c r="BD554" s="3433"/>
      <c r="BE554" s="3433"/>
      <c r="BF554" s="3433"/>
      <c r="BG554" s="3433"/>
      <c r="BH554" s="3433"/>
      <c r="BI554" s="3434"/>
      <c r="BJ554" s="3432"/>
      <c r="BK554" s="3433"/>
      <c r="BL554" s="3433"/>
      <c r="BM554" s="3433"/>
      <c r="BN554" s="3433"/>
      <c r="BO554" s="3433"/>
      <c r="BP554" s="3433"/>
      <c r="BQ554" s="3434"/>
      <c r="BR554" s="3432"/>
      <c r="BS554" s="3433"/>
      <c r="BT554" s="3433"/>
      <c r="BU554" s="3433"/>
      <c r="BV554" s="3433"/>
      <c r="BW554" s="3433"/>
      <c r="BX554" s="3433"/>
      <c r="BY554" s="3434"/>
      <c r="BZ554" s="3432"/>
      <c r="CA554" s="3433"/>
      <c r="CB554" s="3433"/>
      <c r="CC554" s="3433"/>
      <c r="CD554" s="3433"/>
      <c r="CE554" s="3433"/>
      <c r="CF554" s="3433"/>
      <c r="CG554" s="3434"/>
      <c r="CH554" s="3432"/>
      <c r="CI554" s="3433"/>
      <c r="CJ554" s="3433"/>
      <c r="CK554" s="3433"/>
      <c r="CL554" s="3433"/>
      <c r="CM554" s="3433"/>
      <c r="CN554" s="3433"/>
      <c r="CO554" s="3434"/>
      <c r="CP554" s="3434"/>
      <c r="CQ554" s="3727" t="s">
        <v>613</v>
      </c>
      <c r="CR554" s="3581"/>
      <c r="CS554" s="3728"/>
      <c r="CT554" s="3728" t="str">
        <f>IF(T554="","",T554)</f>
        <v>Территория действия тарифа</v>
      </c>
      <c r="CU554" s="3728"/>
      <c r="CV554" s="3728"/>
    </row>
    <row s="11148" customFormat="1" customHeight="1" ht="23.25">
      <c r="A555" s="3716"/>
      <c r="B555" s="3716"/>
      <c r="C555" s="3716" t="s">
        <v>383</v>
      </c>
      <c r="D555" s="3716"/>
      <c r="E555" s="3717"/>
      <c r="F555" s="3717" t="s">
        <v>159</v>
      </c>
      <c r="G555" s="3718">
        <v>1</v>
      </c>
      <c r="H555" s="3716"/>
      <c r="I555" s="3716"/>
      <c r="J555" s="3716"/>
      <c r="K555" s="3716"/>
      <c r="L555" s="3719"/>
      <c r="M555" s="3720"/>
      <c r="N555" s="3720"/>
      <c r="O555" s="3720"/>
      <c r="P555" s="3721"/>
      <c r="Q555" s="3722"/>
      <c r="R555" s="3723"/>
      <c r="S555" s="3724" t="str">
        <f>INDEX(PT_DIFFERENTIATION_NUM_CS,MATCH(C555,PT_DIFFERENTIATION_CS_ID,0))</f>
        <v>2.16.1</v>
      </c>
      <c r="T555" s="4076" t="s">
        <v>614</v>
      </c>
      <c r="U555" s="3726"/>
      <c r="V555" s="3432"/>
      <c r="W555" s="3433"/>
      <c r="X555" s="3433"/>
      <c r="Y555" s="3433"/>
      <c r="Z555" s="3433"/>
      <c r="AA555" s="3433"/>
      <c r="AB555" s="3433"/>
      <c r="AC555" s="3434"/>
      <c r="AD555" s="3432" t="str">
        <f>INDEX(PT_DIFFERENTIATION_CS,MATCH(C555,PT_DIFFERENTIATION_CS_ID,0))</f>
        <v>без дифференциации</v>
      </c>
      <c r="AE555" s="3433"/>
      <c r="AF555" s="3433"/>
      <c r="AG555" s="3433"/>
      <c r="AH555" s="3433"/>
      <c r="AI555" s="3433"/>
      <c r="AJ555" s="3433"/>
      <c r="AK555" s="3433"/>
      <c r="AL555" s="3432"/>
      <c r="AM555" s="3433"/>
      <c r="AN555" s="3433"/>
      <c r="AO555" s="3433"/>
      <c r="AP555" s="3433"/>
      <c r="AQ555" s="3433"/>
      <c r="AR555" s="3433"/>
      <c r="AS555" s="3434"/>
      <c r="AT555" s="3432"/>
      <c r="AU555" s="3433"/>
      <c r="AV555" s="3433"/>
      <c r="AW555" s="3433"/>
      <c r="AX555" s="3433"/>
      <c r="AY555" s="3433"/>
      <c r="AZ555" s="3433"/>
      <c r="BA555" s="3434"/>
      <c r="BB555" s="3432"/>
      <c r="BC555" s="3433"/>
      <c r="BD555" s="3433"/>
      <c r="BE555" s="3433"/>
      <c r="BF555" s="3433"/>
      <c r="BG555" s="3433"/>
      <c r="BH555" s="3433"/>
      <c r="BI555" s="3434"/>
      <c r="BJ555" s="3432"/>
      <c r="BK555" s="3433"/>
      <c r="BL555" s="3433"/>
      <c r="BM555" s="3433"/>
      <c r="BN555" s="3433"/>
      <c r="BO555" s="3433"/>
      <c r="BP555" s="3433"/>
      <c r="BQ555" s="3434"/>
      <c r="BR555" s="3432"/>
      <c r="BS555" s="3433"/>
      <c r="BT555" s="3433"/>
      <c r="BU555" s="3433"/>
      <c r="BV555" s="3433"/>
      <c r="BW555" s="3433"/>
      <c r="BX555" s="3433"/>
      <c r="BY555" s="3434"/>
      <c r="BZ555" s="3432"/>
      <c r="CA555" s="3433"/>
      <c r="CB555" s="3433"/>
      <c r="CC555" s="3433"/>
      <c r="CD555" s="3433"/>
      <c r="CE555" s="3433"/>
      <c r="CF555" s="3433"/>
      <c r="CG555" s="3434"/>
      <c r="CH555" s="3432"/>
      <c r="CI555" s="3433"/>
      <c r="CJ555" s="3433"/>
      <c r="CK555" s="3433"/>
      <c r="CL555" s="3433"/>
      <c r="CM555" s="3433"/>
      <c r="CN555" s="3433"/>
      <c r="CO555" s="3434"/>
      <c r="CP555" s="3434"/>
      <c r="CQ555" s="3727" t="s">
        <v>615</v>
      </c>
      <c r="CR555" s="3581"/>
      <c r="CS555" s="3728"/>
      <c r="CT555" s="3728" t="str">
        <f>IF(T555="","",T555)</f>
        <v>Наименование системы теплоснабжения </v>
      </c>
      <c r="CU555" s="3728"/>
      <c r="CV555" s="3728"/>
    </row>
    <row s="11149" customFormat="1" customHeight="1" ht="21">
      <c r="A556" s="3716"/>
      <c r="B556" s="3716"/>
      <c r="C556" s="3716"/>
      <c r="D556" s="3716" t="s">
        <v>384</v>
      </c>
      <c r="E556" s="3717"/>
      <c r="F556" s="3717" t="s">
        <v>159</v>
      </c>
      <c r="G556" s="3717"/>
      <c r="H556" s="3718">
        <v>1</v>
      </c>
      <c r="I556" s="3716"/>
      <c r="J556" s="3716"/>
      <c r="K556" s="3716"/>
      <c r="L556" s="3719"/>
      <c r="M556" s="3720"/>
      <c r="N556" s="3720"/>
      <c r="O556" s="3720"/>
      <c r="P556" s="3721"/>
      <c r="Q556" s="3722"/>
      <c r="R556" s="3723"/>
      <c r="S556" s="3724" t="str">
        <f>INDEX(PT_DIFFERENTIATION_NUM_IST_TE,MATCH(D556,PT_DIFFERENTIATION_IST_TE_ID,0))</f>
        <v>2.16.1.1</v>
      </c>
      <c r="T556" s="3725" t="s">
        <v>616</v>
      </c>
      <c r="U556" s="3726"/>
      <c r="V556" s="3432"/>
      <c r="W556" s="3433"/>
      <c r="X556" s="3433"/>
      <c r="Y556" s="3433"/>
      <c r="Z556" s="3433"/>
      <c r="AA556" s="3433"/>
      <c r="AB556" s="3433"/>
      <c r="AC556" s="3434"/>
      <c r="AD556" s="3432" t="str">
        <f>INDEX(PT_DIFFERENTIATION_IST_TE,MATCH(D556,PT_DIFFERENTIATION_IST_TE_ID,0))</f>
        <v>н.п.Енский (мазутная котельная)</v>
      </c>
      <c r="AE556" s="3433"/>
      <c r="AF556" s="3433"/>
      <c r="AG556" s="3433"/>
      <c r="AH556" s="3433"/>
      <c r="AI556" s="3433"/>
      <c r="AJ556" s="3433"/>
      <c r="AK556" s="3433"/>
      <c r="AL556" s="3432"/>
      <c r="AM556" s="3433"/>
      <c r="AN556" s="3433"/>
      <c r="AO556" s="3433"/>
      <c r="AP556" s="3433"/>
      <c r="AQ556" s="3433"/>
      <c r="AR556" s="3433"/>
      <c r="AS556" s="3434"/>
      <c r="AT556" s="3432"/>
      <c r="AU556" s="3433"/>
      <c r="AV556" s="3433"/>
      <c r="AW556" s="3433"/>
      <c r="AX556" s="3433"/>
      <c r="AY556" s="3433"/>
      <c r="AZ556" s="3433"/>
      <c r="BA556" s="3434"/>
      <c r="BB556" s="3432"/>
      <c r="BC556" s="3433"/>
      <c r="BD556" s="3433"/>
      <c r="BE556" s="3433"/>
      <c r="BF556" s="3433"/>
      <c r="BG556" s="3433"/>
      <c r="BH556" s="3433"/>
      <c r="BI556" s="3434"/>
      <c r="BJ556" s="3432"/>
      <c r="BK556" s="3433"/>
      <c r="BL556" s="3433"/>
      <c r="BM556" s="3433"/>
      <c r="BN556" s="3433"/>
      <c r="BO556" s="3433"/>
      <c r="BP556" s="3433"/>
      <c r="BQ556" s="3434"/>
      <c r="BR556" s="3432"/>
      <c r="BS556" s="3433"/>
      <c r="BT556" s="3433"/>
      <c r="BU556" s="3433"/>
      <c r="BV556" s="3433"/>
      <c r="BW556" s="3433"/>
      <c r="BX556" s="3433"/>
      <c r="BY556" s="3434"/>
      <c r="BZ556" s="3432"/>
      <c r="CA556" s="3433"/>
      <c r="CB556" s="3433"/>
      <c r="CC556" s="3433"/>
      <c r="CD556" s="3433"/>
      <c r="CE556" s="3433"/>
      <c r="CF556" s="3433"/>
      <c r="CG556" s="3434"/>
      <c r="CH556" s="3432"/>
      <c r="CI556" s="3433"/>
      <c r="CJ556" s="3433"/>
      <c r="CK556" s="3433"/>
      <c r="CL556" s="3433"/>
      <c r="CM556" s="3433"/>
      <c r="CN556" s="3433"/>
      <c r="CO556" s="3434"/>
      <c r="CP556" s="3434"/>
      <c r="CQ556" s="3727" t="s">
        <v>617</v>
      </c>
      <c r="CR556" s="3581"/>
      <c r="CS556" s="3728"/>
      <c r="CT556" s="3728" t="str">
        <f>IF(T556="","",T556)</f>
        <v>Источник тепловой энергии  </v>
      </c>
      <c r="CU556" s="3728"/>
      <c r="CV556" s="3728"/>
    </row>
    <row s="11150" customFormat="1" customHeight="1" ht="14.25">
      <c r="A557" s="3716"/>
      <c r="B557" s="3716"/>
      <c r="C557" s="3716"/>
      <c r="D557" s="3716"/>
      <c r="E557" s="3717"/>
      <c r="F557" s="3717" t="s">
        <v>159</v>
      </c>
      <c r="G557" s="3717"/>
      <c r="H557" s="3717"/>
      <c r="I557" s="3730" t="str">
        <f>S556&amp;".1"</f>
        <v>2.16.1.1.1</v>
      </c>
      <c r="J557" s="3716"/>
      <c r="K557" s="3716"/>
      <c r="L557" s="3719" t="s">
        <v>618</v>
      </c>
      <c r="M557" s="3573"/>
      <c r="N557" s="3731"/>
      <c r="O557" s="3731"/>
      <c r="P557" s="3732">
        <v>1</v>
      </c>
      <c r="Q557" s="3732"/>
      <c r="R557" s="3733"/>
      <c r="S557" s="3734"/>
      <c r="T557" s="3735"/>
      <c r="U557" s="3736"/>
      <c r="V557" s="3441"/>
      <c r="W557" s="3442"/>
      <c r="X557" s="3442"/>
      <c r="Y557" s="3442"/>
      <c r="Z557" s="3442"/>
      <c r="AA557" s="3442"/>
      <c r="AB557" s="3442"/>
      <c r="AC557" s="3443"/>
      <c r="AD557" s="3441"/>
      <c r="AE557" s="3442"/>
      <c r="AF557" s="3442"/>
      <c r="AG557" s="3442"/>
      <c r="AH557" s="3442"/>
      <c r="AI557" s="3442"/>
      <c r="AJ557" s="3442"/>
      <c r="AK557" s="3442"/>
      <c r="AL557" s="3441"/>
      <c r="AM557" s="3442"/>
      <c r="AN557" s="3442"/>
      <c r="AO557" s="3442"/>
      <c r="AP557" s="3442"/>
      <c r="AQ557" s="3442"/>
      <c r="AR557" s="3442"/>
      <c r="AS557" s="3443"/>
      <c r="AT557" s="3441"/>
      <c r="AU557" s="3442"/>
      <c r="AV557" s="3442"/>
      <c r="AW557" s="3442"/>
      <c r="AX557" s="3442"/>
      <c r="AY557" s="3442"/>
      <c r="AZ557" s="3442"/>
      <c r="BA557" s="3443"/>
      <c r="BB557" s="3441"/>
      <c r="BC557" s="3442"/>
      <c r="BD557" s="3442"/>
      <c r="BE557" s="3442"/>
      <c r="BF557" s="3442"/>
      <c r="BG557" s="3442"/>
      <c r="BH557" s="3442"/>
      <c r="BI557" s="3443"/>
      <c r="BJ557" s="3441"/>
      <c r="BK557" s="3442"/>
      <c r="BL557" s="3442"/>
      <c r="BM557" s="3442"/>
      <c r="BN557" s="3442"/>
      <c r="BO557" s="3442"/>
      <c r="BP557" s="3442"/>
      <c r="BQ557" s="3443"/>
      <c r="BR557" s="3441"/>
      <c r="BS557" s="3442"/>
      <c r="BT557" s="3442"/>
      <c r="BU557" s="3442"/>
      <c r="BV557" s="3442"/>
      <c r="BW557" s="3442"/>
      <c r="BX557" s="3442"/>
      <c r="BY557" s="3443"/>
      <c r="BZ557" s="3441"/>
      <c r="CA557" s="3442"/>
      <c r="CB557" s="3442"/>
      <c r="CC557" s="3442"/>
      <c r="CD557" s="3442"/>
      <c r="CE557" s="3442"/>
      <c r="CF557" s="3442"/>
      <c r="CG557" s="3443"/>
      <c r="CH557" s="3441"/>
      <c r="CI557" s="3442"/>
      <c r="CJ557" s="3442"/>
      <c r="CK557" s="3442"/>
      <c r="CL557" s="3442"/>
      <c r="CM557" s="3442"/>
      <c r="CN557" s="3442"/>
      <c r="CO557" s="3443"/>
      <c r="CP557" s="3443"/>
      <c r="CQ557" s="3737"/>
      <c r="CR557" s="3581"/>
      <c r="CS557" s="3728"/>
      <c r="CT557" s="3728" t="str">
        <f>IF(T557="","",T557)</f>
        <v/>
      </c>
      <c r="CU557" s="3728"/>
      <c r="CV557" s="3728"/>
    </row>
    <row s="11151" customFormat="1" customHeight="1" ht="21">
      <c r="A558" s="3716"/>
      <c r="B558" s="3716"/>
      <c r="C558" s="3716"/>
      <c r="D558" s="3716"/>
      <c r="E558" s="3717"/>
      <c r="F558" s="3717" t="s">
        <v>159</v>
      </c>
      <c r="G558" s="3717"/>
      <c r="H558" s="3717"/>
      <c r="I558" s="3739"/>
      <c r="J558" s="3730" t="str">
        <f>I557&amp;".1"</f>
        <v>2.16.1.1.1.1</v>
      </c>
      <c r="K558" s="3716"/>
      <c r="L558" s="3719" t="s">
        <v>621</v>
      </c>
      <c r="M558" s="3573"/>
      <c r="N558" s="3573"/>
      <c r="O558" s="3731"/>
      <c r="P558" s="3732"/>
      <c r="Q558" s="3732">
        <v>1</v>
      </c>
      <c r="R558" s="3740"/>
      <c r="S558" s="3724" t="str">
        <f>$J558</f>
        <v>2.16.1.1.1.1</v>
      </c>
      <c r="T558" s="3741" t="s">
        <v>622</v>
      </c>
      <c r="U558" s="3726"/>
      <c r="V558" s="3445"/>
      <c r="W558" s="3446"/>
      <c r="X558" s="3446"/>
      <c r="Y558" s="3446"/>
      <c r="Z558" s="3446"/>
      <c r="AA558" s="3446"/>
      <c r="AB558" s="3446"/>
      <c r="AC558" s="3447"/>
      <c r="AD558" s="3445" t="s">
        <v>665</v>
      </c>
      <c r="AE558" s="3446"/>
      <c r="AF558" s="3446"/>
      <c r="AG558" s="3446"/>
      <c r="AH558" s="3446"/>
      <c r="AI558" s="3446"/>
      <c r="AJ558" s="3446"/>
      <c r="AK558" s="3446"/>
      <c r="AL558" s="3445"/>
      <c r="AM558" s="3446"/>
      <c r="AN558" s="3446"/>
      <c r="AO558" s="3446"/>
      <c r="AP558" s="3446"/>
      <c r="AQ558" s="3446"/>
      <c r="AR558" s="3446"/>
      <c r="AS558" s="3447"/>
      <c r="AT558" s="3445"/>
      <c r="AU558" s="3446"/>
      <c r="AV558" s="3446"/>
      <c r="AW558" s="3446"/>
      <c r="AX558" s="3446"/>
      <c r="AY558" s="3446"/>
      <c r="AZ558" s="3446"/>
      <c r="BA558" s="3447"/>
      <c r="BB558" s="3445"/>
      <c r="BC558" s="3446"/>
      <c r="BD558" s="3446"/>
      <c r="BE558" s="3446"/>
      <c r="BF558" s="3446"/>
      <c r="BG558" s="3446"/>
      <c r="BH558" s="3446"/>
      <c r="BI558" s="3447"/>
      <c r="BJ558" s="3445"/>
      <c r="BK558" s="3446"/>
      <c r="BL558" s="3446"/>
      <c r="BM558" s="3446"/>
      <c r="BN558" s="3446"/>
      <c r="BO558" s="3446"/>
      <c r="BP558" s="3446"/>
      <c r="BQ558" s="3447"/>
      <c r="BR558" s="3445"/>
      <c r="BS558" s="3446"/>
      <c r="BT558" s="3446"/>
      <c r="BU558" s="3446"/>
      <c r="BV558" s="3446"/>
      <c r="BW558" s="3446"/>
      <c r="BX558" s="3446"/>
      <c r="BY558" s="3447"/>
      <c r="BZ558" s="3445"/>
      <c r="CA558" s="3446"/>
      <c r="CB558" s="3446"/>
      <c r="CC558" s="3446"/>
      <c r="CD558" s="3446"/>
      <c r="CE558" s="3446"/>
      <c r="CF558" s="3446"/>
      <c r="CG558" s="3447"/>
      <c r="CH558" s="3445"/>
      <c r="CI558" s="3446"/>
      <c r="CJ558" s="3446"/>
      <c r="CK558" s="3446"/>
      <c r="CL558" s="3446"/>
      <c r="CM558" s="3446"/>
      <c r="CN558" s="3446"/>
      <c r="CO558" s="3447"/>
      <c r="CP558" s="3447"/>
      <c r="CQ558" s="3727" t="s">
        <v>623</v>
      </c>
      <c r="CR558" s="3581"/>
      <c r="CS558" s="3728"/>
      <c r="CT558" s="3728" t="str">
        <f>IF(T558="","",T558)</f>
        <v>Группа потребителей</v>
      </c>
      <c r="CU558" s="3728"/>
      <c r="CV558" s="3728"/>
    </row>
    <row s="11152" customFormat="1" customHeight="1" ht="21">
      <c r="A559" s="3716"/>
      <c r="B559" s="3716"/>
      <c r="C559" s="3716"/>
      <c r="D559" s="3716"/>
      <c r="E559" s="3717"/>
      <c r="F559" s="3717" t="s">
        <v>159</v>
      </c>
      <c r="G559" s="3717"/>
      <c r="H559" s="3717"/>
      <c r="I559" s="3739"/>
      <c r="J559" s="3739"/>
      <c r="K559" s="3730" t="str">
        <f>J558&amp;".1"</f>
        <v>2.16.1.1.1.1.1</v>
      </c>
      <c r="L559" s="3719" t="s">
        <v>624</v>
      </c>
      <c r="M559" s="3573"/>
      <c r="N559" s="3573"/>
      <c r="O559" s="3573"/>
      <c r="P559" s="3732"/>
      <c r="Q559" s="3732"/>
      <c r="R559" s="3740">
        <v>1</v>
      </c>
      <c r="S559" s="3724" t="str">
        <f>$K559</f>
        <v>2.16.1.1.1.1.1</v>
      </c>
      <c r="T559" s="3743" t="s">
        <v>663</v>
      </c>
      <c r="U559" s="3726"/>
      <c r="V559" s="3448"/>
      <c r="W559" s="3449"/>
      <c r="X559" s="3448"/>
      <c r="Y559" s="3450"/>
      <c r="Z559" s="3451"/>
      <c r="AA559" s="2872" t="s">
        <v>63</v>
      </c>
      <c r="AB559" s="3451"/>
      <c r="AC559" s="2872" t="s">
        <v>63</v>
      </c>
      <c r="AD559" s="3448">
        <v>26.35</v>
      </c>
      <c r="AE559" s="3449"/>
      <c r="AF559" s="3448"/>
      <c r="AG559" s="3450"/>
      <c r="AH559" s="3451">
        <v>44197</v>
      </c>
      <c r="AI559" s="2872" t="s">
        <v>63</v>
      </c>
      <c r="AJ559" s="3451">
        <v>44377</v>
      </c>
      <c r="AK559" s="2872" t="s">
        <v>63</v>
      </c>
      <c r="AL559" s="3448">
        <v>27.04</v>
      </c>
      <c r="AM559" s="3449"/>
      <c r="AN559" s="3448"/>
      <c r="AO559" s="3450"/>
      <c r="AP559" s="3451">
        <v>44378</v>
      </c>
      <c r="AQ559" s="2872" t="s">
        <v>63</v>
      </c>
      <c r="AR559" s="3451">
        <v>44561</v>
      </c>
      <c r="AS559" s="2872" t="s">
        <v>63</v>
      </c>
      <c r="AT559" s="3448">
        <v>0</v>
      </c>
      <c r="AU559" s="3449"/>
      <c r="AV559" s="3448"/>
      <c r="AW559" s="3450"/>
      <c r="AX559" s="3451">
        <v>44562</v>
      </c>
      <c r="AY559" s="2872" t="s">
        <v>63</v>
      </c>
      <c r="AZ559" s="3451">
        <v>44601</v>
      </c>
      <c r="BA559" s="2872" t="s">
        <v>63</v>
      </c>
      <c r="BB559" s="3448">
        <v>0</v>
      </c>
      <c r="BC559" s="3449"/>
      <c r="BD559" s="3448"/>
      <c r="BE559" s="3450"/>
      <c r="BF559" s="3451">
        <v>44602</v>
      </c>
      <c r="BG559" s="2872" t="s">
        <v>63</v>
      </c>
      <c r="BH559" s="3451">
        <v>44742</v>
      </c>
      <c r="BI559" s="2872" t="s">
        <v>63</v>
      </c>
      <c r="BJ559" s="3448">
        <v>0</v>
      </c>
      <c r="BK559" s="3449"/>
      <c r="BL559" s="3448"/>
      <c r="BM559" s="3450"/>
      <c r="BN559" s="3451">
        <v>44743</v>
      </c>
      <c r="BO559" s="2872" t="s">
        <v>63</v>
      </c>
      <c r="BP559" s="3451">
        <v>44804</v>
      </c>
      <c r="BQ559" s="2872" t="s">
        <v>63</v>
      </c>
      <c r="BR559" s="3448">
        <v>0</v>
      </c>
      <c r="BS559" s="3449"/>
      <c r="BT559" s="3448"/>
      <c r="BU559" s="3450"/>
      <c r="BV559" s="3451">
        <v>44805</v>
      </c>
      <c r="BW559" s="2872" t="s">
        <v>63</v>
      </c>
      <c r="BX559" s="3451">
        <v>44895</v>
      </c>
      <c r="BY559" s="2872" t="s">
        <v>63</v>
      </c>
      <c r="BZ559" s="3448">
        <v>0</v>
      </c>
      <c r="CA559" s="3449"/>
      <c r="CB559" s="3448"/>
      <c r="CC559" s="3450"/>
      <c r="CD559" s="3451">
        <v>44896</v>
      </c>
      <c r="CE559" s="2872" t="s">
        <v>63</v>
      </c>
      <c r="CF559" s="3451">
        <v>45174</v>
      </c>
      <c r="CG559" s="2872" t="s">
        <v>63</v>
      </c>
      <c r="CH559" s="3448">
        <v>0</v>
      </c>
      <c r="CI559" s="3449"/>
      <c r="CJ559" s="3448"/>
      <c r="CK559" s="3450"/>
      <c r="CL559" s="3451">
        <v>45175</v>
      </c>
      <c r="CM559" s="2872" t="s">
        <v>63</v>
      </c>
      <c r="CN559" s="3451">
        <v>45291</v>
      </c>
      <c r="CO559" s="2872" t="s">
        <v>63</v>
      </c>
      <c r="CP559" s="3449"/>
      <c r="CQ559" s="3744" t="s">
        <v>625</v>
      </c>
      <c r="CR559" s="3581">
        <f>STRCHECKDATE(V560:CP560)</f>
      </c>
      <c r="CS559" s="3728"/>
      <c r="CT559" s="3728" t="str">
        <f>IF(T559="","",T559)</f>
        <v>вода</v>
      </c>
      <c r="CU559" s="3728"/>
      <c r="CV559" s="3728"/>
    </row>
    <row s="11153" customFormat="1" customHeight="1" ht="0.75">
      <c r="A560" s="3716"/>
      <c r="B560" s="3716"/>
      <c r="C560" s="3716"/>
      <c r="D560" s="3716"/>
      <c r="E560" s="3717"/>
      <c r="F560" s="3717" t="s">
        <v>159</v>
      </c>
      <c r="G560" s="3717"/>
      <c r="H560" s="3717"/>
      <c r="I560" s="3739"/>
      <c r="J560" s="3739"/>
      <c r="K560" s="3730"/>
      <c r="L560" s="3719"/>
      <c r="M560" s="3573"/>
      <c r="N560" s="3573"/>
      <c r="O560" s="3573"/>
      <c r="P560" s="3732"/>
      <c r="Q560" s="3732"/>
      <c r="R560" s="3740"/>
      <c r="S560" s="3746"/>
      <c r="T560" s="3726"/>
      <c r="U560" s="3726"/>
      <c r="V560" s="3449"/>
      <c r="W560" s="3449"/>
      <c r="X560" s="3449"/>
      <c r="Y560" s="3452" t="str">
        <f>Z559&amp;"-"&amp;AB559</f>
        <v>-</v>
      </c>
      <c r="Z560" s="3453"/>
      <c r="AA560" s="2872"/>
      <c r="AB560" s="3453"/>
      <c r="AC560" s="2872"/>
      <c r="AD560" s="3449"/>
      <c r="AE560" s="3449"/>
      <c r="AF560" s="3449"/>
      <c r="AG560" s="3452" t="str">
        <f>AH559&amp;"-"&amp;AJ559</f>
        <v>44197-44377</v>
      </c>
      <c r="AH560" s="3453"/>
      <c r="AI560" s="2872"/>
      <c r="AJ560" s="3453"/>
      <c r="AK560" s="2872"/>
      <c r="AL560" s="3449"/>
      <c r="AM560" s="3449"/>
      <c r="AN560" s="3449"/>
      <c r="AO560" s="3452" t="str">
        <f>AP559&amp;"-"&amp;AR559</f>
        <v>44378-44561</v>
      </c>
      <c r="AP560" s="3453"/>
      <c r="AQ560" s="2872"/>
      <c r="AR560" s="3453"/>
      <c r="AS560" s="2872"/>
      <c r="AT560" s="3449"/>
      <c r="AU560" s="3449"/>
      <c r="AV560" s="3449"/>
      <c r="AW560" s="3452" t="str">
        <f>AX559&amp;"-"&amp;AZ559</f>
        <v>44562-44601</v>
      </c>
      <c r="AX560" s="3453"/>
      <c r="AY560" s="2872"/>
      <c r="AZ560" s="3453"/>
      <c r="BA560" s="2872"/>
      <c r="BB560" s="3449"/>
      <c r="BC560" s="3449"/>
      <c r="BD560" s="3449"/>
      <c r="BE560" s="3452" t="str">
        <f>BF559&amp;"-"&amp;BH559</f>
        <v>44602-44742</v>
      </c>
      <c r="BF560" s="3453"/>
      <c r="BG560" s="2872"/>
      <c r="BH560" s="3453"/>
      <c r="BI560" s="2872"/>
      <c r="BJ560" s="3449"/>
      <c r="BK560" s="3449"/>
      <c r="BL560" s="3449"/>
      <c r="BM560" s="3452" t="str">
        <f>BN559&amp;"-"&amp;BP559</f>
        <v>44743-44804</v>
      </c>
      <c r="BN560" s="3453"/>
      <c r="BO560" s="2872"/>
      <c r="BP560" s="3453"/>
      <c r="BQ560" s="2872"/>
      <c r="BR560" s="3449"/>
      <c r="BS560" s="3449"/>
      <c r="BT560" s="3449"/>
      <c r="BU560" s="3452" t="str">
        <f>BV559&amp;"-"&amp;BX559</f>
        <v>44805-44895</v>
      </c>
      <c r="BV560" s="3453"/>
      <c r="BW560" s="2872"/>
      <c r="BX560" s="3453"/>
      <c r="BY560" s="2872"/>
      <c r="BZ560" s="3449"/>
      <c r="CA560" s="3449"/>
      <c r="CB560" s="3449"/>
      <c r="CC560" s="3452" t="str">
        <f>CD559&amp;"-"&amp;CF559</f>
        <v>44896-45174</v>
      </c>
      <c r="CD560" s="3453"/>
      <c r="CE560" s="2872"/>
      <c r="CF560" s="3453"/>
      <c r="CG560" s="2872"/>
      <c r="CH560" s="3449"/>
      <c r="CI560" s="3449"/>
      <c r="CJ560" s="3449"/>
      <c r="CK560" s="3452" t="str">
        <f>CL559&amp;"-"&amp;CN559</f>
        <v>45175-45291</v>
      </c>
      <c r="CL560" s="3453"/>
      <c r="CM560" s="2872"/>
      <c r="CN560" s="3453"/>
      <c r="CO560" s="2872"/>
      <c r="CP560" s="3449"/>
      <c r="CQ560" s="3747"/>
      <c r="CR560" s="3581"/>
      <c r="CS560" s="3728"/>
      <c r="CT560" s="3728" t="str">
        <f>IF(T560="","",T560)</f>
        <v/>
      </c>
      <c r="CU560" s="3728"/>
      <c r="CV560" s="3728"/>
    </row>
    <row s="11154" customFormat="1" customHeight="1" ht="15">
      <c r="A561" s="3716"/>
      <c r="B561" s="3716"/>
      <c r="C561" s="3716"/>
      <c r="D561" s="3716"/>
      <c r="E561" s="3717"/>
      <c r="F561" s="3717" t="s">
        <v>159</v>
      </c>
      <c r="G561" s="3717"/>
      <c r="H561" s="3717"/>
      <c r="I561" s="3739"/>
      <c r="J561" s="3730"/>
      <c r="K561" s="3716"/>
      <c r="L561" s="3719"/>
      <c r="M561" s="3573"/>
      <c r="N561" s="3573"/>
      <c r="O561" s="3731"/>
      <c r="P561" s="3732"/>
      <c r="Q561" s="3732"/>
      <c r="R561" s="3733"/>
      <c r="S561" s="11155"/>
      <c r="T561" s="11156" t="s">
        <v>626</v>
      </c>
      <c r="U561" s="11157"/>
      <c r="V561" s="11158"/>
      <c r="W561" s="11159"/>
      <c r="X561" s="11160"/>
      <c r="Y561" s="11161"/>
      <c r="Z561" s="11162"/>
      <c r="AA561" s="11163"/>
      <c r="AB561" s="11164"/>
      <c r="AC561" s="11165"/>
      <c r="AD561" s="11166"/>
      <c r="AE561" s="11167"/>
      <c r="AF561" s="11168"/>
      <c r="AG561" s="11169"/>
      <c r="AH561" s="11170"/>
      <c r="AI561" s="11171"/>
      <c r="AJ561" s="11172"/>
      <c r="AK561" s="11173"/>
      <c r="AL561" s="11174"/>
      <c r="AM561" s="11175"/>
      <c r="AN561" s="11176"/>
      <c r="AO561" s="11177"/>
      <c r="AP561" s="11178"/>
      <c r="AQ561" s="11179"/>
      <c r="AR561" s="11180"/>
      <c r="AS561" s="11181"/>
      <c r="AT561" s="11182"/>
      <c r="AU561" s="11183"/>
      <c r="AV561" s="11184"/>
      <c r="AW561" s="11185"/>
      <c r="AX561" s="11186"/>
      <c r="AY561" s="11187"/>
      <c r="AZ561" s="11188"/>
      <c r="BA561" s="11189"/>
      <c r="BB561" s="11190"/>
      <c r="BC561" s="11191"/>
      <c r="BD561" s="11192"/>
      <c r="BE561" s="11193"/>
      <c r="BF561" s="11194"/>
      <c r="BG561" s="11195"/>
      <c r="BH561" s="11196"/>
      <c r="BI561" s="11197"/>
      <c r="BJ561" s="11198"/>
      <c r="BK561" s="11199"/>
      <c r="BL561" s="11200"/>
      <c r="BM561" s="11201"/>
      <c r="BN561" s="11202"/>
      <c r="BO561" s="11203"/>
      <c r="BP561" s="11204"/>
      <c r="BQ561" s="11205"/>
      <c r="BR561" s="11206"/>
      <c r="BS561" s="11207"/>
      <c r="BT561" s="11208"/>
      <c r="BU561" s="11209"/>
      <c r="BV561" s="11210"/>
      <c r="BW561" s="11211"/>
      <c r="BX561" s="11212"/>
      <c r="BY561" s="11213"/>
      <c r="BZ561" s="11214"/>
      <c r="CA561" s="11215"/>
      <c r="CB561" s="11216"/>
      <c r="CC561" s="11217"/>
      <c r="CD561" s="11218"/>
      <c r="CE561" s="11219"/>
      <c r="CF561" s="11220"/>
      <c r="CG561" s="11221"/>
      <c r="CH561" s="11222"/>
      <c r="CI561" s="11223"/>
      <c r="CJ561" s="11224"/>
      <c r="CK561" s="11225"/>
      <c r="CL561" s="11226"/>
      <c r="CM561" s="11227"/>
      <c r="CN561" s="11228"/>
      <c r="CO561" s="11229"/>
      <c r="CP561" s="11230"/>
      <c r="CQ561" s="3825"/>
      <c r="CR561" s="3581"/>
      <c r="CS561" s="3728"/>
      <c r="CT561" s="3728" t="str">
        <f>IF(T561="","",T561)</f>
        <v>Добавить вид теплоносителя (параметры теплоносителя)</v>
      </c>
      <c r="CU561" s="3728"/>
      <c r="CV561" s="3728"/>
    </row>
    <row s="11231" customFormat="1" customHeight="1" ht="15">
      <c r="A562" s="3716"/>
      <c r="B562" s="3716"/>
      <c r="C562" s="3716"/>
      <c r="D562" s="3716"/>
      <c r="E562" s="3717"/>
      <c r="F562" s="3717" t="s">
        <v>159</v>
      </c>
      <c r="G562" s="3717"/>
      <c r="H562" s="3717"/>
      <c r="I562" s="3730"/>
      <c r="J562" s="3716"/>
      <c r="K562" s="3716"/>
      <c r="L562" s="3719"/>
      <c r="M562" s="3573"/>
      <c r="N562" s="3731"/>
      <c r="O562" s="3731"/>
      <c r="P562" s="3732"/>
      <c r="Q562" s="3732"/>
      <c r="R562" s="3733"/>
      <c r="S562" s="11232"/>
      <c r="T562" s="11233" t="s">
        <v>627</v>
      </c>
      <c r="U562" s="11234"/>
      <c r="V562" s="11235"/>
      <c r="W562" s="11236"/>
      <c r="X562" s="11237"/>
      <c r="Y562" s="11238"/>
      <c r="Z562" s="11239"/>
      <c r="AA562" s="11240"/>
      <c r="AB562" s="11241"/>
      <c r="AC562" s="11242"/>
      <c r="AD562" s="11243"/>
      <c r="AE562" s="11244"/>
      <c r="AF562" s="11245"/>
      <c r="AG562" s="11246"/>
      <c r="AH562" s="11247"/>
      <c r="AI562" s="11248"/>
      <c r="AJ562" s="11249"/>
      <c r="AK562" s="11250"/>
      <c r="AL562" s="11251"/>
      <c r="AM562" s="11252"/>
      <c r="AN562" s="11253"/>
      <c r="AO562" s="11254"/>
      <c r="AP562" s="11255"/>
      <c r="AQ562" s="11256"/>
      <c r="AR562" s="11257"/>
      <c r="AS562" s="11258"/>
      <c r="AT562" s="11259"/>
      <c r="AU562" s="11260"/>
      <c r="AV562" s="11261"/>
      <c r="AW562" s="11262"/>
      <c r="AX562" s="11263"/>
      <c r="AY562" s="11264"/>
      <c r="AZ562" s="11265"/>
      <c r="BA562" s="11266"/>
      <c r="BB562" s="11267"/>
      <c r="BC562" s="11268"/>
      <c r="BD562" s="11269"/>
      <c r="BE562" s="11270"/>
      <c r="BF562" s="11271"/>
      <c r="BG562" s="11272"/>
      <c r="BH562" s="11273"/>
      <c r="BI562" s="11274"/>
      <c r="BJ562" s="11275"/>
      <c r="BK562" s="11276"/>
      <c r="BL562" s="11277"/>
      <c r="BM562" s="11278"/>
      <c r="BN562" s="11279"/>
      <c r="BO562" s="11280"/>
      <c r="BP562" s="11281"/>
      <c r="BQ562" s="11282"/>
      <c r="BR562" s="11283"/>
      <c r="BS562" s="11284"/>
      <c r="BT562" s="11285"/>
      <c r="BU562" s="11286"/>
      <c r="BV562" s="11287"/>
      <c r="BW562" s="11288"/>
      <c r="BX562" s="11289"/>
      <c r="BY562" s="11290"/>
      <c r="BZ562" s="11291"/>
      <c r="CA562" s="11292"/>
      <c r="CB562" s="11293"/>
      <c r="CC562" s="11294"/>
      <c r="CD562" s="11295"/>
      <c r="CE562" s="11296"/>
      <c r="CF562" s="11297"/>
      <c r="CG562" s="11298"/>
      <c r="CH562" s="11299"/>
      <c r="CI562" s="11300"/>
      <c r="CJ562" s="11301"/>
      <c r="CK562" s="11302"/>
      <c r="CL562" s="11303"/>
      <c r="CM562" s="11304"/>
      <c r="CN562" s="11305"/>
      <c r="CO562" s="11306"/>
      <c r="CP562" s="11307"/>
      <c r="CQ562" s="11308"/>
      <c r="CR562" s="3581"/>
      <c r="CS562" s="3728"/>
      <c r="CT562" s="3728" t="str">
        <f>IF(T562="","",T562)</f>
        <v>Добавить группу потребителей</v>
      </c>
      <c r="CU562" s="3728"/>
      <c r="CV562" s="3728"/>
    </row>
    <row s="11309" customFormat="1" customHeight="1" ht="14.25">
      <c r="A563" s="3716"/>
      <c r="B563" s="3716"/>
      <c r="C563" s="3716"/>
      <c r="D563" s="3716"/>
      <c r="E563" s="3717"/>
      <c r="F563" s="3717" t="s">
        <v>159</v>
      </c>
      <c r="G563" s="3717"/>
      <c r="H563" s="3718"/>
      <c r="I563" s="3716"/>
      <c r="J563" s="3716"/>
      <c r="K563" s="3716"/>
      <c r="L563" s="3719"/>
      <c r="M563" s="3720"/>
      <c r="N563" s="3720"/>
      <c r="O563" s="3573"/>
      <c r="P563" s="3905"/>
      <c r="Q563" s="3906"/>
      <c r="R563" s="3907"/>
      <c r="S563" s="3908"/>
      <c r="T563" s="3909"/>
      <c r="U563" s="3569"/>
      <c r="V563" s="3569"/>
      <c r="W563" s="3569"/>
      <c r="X563" s="3569"/>
      <c r="Y563" s="3569"/>
      <c r="Z563" s="3569"/>
      <c r="AA563" s="3569"/>
      <c r="AB563" s="3569"/>
      <c r="AC563" s="3569"/>
      <c r="AD563" s="3569"/>
      <c r="AE563" s="3569"/>
      <c r="AF563" s="3569"/>
      <c r="AG563" s="3569"/>
      <c r="AH563" s="3569"/>
      <c r="AI563" s="3569"/>
      <c r="AJ563" s="3569"/>
      <c r="AK563" s="3569"/>
      <c r="AL563" s="3569"/>
      <c r="AM563" s="3569"/>
      <c r="AN563" s="3569"/>
      <c r="AO563" s="3569"/>
      <c r="AP563" s="3569"/>
      <c r="AQ563" s="3569"/>
      <c r="AR563" s="3569"/>
      <c r="AS563" s="3569"/>
      <c r="AT563" s="3569"/>
      <c r="AU563" s="3569"/>
      <c r="AV563" s="3569"/>
      <c r="AW563" s="3569"/>
      <c r="AX563" s="3569"/>
      <c r="AY563" s="3569"/>
      <c r="AZ563" s="3569"/>
      <c r="BA563" s="3569"/>
      <c r="BB563" s="3569"/>
      <c r="BC563" s="3569"/>
      <c r="BD563" s="3569"/>
      <c r="BE563" s="3569"/>
      <c r="BF563" s="3569"/>
      <c r="BG563" s="3569"/>
      <c r="BH563" s="3569"/>
      <c r="BI563" s="3569"/>
      <c r="BJ563" s="3569"/>
      <c r="BK563" s="3569"/>
      <c r="BL563" s="3569"/>
      <c r="BM563" s="3569"/>
      <c r="BN563" s="3569"/>
      <c r="BO563" s="3569"/>
      <c r="BP563" s="3569"/>
      <c r="BQ563" s="3569"/>
      <c r="BR563" s="3569"/>
      <c r="BS563" s="3569"/>
      <c r="BT563" s="3569"/>
      <c r="BU563" s="3569"/>
      <c r="BV563" s="3569"/>
      <c r="BW563" s="3569"/>
      <c r="BX563" s="3569"/>
      <c r="BY563" s="3569"/>
      <c r="BZ563" s="3569"/>
      <c r="CA563" s="3569"/>
      <c r="CB563" s="3569"/>
      <c r="CC563" s="3569"/>
      <c r="CD563" s="3569"/>
      <c r="CE563" s="3569"/>
      <c r="CF563" s="3569"/>
      <c r="CG563" s="3569"/>
      <c r="CH563" s="3569"/>
      <c r="CI563" s="3569"/>
      <c r="CJ563" s="3569"/>
      <c r="CK563" s="3569"/>
      <c r="CL563" s="3569"/>
      <c r="CM563" s="3569"/>
      <c r="CN563" s="3569"/>
      <c r="CO563" s="3569"/>
      <c r="CP563" s="3569"/>
      <c r="CQ563" s="3910"/>
      <c r="CR563" s="3581"/>
      <c r="CS563" s="3728"/>
      <c r="CT563" s="3728" t="str">
        <f>IF(T563="","",T563)</f>
        <v/>
      </c>
      <c r="CU563" s="3728"/>
      <c r="CV563" s="3728"/>
    </row>
    <row s="11310" customFormat="1" customHeight="1" ht="21">
      <c r="A564" s="3716"/>
      <c r="B564" s="3716"/>
      <c r="C564" s="3716"/>
      <c r="D564" s="3716" t="s">
        <v>385</v>
      </c>
      <c r="E564" s="3717"/>
      <c r="F564" s="3717"/>
      <c r="G564" s="3717"/>
      <c r="H564" s="3718" t="s">
        <v>104</v>
      </c>
      <c r="I564" s="3716"/>
      <c r="J564" s="3716"/>
      <c r="K564" s="3716"/>
      <c r="L564" s="3719"/>
      <c r="M564" s="3720"/>
      <c r="N564" s="3720"/>
      <c r="O564" s="3720"/>
      <c r="P564" s="3721"/>
      <c r="Q564" s="3722"/>
      <c r="R564" s="3723"/>
      <c r="S564" s="3724" t="str">
        <f>INDEX(PT_DIFFERENTIATION_NUM_IST_TE,MATCH(D564,PT_DIFFERENTIATION_IST_TE_ID,0))</f>
        <v>2.16.1.2</v>
      </c>
      <c r="T564" s="3725" t="s">
        <v>616</v>
      </c>
      <c r="U564" s="3726"/>
      <c r="V564" s="3432"/>
      <c r="W564" s="3433"/>
      <c r="X564" s="3433"/>
      <c r="Y564" s="3433"/>
      <c r="Z564" s="3433"/>
      <c r="AA564" s="3433"/>
      <c r="AB564" s="3433"/>
      <c r="AC564" s="3434"/>
      <c r="AD564" s="3432" t="str">
        <f>INDEX(PT_DIFFERENTIATION_IST_TE,MATCH(D564,PT_DIFFERENTIATION_IST_TE_ID,0))</f>
        <v>н.п.Лейпи </v>
      </c>
      <c r="AE564" s="3433"/>
      <c r="AF564" s="3433"/>
      <c r="AG564" s="3433"/>
      <c r="AH564" s="3433"/>
      <c r="AI564" s="3433"/>
      <c r="AJ564" s="3433"/>
      <c r="AK564" s="3433"/>
      <c r="AL564" s="3432"/>
      <c r="AM564" s="3433"/>
      <c r="AN564" s="3433"/>
      <c r="AO564" s="3433"/>
      <c r="AP564" s="3433"/>
      <c r="AQ564" s="3433"/>
      <c r="AR564" s="3433"/>
      <c r="AS564" s="3434"/>
      <c r="AT564" s="3432"/>
      <c r="AU564" s="3433"/>
      <c r="AV564" s="3433"/>
      <c r="AW564" s="3433"/>
      <c r="AX564" s="3433"/>
      <c r="AY564" s="3433"/>
      <c r="AZ564" s="3433"/>
      <c r="BA564" s="3434"/>
      <c r="BB564" s="3432"/>
      <c r="BC564" s="3433"/>
      <c r="BD564" s="3433"/>
      <c r="BE564" s="3433"/>
      <c r="BF564" s="3433"/>
      <c r="BG564" s="3433"/>
      <c r="BH564" s="3433"/>
      <c r="BI564" s="3434"/>
      <c r="BJ564" s="3432"/>
      <c r="BK564" s="3433"/>
      <c r="BL564" s="3433"/>
      <c r="BM564" s="3433"/>
      <c r="BN564" s="3433"/>
      <c r="BO564" s="3433"/>
      <c r="BP564" s="3433"/>
      <c r="BQ564" s="3434"/>
      <c r="BR564" s="3432"/>
      <c r="BS564" s="3433"/>
      <c r="BT564" s="3433"/>
      <c r="BU564" s="3433"/>
      <c r="BV564" s="3433"/>
      <c r="BW564" s="3433"/>
      <c r="BX564" s="3433"/>
      <c r="BY564" s="3434"/>
      <c r="BZ564" s="3432"/>
      <c r="CA564" s="3433"/>
      <c r="CB564" s="3433"/>
      <c r="CC564" s="3433"/>
      <c r="CD564" s="3433"/>
      <c r="CE564" s="3433"/>
      <c r="CF564" s="3433"/>
      <c r="CG564" s="3434"/>
      <c r="CH564" s="3432"/>
      <c r="CI564" s="3433"/>
      <c r="CJ564" s="3433"/>
      <c r="CK564" s="3433"/>
      <c r="CL564" s="3433"/>
      <c r="CM564" s="3433"/>
      <c r="CN564" s="3433"/>
      <c r="CO564" s="3434"/>
      <c r="CP564" s="3434"/>
      <c r="CQ564" s="3727" t="s">
        <v>617</v>
      </c>
      <c r="CR564" s="3581"/>
      <c r="CS564" s="3728"/>
      <c r="CT564" s="3728" t="str">
        <f>IF(T564="","",T564)</f>
        <v>Источник тепловой энергии  </v>
      </c>
      <c r="CU564" s="3728"/>
      <c r="CV564" s="3728"/>
    </row>
    <row s="11311" customFormat="1" customHeight="1" ht="14.25">
      <c r="A565" s="3716"/>
      <c r="B565" s="3716"/>
      <c r="C565" s="3716"/>
      <c r="D565" s="3716"/>
      <c r="E565" s="3717"/>
      <c r="F565" s="3717"/>
      <c r="G565" s="3717"/>
      <c r="H565" s="3717">
        <v>1</v>
      </c>
      <c r="I565" s="3730" t="str">
        <f>S564&amp;".1"</f>
        <v>2.16.1.2.1</v>
      </c>
      <c r="J565" s="3716"/>
      <c r="K565" s="3716"/>
      <c r="L565" s="3719" t="s">
        <v>618</v>
      </c>
      <c r="M565" s="3573"/>
      <c r="N565" s="3731"/>
      <c r="O565" s="3731"/>
      <c r="P565" s="3732">
        <v>1</v>
      </c>
      <c r="Q565" s="3732"/>
      <c r="R565" s="3733"/>
      <c r="S565" s="3734"/>
      <c r="T565" s="3735"/>
      <c r="U565" s="3736"/>
      <c r="V565" s="3441"/>
      <c r="W565" s="3442"/>
      <c r="X565" s="3442"/>
      <c r="Y565" s="3442"/>
      <c r="Z565" s="3442"/>
      <c r="AA565" s="3442"/>
      <c r="AB565" s="3442"/>
      <c r="AC565" s="3443"/>
      <c r="AD565" s="3441"/>
      <c r="AE565" s="3442"/>
      <c r="AF565" s="3442"/>
      <c r="AG565" s="3442"/>
      <c r="AH565" s="3442"/>
      <c r="AI565" s="3442"/>
      <c r="AJ565" s="3442"/>
      <c r="AK565" s="3442"/>
      <c r="AL565" s="3441"/>
      <c r="AM565" s="3442"/>
      <c r="AN565" s="3442"/>
      <c r="AO565" s="3442"/>
      <c r="AP565" s="3442"/>
      <c r="AQ565" s="3442"/>
      <c r="AR565" s="3442"/>
      <c r="AS565" s="3443"/>
      <c r="AT565" s="3441"/>
      <c r="AU565" s="3442"/>
      <c r="AV565" s="3442"/>
      <c r="AW565" s="3442"/>
      <c r="AX565" s="3442"/>
      <c r="AY565" s="3442"/>
      <c r="AZ565" s="3442"/>
      <c r="BA565" s="3443"/>
      <c r="BB565" s="3441"/>
      <c r="BC565" s="3442"/>
      <c r="BD565" s="3442"/>
      <c r="BE565" s="3442"/>
      <c r="BF565" s="3442"/>
      <c r="BG565" s="3442"/>
      <c r="BH565" s="3442"/>
      <c r="BI565" s="3443"/>
      <c r="BJ565" s="3441"/>
      <c r="BK565" s="3442"/>
      <c r="BL565" s="3442"/>
      <c r="BM565" s="3442"/>
      <c r="BN565" s="3442"/>
      <c r="BO565" s="3442"/>
      <c r="BP565" s="3442"/>
      <c r="BQ565" s="3443"/>
      <c r="BR565" s="3441"/>
      <c r="BS565" s="3442"/>
      <c r="BT565" s="3442"/>
      <c r="BU565" s="3442"/>
      <c r="BV565" s="3442"/>
      <c r="BW565" s="3442"/>
      <c r="BX565" s="3442"/>
      <c r="BY565" s="3443"/>
      <c r="BZ565" s="3441"/>
      <c r="CA565" s="3442"/>
      <c r="CB565" s="3442"/>
      <c r="CC565" s="3442"/>
      <c r="CD565" s="3442"/>
      <c r="CE565" s="3442"/>
      <c r="CF565" s="3442"/>
      <c r="CG565" s="3443"/>
      <c r="CH565" s="3441"/>
      <c r="CI565" s="3442"/>
      <c r="CJ565" s="3442"/>
      <c r="CK565" s="3442"/>
      <c r="CL565" s="3442"/>
      <c r="CM565" s="3442"/>
      <c r="CN565" s="3442"/>
      <c r="CO565" s="3443"/>
      <c r="CP565" s="3443"/>
      <c r="CQ565" s="3737"/>
      <c r="CR565" s="3581"/>
      <c r="CS565" s="3728"/>
      <c r="CT565" s="3728" t="str">
        <f>IF(T565="","",T565)</f>
        <v/>
      </c>
      <c r="CU565" s="3728"/>
      <c r="CV565" s="3728"/>
    </row>
    <row s="11312" customFormat="1" customHeight="1" ht="21">
      <c r="A566" s="3716"/>
      <c r="B566" s="3716"/>
      <c r="C566" s="3716"/>
      <c r="D566" s="3716"/>
      <c r="E566" s="3717"/>
      <c r="F566" s="3717"/>
      <c r="G566" s="3717"/>
      <c r="H566" s="3717">
        <v>1</v>
      </c>
      <c r="I566" s="3739"/>
      <c r="J566" s="3730" t="str">
        <f>I565&amp;".1"</f>
        <v>2.16.1.2.1.1</v>
      </c>
      <c r="K566" s="3716"/>
      <c r="L566" s="3719" t="s">
        <v>621</v>
      </c>
      <c r="M566" s="3573"/>
      <c r="N566" s="3573"/>
      <c r="O566" s="3731"/>
      <c r="P566" s="3732"/>
      <c r="Q566" s="3732">
        <v>1</v>
      </c>
      <c r="R566" s="3740"/>
      <c r="S566" s="3724" t="str">
        <f>$J566</f>
        <v>2.16.1.2.1.1</v>
      </c>
      <c r="T566" s="3741" t="s">
        <v>622</v>
      </c>
      <c r="U566" s="3726"/>
      <c r="V566" s="3445"/>
      <c r="W566" s="3446"/>
      <c r="X566" s="3446"/>
      <c r="Y566" s="3446"/>
      <c r="Z566" s="3446"/>
      <c r="AA566" s="3446"/>
      <c r="AB566" s="3446"/>
      <c r="AC566" s="3447"/>
      <c r="AD566" s="3445" t="s">
        <v>665</v>
      </c>
      <c r="AE566" s="3446"/>
      <c r="AF566" s="3446"/>
      <c r="AG566" s="3446"/>
      <c r="AH566" s="3446"/>
      <c r="AI566" s="3446"/>
      <c r="AJ566" s="3446"/>
      <c r="AK566" s="3446"/>
      <c r="AL566" s="3445"/>
      <c r="AM566" s="3446"/>
      <c r="AN566" s="3446"/>
      <c r="AO566" s="3446"/>
      <c r="AP566" s="3446"/>
      <c r="AQ566" s="3446"/>
      <c r="AR566" s="3446"/>
      <c r="AS566" s="3447"/>
      <c r="AT566" s="3445"/>
      <c r="AU566" s="3446"/>
      <c r="AV566" s="3446"/>
      <c r="AW566" s="3446"/>
      <c r="AX566" s="3446"/>
      <c r="AY566" s="3446"/>
      <c r="AZ566" s="3446"/>
      <c r="BA566" s="3447"/>
      <c r="BB566" s="3445"/>
      <c r="BC566" s="3446"/>
      <c r="BD566" s="3446"/>
      <c r="BE566" s="3446"/>
      <c r="BF566" s="3446"/>
      <c r="BG566" s="3446"/>
      <c r="BH566" s="3446"/>
      <c r="BI566" s="3447"/>
      <c r="BJ566" s="3445"/>
      <c r="BK566" s="3446"/>
      <c r="BL566" s="3446"/>
      <c r="BM566" s="3446"/>
      <c r="BN566" s="3446"/>
      <c r="BO566" s="3446"/>
      <c r="BP566" s="3446"/>
      <c r="BQ566" s="3447"/>
      <c r="BR566" s="3445"/>
      <c r="BS566" s="3446"/>
      <c r="BT566" s="3446"/>
      <c r="BU566" s="3446"/>
      <c r="BV566" s="3446"/>
      <c r="BW566" s="3446"/>
      <c r="BX566" s="3446"/>
      <c r="BY566" s="3447"/>
      <c r="BZ566" s="3445"/>
      <c r="CA566" s="3446"/>
      <c r="CB566" s="3446"/>
      <c r="CC566" s="3446"/>
      <c r="CD566" s="3446"/>
      <c r="CE566" s="3446"/>
      <c r="CF566" s="3446"/>
      <c r="CG566" s="3447"/>
      <c r="CH566" s="3445"/>
      <c r="CI566" s="3446"/>
      <c r="CJ566" s="3446"/>
      <c r="CK566" s="3446"/>
      <c r="CL566" s="3446"/>
      <c r="CM566" s="3446"/>
      <c r="CN566" s="3446"/>
      <c r="CO566" s="3447"/>
      <c r="CP566" s="3447"/>
      <c r="CQ566" s="3727" t="s">
        <v>623</v>
      </c>
      <c r="CR566" s="3581"/>
      <c r="CS566" s="3728"/>
      <c r="CT566" s="3728" t="str">
        <f>IF(T566="","",T566)</f>
        <v>Группа потребителей</v>
      </c>
      <c r="CU566" s="3728"/>
      <c r="CV566" s="3728"/>
    </row>
    <row s="11313" customFormat="1" customHeight="1" ht="21">
      <c r="A567" s="3716"/>
      <c r="B567" s="3716"/>
      <c r="C567" s="3716"/>
      <c r="D567" s="3716"/>
      <c r="E567" s="3717"/>
      <c r="F567" s="3717"/>
      <c r="G567" s="3717"/>
      <c r="H567" s="3717">
        <v>1</v>
      </c>
      <c r="I567" s="3739"/>
      <c r="J567" s="3739"/>
      <c r="K567" s="3730" t="str">
        <f>J566&amp;".1"</f>
        <v>2.16.1.2.1.1.1</v>
      </c>
      <c r="L567" s="3719" t="s">
        <v>624</v>
      </c>
      <c r="M567" s="3573"/>
      <c r="N567" s="3573"/>
      <c r="O567" s="3573"/>
      <c r="P567" s="3732"/>
      <c r="Q567" s="3732"/>
      <c r="R567" s="3740">
        <v>1</v>
      </c>
      <c r="S567" s="3724" t="str">
        <f>$K567</f>
        <v>2.16.1.2.1.1.1</v>
      </c>
      <c r="T567" s="3743" t="s">
        <v>663</v>
      </c>
      <c r="U567" s="3726"/>
      <c r="V567" s="3448"/>
      <c r="W567" s="3449"/>
      <c r="X567" s="3448"/>
      <c r="Y567" s="3450"/>
      <c r="Z567" s="3451"/>
      <c r="AA567" s="2872" t="s">
        <v>63</v>
      </c>
      <c r="AB567" s="3451"/>
      <c r="AC567" s="2872" t="s">
        <v>63</v>
      </c>
      <c r="AD567" s="3448">
        <v>26.35</v>
      </c>
      <c r="AE567" s="3449"/>
      <c r="AF567" s="3448"/>
      <c r="AG567" s="3450"/>
      <c r="AH567" s="3451">
        <v>44197</v>
      </c>
      <c r="AI567" s="2872" t="s">
        <v>63</v>
      </c>
      <c r="AJ567" s="3451">
        <v>44377</v>
      </c>
      <c r="AK567" s="2872" t="s">
        <v>63</v>
      </c>
      <c r="AL567" s="3448">
        <v>28.99</v>
      </c>
      <c r="AM567" s="3449"/>
      <c r="AN567" s="3448"/>
      <c r="AO567" s="3450"/>
      <c r="AP567" s="3451">
        <v>44378</v>
      </c>
      <c r="AQ567" s="2872" t="s">
        <v>63</v>
      </c>
      <c r="AR567" s="3451">
        <v>44561</v>
      </c>
      <c r="AS567" s="2872" t="s">
        <v>63</v>
      </c>
      <c r="AT567" s="3448">
        <v>28.99</v>
      </c>
      <c r="AU567" s="3449"/>
      <c r="AV567" s="3448"/>
      <c r="AW567" s="3450"/>
      <c r="AX567" s="3451">
        <v>44562</v>
      </c>
      <c r="AY567" s="2872" t="s">
        <v>63</v>
      </c>
      <c r="AZ567" s="3451">
        <v>44601</v>
      </c>
      <c r="BA567" s="2872" t="s">
        <v>63</v>
      </c>
      <c r="BB567" s="3448">
        <v>28.99</v>
      </c>
      <c r="BC567" s="3449"/>
      <c r="BD567" s="3448"/>
      <c r="BE567" s="3450"/>
      <c r="BF567" s="3451">
        <v>44602</v>
      </c>
      <c r="BG567" s="2872" t="s">
        <v>63</v>
      </c>
      <c r="BH567" s="3451">
        <v>44742</v>
      </c>
      <c r="BI567" s="2872" t="s">
        <v>63</v>
      </c>
      <c r="BJ567" s="3448">
        <v>31.88</v>
      </c>
      <c r="BK567" s="3449"/>
      <c r="BL567" s="3448"/>
      <c r="BM567" s="3450"/>
      <c r="BN567" s="3451">
        <v>44743</v>
      </c>
      <c r="BO567" s="2872" t="s">
        <v>63</v>
      </c>
      <c r="BP567" s="3451">
        <v>44804</v>
      </c>
      <c r="BQ567" s="2872" t="s">
        <v>63</v>
      </c>
      <c r="BR567" s="3448">
        <v>31.88</v>
      </c>
      <c r="BS567" s="3449"/>
      <c r="BT567" s="3448"/>
      <c r="BU567" s="3450"/>
      <c r="BV567" s="3451">
        <v>44805</v>
      </c>
      <c r="BW567" s="2872" t="s">
        <v>63</v>
      </c>
      <c r="BX567" s="3451">
        <v>44895</v>
      </c>
      <c r="BY567" s="2872" t="s">
        <v>63</v>
      </c>
      <c r="BZ567" s="3448">
        <v>33.8</v>
      </c>
      <c r="CA567" s="3449"/>
      <c r="CB567" s="3448"/>
      <c r="CC567" s="3450"/>
      <c r="CD567" s="3451">
        <v>44896</v>
      </c>
      <c r="CE567" s="2872" t="s">
        <v>63</v>
      </c>
      <c r="CF567" s="3451">
        <v>45174</v>
      </c>
      <c r="CG567" s="2872" t="s">
        <v>63</v>
      </c>
      <c r="CH567" s="3448">
        <v>33.8</v>
      </c>
      <c r="CI567" s="3449"/>
      <c r="CJ567" s="3448"/>
      <c r="CK567" s="3450"/>
      <c r="CL567" s="3451">
        <v>45175</v>
      </c>
      <c r="CM567" s="2872" t="s">
        <v>63</v>
      </c>
      <c r="CN567" s="3451">
        <v>45291</v>
      </c>
      <c r="CO567" s="2872" t="s">
        <v>63</v>
      </c>
      <c r="CP567" s="3449"/>
      <c r="CQ567" s="3744" t="s">
        <v>625</v>
      </c>
      <c r="CR567" s="3581">
        <f>STRCHECKDATE(V568:CP568)</f>
      </c>
      <c r="CS567" s="3728"/>
      <c r="CT567" s="3728" t="str">
        <f>IF(T567="","",T567)</f>
        <v>вода</v>
      </c>
      <c r="CU567" s="3728"/>
      <c r="CV567" s="3728"/>
    </row>
    <row s="11314" customFormat="1" customHeight="1" ht="0.75">
      <c r="A568" s="3716"/>
      <c r="B568" s="3716"/>
      <c r="C568" s="3716"/>
      <c r="D568" s="3716"/>
      <c r="E568" s="3717"/>
      <c r="F568" s="3717"/>
      <c r="G568" s="3717"/>
      <c r="H568" s="3717">
        <v>1</v>
      </c>
      <c r="I568" s="3739"/>
      <c r="J568" s="3739"/>
      <c r="K568" s="3730"/>
      <c r="L568" s="3719"/>
      <c r="M568" s="3573"/>
      <c r="N568" s="3573"/>
      <c r="O568" s="3573"/>
      <c r="P568" s="3732"/>
      <c r="Q568" s="3732"/>
      <c r="R568" s="3740"/>
      <c r="S568" s="3746"/>
      <c r="T568" s="3726"/>
      <c r="U568" s="3726"/>
      <c r="V568" s="3449"/>
      <c r="W568" s="3449"/>
      <c r="X568" s="3449"/>
      <c r="Y568" s="3452" t="str">
        <f>Z567&amp;"-"&amp;AB567</f>
        <v>-</v>
      </c>
      <c r="Z568" s="3453"/>
      <c r="AA568" s="2872"/>
      <c r="AB568" s="3453"/>
      <c r="AC568" s="2872"/>
      <c r="AD568" s="3449"/>
      <c r="AE568" s="3449"/>
      <c r="AF568" s="3449"/>
      <c r="AG568" s="3452" t="str">
        <f>AH567&amp;"-"&amp;AJ567</f>
        <v>44197-44377</v>
      </c>
      <c r="AH568" s="3453"/>
      <c r="AI568" s="2872"/>
      <c r="AJ568" s="3453"/>
      <c r="AK568" s="2872"/>
      <c r="AL568" s="3449"/>
      <c r="AM568" s="3449"/>
      <c r="AN568" s="3449"/>
      <c r="AO568" s="3452" t="str">
        <f>AP567&amp;"-"&amp;AR567</f>
        <v>44378-44561</v>
      </c>
      <c r="AP568" s="3453"/>
      <c r="AQ568" s="2872"/>
      <c r="AR568" s="3453"/>
      <c r="AS568" s="2872"/>
      <c r="AT568" s="3449"/>
      <c r="AU568" s="3449"/>
      <c r="AV568" s="3449"/>
      <c r="AW568" s="3452" t="str">
        <f>AX567&amp;"-"&amp;AZ567</f>
        <v>44562-44601</v>
      </c>
      <c r="AX568" s="3453"/>
      <c r="AY568" s="2872"/>
      <c r="AZ568" s="3453"/>
      <c r="BA568" s="2872"/>
      <c r="BB568" s="3449"/>
      <c r="BC568" s="3449"/>
      <c r="BD568" s="3449"/>
      <c r="BE568" s="3452" t="str">
        <f>BF567&amp;"-"&amp;BH567</f>
        <v>44602-44742</v>
      </c>
      <c r="BF568" s="3453"/>
      <c r="BG568" s="2872"/>
      <c r="BH568" s="3453"/>
      <c r="BI568" s="2872"/>
      <c r="BJ568" s="3449"/>
      <c r="BK568" s="3449"/>
      <c r="BL568" s="3449"/>
      <c r="BM568" s="3452" t="str">
        <f>BN567&amp;"-"&amp;BP567</f>
        <v>44743-44804</v>
      </c>
      <c r="BN568" s="3453"/>
      <c r="BO568" s="2872"/>
      <c r="BP568" s="3453"/>
      <c r="BQ568" s="2872"/>
      <c r="BR568" s="3449"/>
      <c r="BS568" s="3449"/>
      <c r="BT568" s="3449"/>
      <c r="BU568" s="3452" t="str">
        <f>BV567&amp;"-"&amp;BX567</f>
        <v>44805-44895</v>
      </c>
      <c r="BV568" s="3453"/>
      <c r="BW568" s="2872"/>
      <c r="BX568" s="3453"/>
      <c r="BY568" s="2872"/>
      <c r="BZ568" s="3449"/>
      <c r="CA568" s="3449"/>
      <c r="CB568" s="3449"/>
      <c r="CC568" s="3452" t="str">
        <f>CD567&amp;"-"&amp;CF567</f>
        <v>44896-45174</v>
      </c>
      <c r="CD568" s="3453"/>
      <c r="CE568" s="2872"/>
      <c r="CF568" s="3453"/>
      <c r="CG568" s="2872"/>
      <c r="CH568" s="3449"/>
      <c r="CI568" s="3449"/>
      <c r="CJ568" s="3449"/>
      <c r="CK568" s="3452" t="str">
        <f>CL567&amp;"-"&amp;CN567</f>
        <v>45175-45291</v>
      </c>
      <c r="CL568" s="3453"/>
      <c r="CM568" s="2872"/>
      <c r="CN568" s="3453"/>
      <c r="CO568" s="2872"/>
      <c r="CP568" s="3449"/>
      <c r="CQ568" s="3747"/>
      <c r="CR568" s="3581"/>
      <c r="CS568" s="3728"/>
      <c r="CT568" s="3728" t="str">
        <f>IF(T568="","",T568)</f>
        <v/>
      </c>
      <c r="CU568" s="3728"/>
      <c r="CV568" s="3728"/>
    </row>
    <row s="11315" customFormat="1" customHeight="1" ht="15">
      <c r="A569" s="3716"/>
      <c r="B569" s="3716"/>
      <c r="C569" s="3716"/>
      <c r="D569" s="3716"/>
      <c r="E569" s="3717"/>
      <c r="F569" s="3717"/>
      <c r="G569" s="3717"/>
      <c r="H569" s="3717">
        <v>1</v>
      </c>
      <c r="I569" s="3739"/>
      <c r="J569" s="3730"/>
      <c r="K569" s="3716"/>
      <c r="L569" s="3719"/>
      <c r="M569" s="3573"/>
      <c r="N569" s="3573"/>
      <c r="O569" s="3731"/>
      <c r="P569" s="3732"/>
      <c r="Q569" s="3732"/>
      <c r="R569" s="3733"/>
      <c r="S569" s="11316"/>
      <c r="T569" s="11317" t="s">
        <v>626</v>
      </c>
      <c r="U569" s="11318"/>
      <c r="V569" s="11319"/>
      <c r="W569" s="11320"/>
      <c r="X569" s="11321"/>
      <c r="Y569" s="11322"/>
      <c r="Z569" s="11323"/>
      <c r="AA569" s="11324"/>
      <c r="AB569" s="11325"/>
      <c r="AC569" s="11326"/>
      <c r="AD569" s="11327"/>
      <c r="AE569" s="11328"/>
      <c r="AF569" s="11329"/>
      <c r="AG569" s="11330"/>
      <c r="AH569" s="11331"/>
      <c r="AI569" s="11332"/>
      <c r="AJ569" s="11333"/>
      <c r="AK569" s="11334"/>
      <c r="AL569" s="11335"/>
      <c r="AM569" s="11336"/>
      <c r="AN569" s="11337"/>
      <c r="AO569" s="11338"/>
      <c r="AP569" s="11339"/>
      <c r="AQ569" s="11340"/>
      <c r="AR569" s="11341"/>
      <c r="AS569" s="11342"/>
      <c r="AT569" s="11343"/>
      <c r="AU569" s="11344"/>
      <c r="AV569" s="11345"/>
      <c r="AW569" s="11346"/>
      <c r="AX569" s="11347"/>
      <c r="AY569" s="11348"/>
      <c r="AZ569" s="11349"/>
      <c r="BA569" s="11350"/>
      <c r="BB569" s="11351"/>
      <c r="BC569" s="11352"/>
      <c r="BD569" s="11353"/>
      <c r="BE569" s="11354"/>
      <c r="BF569" s="11355"/>
      <c r="BG569" s="11356"/>
      <c r="BH569" s="11357"/>
      <c r="BI569" s="11358"/>
      <c r="BJ569" s="11359"/>
      <c r="BK569" s="11360"/>
      <c r="BL569" s="11361"/>
      <c r="BM569" s="11362"/>
      <c r="BN569" s="11363"/>
      <c r="BO569" s="11364"/>
      <c r="BP569" s="11365"/>
      <c r="BQ569" s="11366"/>
      <c r="BR569" s="11367"/>
      <c r="BS569" s="11368"/>
      <c r="BT569" s="11369"/>
      <c r="BU569" s="11370"/>
      <c r="BV569" s="11371"/>
      <c r="BW569" s="11372"/>
      <c r="BX569" s="11373"/>
      <c r="BY569" s="11374"/>
      <c r="BZ569" s="11375"/>
      <c r="CA569" s="11376"/>
      <c r="CB569" s="11377"/>
      <c r="CC569" s="11378"/>
      <c r="CD569" s="11379"/>
      <c r="CE569" s="11380"/>
      <c r="CF569" s="11381"/>
      <c r="CG569" s="11382"/>
      <c r="CH569" s="11383"/>
      <c r="CI569" s="11384"/>
      <c r="CJ569" s="11385"/>
      <c r="CK569" s="11386"/>
      <c r="CL569" s="11387"/>
      <c r="CM569" s="11388"/>
      <c r="CN569" s="11389"/>
      <c r="CO569" s="11390"/>
      <c r="CP569" s="11391"/>
      <c r="CQ569" s="3825"/>
      <c r="CR569" s="3581"/>
      <c r="CS569" s="3728"/>
      <c r="CT569" s="3728" t="str">
        <f>IF(T569="","",T569)</f>
        <v>Добавить вид теплоносителя (параметры теплоносителя)</v>
      </c>
      <c r="CU569" s="3728"/>
      <c r="CV569" s="3728"/>
    </row>
    <row s="11392" customFormat="1" customHeight="1" ht="15">
      <c r="A570" s="3716"/>
      <c r="B570" s="3716"/>
      <c r="C570" s="3716"/>
      <c r="D570" s="3716"/>
      <c r="E570" s="3717"/>
      <c r="F570" s="3717"/>
      <c r="G570" s="3717"/>
      <c r="H570" s="3717">
        <v>1</v>
      </c>
      <c r="I570" s="3730"/>
      <c r="J570" s="3716"/>
      <c r="K570" s="3716"/>
      <c r="L570" s="3719"/>
      <c r="M570" s="3573"/>
      <c r="N570" s="3731"/>
      <c r="O570" s="3731"/>
      <c r="P570" s="3732"/>
      <c r="Q570" s="3732"/>
      <c r="R570" s="3733"/>
      <c r="S570" s="11393"/>
      <c r="T570" s="11394" t="s">
        <v>627</v>
      </c>
      <c r="U570" s="11395"/>
      <c r="V570" s="11396"/>
      <c r="W570" s="11397"/>
      <c r="X570" s="11398"/>
      <c r="Y570" s="11399"/>
      <c r="Z570" s="11400"/>
      <c r="AA570" s="11401"/>
      <c r="AB570" s="11402"/>
      <c r="AC570" s="11403"/>
      <c r="AD570" s="11404"/>
      <c r="AE570" s="11405"/>
      <c r="AF570" s="11406"/>
      <c r="AG570" s="11407"/>
      <c r="AH570" s="11408"/>
      <c r="AI570" s="11409"/>
      <c r="AJ570" s="11410"/>
      <c r="AK570" s="11411"/>
      <c r="AL570" s="11412"/>
      <c r="AM570" s="11413"/>
      <c r="AN570" s="11414"/>
      <c r="AO570" s="11415"/>
      <c r="AP570" s="11416"/>
      <c r="AQ570" s="11417"/>
      <c r="AR570" s="11418"/>
      <c r="AS570" s="11419"/>
      <c r="AT570" s="11420"/>
      <c r="AU570" s="11421"/>
      <c r="AV570" s="11422"/>
      <c r="AW570" s="11423"/>
      <c r="AX570" s="11424"/>
      <c r="AY570" s="11425"/>
      <c r="AZ570" s="11426"/>
      <c r="BA570" s="11427"/>
      <c r="BB570" s="11428"/>
      <c r="BC570" s="11429"/>
      <c r="BD570" s="11430"/>
      <c r="BE570" s="11431"/>
      <c r="BF570" s="11432"/>
      <c r="BG570" s="11433"/>
      <c r="BH570" s="11434"/>
      <c r="BI570" s="11435"/>
      <c r="BJ570" s="11436"/>
      <c r="BK570" s="11437"/>
      <c r="BL570" s="11438"/>
      <c r="BM570" s="11439"/>
      <c r="BN570" s="11440"/>
      <c r="BO570" s="11441"/>
      <c r="BP570" s="11442"/>
      <c r="BQ570" s="11443"/>
      <c r="BR570" s="11444"/>
      <c r="BS570" s="11445"/>
      <c r="BT570" s="11446"/>
      <c r="BU570" s="11447"/>
      <c r="BV570" s="11448"/>
      <c r="BW570" s="11449"/>
      <c r="BX570" s="11450"/>
      <c r="BY570" s="11451"/>
      <c r="BZ570" s="11452"/>
      <c r="CA570" s="11453"/>
      <c r="CB570" s="11454"/>
      <c r="CC570" s="11455"/>
      <c r="CD570" s="11456"/>
      <c r="CE570" s="11457"/>
      <c r="CF570" s="11458"/>
      <c r="CG570" s="11459"/>
      <c r="CH570" s="11460"/>
      <c r="CI570" s="11461"/>
      <c r="CJ570" s="11462"/>
      <c r="CK570" s="11463"/>
      <c r="CL570" s="11464"/>
      <c r="CM570" s="11465"/>
      <c r="CN570" s="11466"/>
      <c r="CO570" s="11467"/>
      <c r="CP570" s="11468"/>
      <c r="CQ570" s="11469"/>
      <c r="CR570" s="3581"/>
      <c r="CS570" s="3728"/>
      <c r="CT570" s="3728" t="str">
        <f>IF(T570="","",T570)</f>
        <v>Добавить группу потребителей</v>
      </c>
      <c r="CU570" s="3728"/>
      <c r="CV570" s="3728"/>
    </row>
    <row s="11470" customFormat="1" customHeight="1" ht="14.25">
      <c r="A571" s="3716"/>
      <c r="B571" s="3716"/>
      <c r="C571" s="3716"/>
      <c r="D571" s="3716"/>
      <c r="E571" s="3717"/>
      <c r="F571" s="3717"/>
      <c r="G571" s="3717"/>
      <c r="H571" s="3718">
        <v>1</v>
      </c>
      <c r="I571" s="3716"/>
      <c r="J571" s="3716"/>
      <c r="K571" s="3716"/>
      <c r="L571" s="3719"/>
      <c r="M571" s="3720"/>
      <c r="N571" s="3720"/>
      <c r="O571" s="3573"/>
      <c r="P571" s="3905"/>
      <c r="Q571" s="3906"/>
      <c r="R571" s="3907"/>
      <c r="S571" s="3908"/>
      <c r="T571" s="3909"/>
      <c r="U571" s="3569"/>
      <c r="V571" s="3569"/>
      <c r="W571" s="3569"/>
      <c r="X571" s="3569"/>
      <c r="Y571" s="3569"/>
      <c r="Z571" s="3569"/>
      <c r="AA571" s="3569"/>
      <c r="AB571" s="3569"/>
      <c r="AC571" s="3569"/>
      <c r="AD571" s="3569"/>
      <c r="AE571" s="3569"/>
      <c r="AF571" s="3569"/>
      <c r="AG571" s="3569"/>
      <c r="AH571" s="3569"/>
      <c r="AI571" s="3569"/>
      <c r="AJ571" s="3569"/>
      <c r="AK571" s="3569"/>
      <c r="AL571" s="3569"/>
      <c r="AM571" s="3569"/>
      <c r="AN571" s="3569"/>
      <c r="AO571" s="3569"/>
      <c r="AP571" s="3569"/>
      <c r="AQ571" s="3569"/>
      <c r="AR571" s="3569"/>
      <c r="AS571" s="3569"/>
      <c r="AT571" s="3569"/>
      <c r="AU571" s="3569"/>
      <c r="AV571" s="3569"/>
      <c r="AW571" s="3569"/>
      <c r="AX571" s="3569"/>
      <c r="AY571" s="3569"/>
      <c r="AZ571" s="3569"/>
      <c r="BA571" s="3569"/>
      <c r="BB571" s="3569"/>
      <c r="BC571" s="3569"/>
      <c r="BD571" s="3569"/>
      <c r="BE571" s="3569"/>
      <c r="BF571" s="3569"/>
      <c r="BG571" s="3569"/>
      <c r="BH571" s="3569"/>
      <c r="BI571" s="3569"/>
      <c r="BJ571" s="3569"/>
      <c r="BK571" s="3569"/>
      <c r="BL571" s="3569"/>
      <c r="BM571" s="3569"/>
      <c r="BN571" s="3569"/>
      <c r="BO571" s="3569"/>
      <c r="BP571" s="3569"/>
      <c r="BQ571" s="3569"/>
      <c r="BR571" s="3569"/>
      <c r="BS571" s="3569"/>
      <c r="BT571" s="3569"/>
      <c r="BU571" s="3569"/>
      <c r="BV571" s="3569"/>
      <c r="BW571" s="3569"/>
      <c r="BX571" s="3569"/>
      <c r="BY571" s="3569"/>
      <c r="BZ571" s="3569"/>
      <c r="CA571" s="3569"/>
      <c r="CB571" s="3569"/>
      <c r="CC571" s="3569"/>
      <c r="CD571" s="3569"/>
      <c r="CE571" s="3569"/>
      <c r="CF571" s="3569"/>
      <c r="CG571" s="3569"/>
      <c r="CH571" s="3569"/>
      <c r="CI571" s="3569"/>
      <c r="CJ571" s="3569"/>
      <c r="CK571" s="3569"/>
      <c r="CL571" s="3569"/>
      <c r="CM571" s="3569"/>
      <c r="CN571" s="3569"/>
      <c r="CO571" s="3569"/>
      <c r="CP571" s="3569"/>
      <c r="CQ571" s="3910"/>
      <c r="CR571" s="3581"/>
      <c r="CS571" s="3728"/>
      <c r="CT571" s="3728" t="str">
        <f>IF(T571="","",T571)</f>
        <v/>
      </c>
      <c r="CU571" s="3728"/>
      <c r="CV571" s="3728"/>
    </row>
    <row s="11471" customFormat="1" customHeight="1" ht="0.75">
      <c r="A572" s="4239"/>
      <c r="B572" s="4239"/>
      <c r="C572" s="4239"/>
      <c r="D572" s="4239"/>
      <c r="E572" s="3717"/>
      <c r="F572" s="3717" t="s">
        <v>159</v>
      </c>
      <c r="G572" s="3718"/>
      <c r="H572" s="4239"/>
      <c r="I572" s="4239"/>
      <c r="J572" s="4239"/>
      <c r="K572" s="4239"/>
      <c r="L572" s="4240"/>
      <c r="M572" s="4241"/>
      <c r="N572" s="4241"/>
      <c r="O572" s="3581"/>
      <c r="P572" s="4242"/>
      <c r="Q572" s="4243"/>
      <c r="R572" s="4242"/>
      <c r="S572" s="4244"/>
      <c r="T572" s="4245" t="s">
        <v>254</v>
      </c>
      <c r="U572" s="3571"/>
      <c r="V572" s="3571"/>
      <c r="W572" s="3571"/>
      <c r="X572" s="3571"/>
      <c r="Y572" s="3571"/>
      <c r="Z572" s="3571"/>
      <c r="AA572" s="3571"/>
      <c r="AB572" s="3571"/>
      <c r="AC572" s="3571"/>
      <c r="AD572" s="3571"/>
      <c r="AE572" s="3571"/>
      <c r="AF572" s="3571"/>
      <c r="AG572" s="3571"/>
      <c r="AH572" s="3571"/>
      <c r="AI572" s="3571"/>
      <c r="AJ572" s="3571"/>
      <c r="AK572" s="3571"/>
      <c r="AL572" s="3571"/>
      <c r="AM572" s="3571"/>
      <c r="AN572" s="3571"/>
      <c r="AO572" s="3571"/>
      <c r="AP572" s="3571"/>
      <c r="AQ572" s="3571"/>
      <c r="AR572" s="3571"/>
      <c r="AS572" s="3571"/>
      <c r="AT572" s="3571"/>
      <c r="AU572" s="3571"/>
      <c r="AV572" s="3571"/>
      <c r="AW572" s="3571"/>
      <c r="AX572" s="3571"/>
      <c r="AY572" s="3571"/>
      <c r="AZ572" s="3571"/>
      <c r="BA572" s="3571"/>
      <c r="BB572" s="3571"/>
      <c r="BC572" s="3571"/>
      <c r="BD572" s="3571"/>
      <c r="BE572" s="3571"/>
      <c r="BF572" s="3571"/>
      <c r="BG572" s="3571"/>
      <c r="BH572" s="3571"/>
      <c r="BI572" s="3571"/>
      <c r="BJ572" s="3571"/>
      <c r="BK572" s="3571"/>
      <c r="BL572" s="3571"/>
      <c r="BM572" s="3571"/>
      <c r="BN572" s="3571"/>
      <c r="BO572" s="3571"/>
      <c r="BP572" s="3571"/>
      <c r="BQ572" s="3571"/>
      <c r="BR572" s="3571"/>
      <c r="BS572" s="3571"/>
      <c r="BT572" s="3571"/>
      <c r="BU572" s="3571"/>
      <c r="BV572" s="3571"/>
      <c r="BW572" s="3571"/>
      <c r="BX572" s="3571"/>
      <c r="BY572" s="3571"/>
      <c r="BZ572" s="3571"/>
      <c r="CA572" s="3571"/>
      <c r="CB572" s="3571"/>
      <c r="CC572" s="3571"/>
      <c r="CD572" s="3571"/>
      <c r="CE572" s="3571"/>
      <c r="CF572" s="3571"/>
      <c r="CG572" s="3571"/>
      <c r="CH572" s="3571"/>
      <c r="CI572" s="3571"/>
      <c r="CJ572" s="3571"/>
      <c r="CK572" s="3571"/>
      <c r="CL572" s="3571"/>
      <c r="CM572" s="3571"/>
      <c r="CN572" s="3571"/>
      <c r="CO572" s="3571"/>
      <c r="CP572" s="3571"/>
      <c r="CQ572" s="3571"/>
      <c r="CR572" s="3581"/>
      <c r="CS572" s="3728"/>
      <c r="CT572" s="3728" t="str">
        <f>IF(T572="","",T572)</f>
        <v>Добавить источник для дифференциации</v>
      </c>
      <c r="CU572" s="3728"/>
      <c r="CV572" s="3728"/>
    </row>
    <row s="11472" customFormat="1" customHeight="1" ht="0.75">
      <c r="A573" s="4239"/>
      <c r="B573" s="4239"/>
      <c r="C573" s="4239"/>
      <c r="D573" s="4239"/>
      <c r="E573" s="3717"/>
      <c r="F573" s="3718" t="s">
        <v>159</v>
      </c>
      <c r="G573" s="4239"/>
      <c r="H573" s="4239"/>
      <c r="I573" s="4239"/>
      <c r="J573" s="4239"/>
      <c r="K573" s="4239"/>
      <c r="L573" s="4240"/>
      <c r="M573" s="4247"/>
      <c r="N573" s="4247"/>
      <c r="O573" s="3581"/>
      <c r="P573" s="4242"/>
      <c r="Q573" s="4243"/>
      <c r="R573" s="4242"/>
      <c r="S573" s="4248"/>
      <c r="T573" s="4249" t="s">
        <v>255</v>
      </c>
      <c r="U573" s="3572"/>
      <c r="V573" s="3572"/>
      <c r="W573" s="3572"/>
      <c r="X573" s="3572"/>
      <c r="Y573" s="3572"/>
      <c r="Z573" s="3572"/>
      <c r="AA573" s="3572"/>
      <c r="AB573" s="3572"/>
      <c r="AC573" s="3572"/>
      <c r="AD573" s="3572"/>
      <c r="AE573" s="3572"/>
      <c r="AF573" s="3572"/>
      <c r="AG573" s="3572"/>
      <c r="AH573" s="3572"/>
      <c r="AI573" s="3572"/>
      <c r="AJ573" s="3572"/>
      <c r="AK573" s="3572"/>
      <c r="AL573" s="3572"/>
      <c r="AM573" s="3572"/>
      <c r="AN573" s="3572"/>
      <c r="AO573" s="3572"/>
      <c r="AP573" s="3572"/>
      <c r="AQ573" s="3572"/>
      <c r="AR573" s="3572"/>
      <c r="AS573" s="3572"/>
      <c r="AT573" s="3572"/>
      <c r="AU573" s="3572"/>
      <c r="AV573" s="3572"/>
      <c r="AW573" s="3572"/>
      <c r="AX573" s="3572"/>
      <c r="AY573" s="3572"/>
      <c r="AZ573" s="3572"/>
      <c r="BA573" s="3572"/>
      <c r="BB573" s="3572"/>
      <c r="BC573" s="3572"/>
      <c r="BD573" s="3572"/>
      <c r="BE573" s="3572"/>
      <c r="BF573" s="3572"/>
      <c r="BG573" s="3572"/>
      <c r="BH573" s="3572"/>
      <c r="BI573" s="3572"/>
      <c r="BJ573" s="3572"/>
      <c r="BK573" s="3572"/>
      <c r="BL573" s="3572"/>
      <c r="BM573" s="3572"/>
      <c r="BN573" s="3572"/>
      <c r="BO573" s="3572"/>
      <c r="BP573" s="3572"/>
      <c r="BQ573" s="3572"/>
      <c r="BR573" s="3572"/>
      <c r="BS573" s="3572"/>
      <c r="BT573" s="3572"/>
      <c r="BU573" s="3572"/>
      <c r="BV573" s="3572"/>
      <c r="BW573" s="3572"/>
      <c r="BX573" s="3572"/>
      <c r="BY573" s="3572"/>
      <c r="BZ573" s="3572"/>
      <c r="CA573" s="3572"/>
      <c r="CB573" s="3572"/>
      <c r="CC573" s="3572"/>
      <c r="CD573" s="3572"/>
      <c r="CE573" s="3572"/>
      <c r="CF573" s="3572"/>
      <c r="CG573" s="3572"/>
      <c r="CH573" s="3572"/>
      <c r="CI573" s="3572"/>
      <c r="CJ573" s="3572"/>
      <c r="CK573" s="3572"/>
      <c r="CL573" s="3572"/>
      <c r="CM573" s="3572"/>
      <c r="CN573" s="3572"/>
      <c r="CO573" s="3572"/>
      <c r="CP573" s="3572"/>
      <c r="CQ573" s="3572"/>
      <c r="CR573" s="3581"/>
      <c r="CS573" s="3728"/>
      <c r="CT573" s="3728" t="str">
        <f>IF(T573="","",T573)</f>
        <v>Добавить централизованную систему для дифференциации</v>
      </c>
      <c r="CU573" s="3728"/>
      <c r="CV573" s="3728"/>
    </row>
    <row s="11473" customFormat="1" customHeight="1" ht="21">
      <c r="A574" s="3716"/>
      <c r="B574" s="3716" t="s">
        <v>386</v>
      </c>
      <c r="C574" s="3716"/>
      <c r="D574" s="3716"/>
      <c r="E574" s="3717"/>
      <c r="F574" s="3718" t="s">
        <v>170</v>
      </c>
      <c r="G574" s="3716"/>
      <c r="H574" s="3716"/>
      <c r="I574" s="3716"/>
      <c r="J574" s="3716"/>
      <c r="K574" s="3716"/>
      <c r="L574" s="3719"/>
      <c r="M574" s="3720"/>
      <c r="N574" s="3720"/>
      <c r="O574" s="3720"/>
      <c r="P574" s="4073"/>
      <c r="Q574" s="3722"/>
      <c r="R574" s="3723"/>
      <c r="S574" s="3724" t="str">
        <f>INDEX(PT_DIFFERENTIATION_NUM_TER,MATCH(B574,PT_DIFFERENTIATION_TER_ID,0))</f>
        <v>2.17</v>
      </c>
      <c r="T574" s="4074" t="s">
        <v>612</v>
      </c>
      <c r="U574" s="3726"/>
      <c r="V574" s="3432"/>
      <c r="W574" s="3433"/>
      <c r="X574" s="3433"/>
      <c r="Y574" s="3433"/>
      <c r="Z574" s="3433"/>
      <c r="AA574" s="3433"/>
      <c r="AB574" s="3433"/>
      <c r="AC574" s="3434"/>
      <c r="AD574" s="3432" t="str">
        <f>INDEX(PT_DIFFERENTIATION_TER,MATCH(B574,PT_DIFFERENTIATION_TER_ID,0))</f>
        <v>Территория 17</v>
      </c>
      <c r="AE574" s="3433"/>
      <c r="AF574" s="3433"/>
      <c r="AG574" s="3433"/>
      <c r="AH574" s="3433"/>
      <c r="AI574" s="3433"/>
      <c r="AJ574" s="3433"/>
      <c r="AK574" s="3433"/>
      <c r="AL574" s="3432"/>
      <c r="AM574" s="3433"/>
      <c r="AN574" s="3433"/>
      <c r="AO574" s="3433"/>
      <c r="AP574" s="3433"/>
      <c r="AQ574" s="3433"/>
      <c r="AR574" s="3433"/>
      <c r="AS574" s="3434"/>
      <c r="AT574" s="3432"/>
      <c r="AU574" s="3433"/>
      <c r="AV574" s="3433"/>
      <c r="AW574" s="3433"/>
      <c r="AX574" s="3433"/>
      <c r="AY574" s="3433"/>
      <c r="AZ574" s="3433"/>
      <c r="BA574" s="3434"/>
      <c r="BB574" s="3432"/>
      <c r="BC574" s="3433"/>
      <c r="BD574" s="3433"/>
      <c r="BE574" s="3433"/>
      <c r="BF574" s="3433"/>
      <c r="BG574" s="3433"/>
      <c r="BH574" s="3433"/>
      <c r="BI574" s="3434"/>
      <c r="BJ574" s="3432"/>
      <c r="BK574" s="3433"/>
      <c r="BL574" s="3433"/>
      <c r="BM574" s="3433"/>
      <c r="BN574" s="3433"/>
      <c r="BO574" s="3433"/>
      <c r="BP574" s="3433"/>
      <c r="BQ574" s="3434"/>
      <c r="BR574" s="3432"/>
      <c r="BS574" s="3433"/>
      <c r="BT574" s="3433"/>
      <c r="BU574" s="3433"/>
      <c r="BV574" s="3433"/>
      <c r="BW574" s="3433"/>
      <c r="BX574" s="3433"/>
      <c r="BY574" s="3434"/>
      <c r="BZ574" s="3432"/>
      <c r="CA574" s="3433"/>
      <c r="CB574" s="3433"/>
      <c r="CC574" s="3433"/>
      <c r="CD574" s="3433"/>
      <c r="CE574" s="3433"/>
      <c r="CF574" s="3433"/>
      <c r="CG574" s="3434"/>
      <c r="CH574" s="3432"/>
      <c r="CI574" s="3433"/>
      <c r="CJ574" s="3433"/>
      <c r="CK574" s="3433"/>
      <c r="CL574" s="3433"/>
      <c r="CM574" s="3433"/>
      <c r="CN574" s="3433"/>
      <c r="CO574" s="3434"/>
      <c r="CP574" s="3434"/>
      <c r="CQ574" s="3727" t="s">
        <v>613</v>
      </c>
      <c r="CR574" s="3581"/>
      <c r="CS574" s="3728"/>
      <c r="CT574" s="3728" t="str">
        <f>IF(T574="","",T574)</f>
        <v>Территория действия тарифа</v>
      </c>
      <c r="CU574" s="3728"/>
      <c r="CV574" s="3728"/>
    </row>
    <row s="11474" customFormat="1" customHeight="1" ht="23.25">
      <c r="A575" s="3716"/>
      <c r="B575" s="3716"/>
      <c r="C575" s="3716" t="s">
        <v>387</v>
      </c>
      <c r="D575" s="3716"/>
      <c r="E575" s="3717"/>
      <c r="F575" s="3717" t="s">
        <v>166</v>
      </c>
      <c r="G575" s="3718">
        <v>1</v>
      </c>
      <c r="H575" s="3716"/>
      <c r="I575" s="3716"/>
      <c r="J575" s="3716"/>
      <c r="K575" s="3716"/>
      <c r="L575" s="3719"/>
      <c r="M575" s="3720"/>
      <c r="N575" s="3720"/>
      <c r="O575" s="3720"/>
      <c r="P575" s="3721"/>
      <c r="Q575" s="3722"/>
      <c r="R575" s="3723"/>
      <c r="S575" s="3724" t="str">
        <f>INDEX(PT_DIFFERENTIATION_NUM_CS,MATCH(C575,PT_DIFFERENTIATION_CS_ID,0))</f>
        <v>2.17.1</v>
      </c>
      <c r="T575" s="4076" t="s">
        <v>614</v>
      </c>
      <c r="U575" s="3726"/>
      <c r="V575" s="3432"/>
      <c r="W575" s="3433"/>
      <c r="X575" s="3433"/>
      <c r="Y575" s="3433"/>
      <c r="Z575" s="3433"/>
      <c r="AA575" s="3433"/>
      <c r="AB575" s="3433"/>
      <c r="AC575" s="3434"/>
      <c r="AD575" s="3432" t="str">
        <f>INDEX(PT_DIFFERENTIATION_CS,MATCH(C575,PT_DIFFERENTIATION_CS_ID,0))</f>
        <v>без дифференциации</v>
      </c>
      <c r="AE575" s="3433"/>
      <c r="AF575" s="3433"/>
      <c r="AG575" s="3433"/>
      <c r="AH575" s="3433"/>
      <c r="AI575" s="3433"/>
      <c r="AJ575" s="3433"/>
      <c r="AK575" s="3433"/>
      <c r="AL575" s="3432"/>
      <c r="AM575" s="3433"/>
      <c r="AN575" s="3433"/>
      <c r="AO575" s="3433"/>
      <c r="AP575" s="3433"/>
      <c r="AQ575" s="3433"/>
      <c r="AR575" s="3433"/>
      <c r="AS575" s="3434"/>
      <c r="AT575" s="3432"/>
      <c r="AU575" s="3433"/>
      <c r="AV575" s="3433"/>
      <c r="AW575" s="3433"/>
      <c r="AX575" s="3433"/>
      <c r="AY575" s="3433"/>
      <c r="AZ575" s="3433"/>
      <c r="BA575" s="3434"/>
      <c r="BB575" s="3432"/>
      <c r="BC575" s="3433"/>
      <c r="BD575" s="3433"/>
      <c r="BE575" s="3433"/>
      <c r="BF575" s="3433"/>
      <c r="BG575" s="3433"/>
      <c r="BH575" s="3433"/>
      <c r="BI575" s="3434"/>
      <c r="BJ575" s="3432"/>
      <c r="BK575" s="3433"/>
      <c r="BL575" s="3433"/>
      <c r="BM575" s="3433"/>
      <c r="BN575" s="3433"/>
      <c r="BO575" s="3433"/>
      <c r="BP575" s="3433"/>
      <c r="BQ575" s="3434"/>
      <c r="BR575" s="3432"/>
      <c r="BS575" s="3433"/>
      <c r="BT575" s="3433"/>
      <c r="BU575" s="3433"/>
      <c r="BV575" s="3433"/>
      <c r="BW575" s="3433"/>
      <c r="BX575" s="3433"/>
      <c r="BY575" s="3434"/>
      <c r="BZ575" s="3432"/>
      <c r="CA575" s="3433"/>
      <c r="CB575" s="3433"/>
      <c r="CC575" s="3433"/>
      <c r="CD575" s="3433"/>
      <c r="CE575" s="3433"/>
      <c r="CF575" s="3433"/>
      <c r="CG575" s="3434"/>
      <c r="CH575" s="3432"/>
      <c r="CI575" s="3433"/>
      <c r="CJ575" s="3433"/>
      <c r="CK575" s="3433"/>
      <c r="CL575" s="3433"/>
      <c r="CM575" s="3433"/>
      <c r="CN575" s="3433"/>
      <c r="CO575" s="3434"/>
      <c r="CP575" s="3434"/>
      <c r="CQ575" s="3727" t="s">
        <v>615</v>
      </c>
      <c r="CR575" s="3581"/>
      <c r="CS575" s="3728"/>
      <c r="CT575" s="3728" t="str">
        <f>IF(T575="","",T575)</f>
        <v>Наименование системы теплоснабжения </v>
      </c>
      <c r="CU575" s="3728"/>
      <c r="CV575" s="3728"/>
    </row>
    <row s="11475" customFormat="1" customHeight="1" ht="21">
      <c r="A576" s="3716"/>
      <c r="B576" s="3716"/>
      <c r="C576" s="3716"/>
      <c r="D576" s="3716" t="s">
        <v>388</v>
      </c>
      <c r="E576" s="3717"/>
      <c r="F576" s="3717" t="s">
        <v>166</v>
      </c>
      <c r="G576" s="3717"/>
      <c r="H576" s="3718">
        <v>1</v>
      </c>
      <c r="I576" s="3716"/>
      <c r="J576" s="3716"/>
      <c r="K576" s="3716"/>
      <c r="L576" s="3719"/>
      <c r="M576" s="3720"/>
      <c r="N576" s="3720"/>
      <c r="O576" s="3720"/>
      <c r="P576" s="3721"/>
      <c r="Q576" s="3722"/>
      <c r="R576" s="3723"/>
      <c r="S576" s="3724" t="str">
        <f>INDEX(PT_DIFFERENTIATION_NUM_IST_TE,MATCH(D576,PT_DIFFERENTIATION_IST_TE_ID,0))</f>
        <v>2.17.1.1</v>
      </c>
      <c r="T576" s="3725" t="s">
        <v>616</v>
      </c>
      <c r="U576" s="3726"/>
      <c r="V576" s="3432"/>
      <c r="W576" s="3433"/>
      <c r="X576" s="3433"/>
      <c r="Y576" s="3433"/>
      <c r="Z576" s="3433"/>
      <c r="AA576" s="3433"/>
      <c r="AB576" s="3433"/>
      <c r="AC576" s="3434"/>
      <c r="AD576" s="3432" t="str">
        <f>INDEX(PT_DIFFERENTIATION_IST_TE,MATCH(D576,PT_DIFFERENTIATION_IST_TE_ID,0))</f>
        <v>без дифференциации</v>
      </c>
      <c r="AE576" s="3433"/>
      <c r="AF576" s="3433"/>
      <c r="AG576" s="3433"/>
      <c r="AH576" s="3433"/>
      <c r="AI576" s="3433"/>
      <c r="AJ576" s="3433"/>
      <c r="AK576" s="3433"/>
      <c r="AL576" s="3432"/>
      <c r="AM576" s="3433"/>
      <c r="AN576" s="3433"/>
      <c r="AO576" s="3433"/>
      <c r="AP576" s="3433"/>
      <c r="AQ576" s="3433"/>
      <c r="AR576" s="3433"/>
      <c r="AS576" s="3434"/>
      <c r="AT576" s="3432"/>
      <c r="AU576" s="3433"/>
      <c r="AV576" s="3433"/>
      <c r="AW576" s="3433"/>
      <c r="AX576" s="3433"/>
      <c r="AY576" s="3433"/>
      <c r="AZ576" s="3433"/>
      <c r="BA576" s="3434"/>
      <c r="BB576" s="3432"/>
      <c r="BC576" s="3433"/>
      <c r="BD576" s="3433"/>
      <c r="BE576" s="3433"/>
      <c r="BF576" s="3433"/>
      <c r="BG576" s="3433"/>
      <c r="BH576" s="3433"/>
      <c r="BI576" s="3434"/>
      <c r="BJ576" s="3432"/>
      <c r="BK576" s="3433"/>
      <c r="BL576" s="3433"/>
      <c r="BM576" s="3433"/>
      <c r="BN576" s="3433"/>
      <c r="BO576" s="3433"/>
      <c r="BP576" s="3433"/>
      <c r="BQ576" s="3434"/>
      <c r="BR576" s="3432"/>
      <c r="BS576" s="3433"/>
      <c r="BT576" s="3433"/>
      <c r="BU576" s="3433"/>
      <c r="BV576" s="3433"/>
      <c r="BW576" s="3433"/>
      <c r="BX576" s="3433"/>
      <c r="BY576" s="3434"/>
      <c r="BZ576" s="3432"/>
      <c r="CA576" s="3433"/>
      <c r="CB576" s="3433"/>
      <c r="CC576" s="3433"/>
      <c r="CD576" s="3433"/>
      <c r="CE576" s="3433"/>
      <c r="CF576" s="3433"/>
      <c r="CG576" s="3434"/>
      <c r="CH576" s="3432"/>
      <c r="CI576" s="3433"/>
      <c r="CJ576" s="3433"/>
      <c r="CK576" s="3433"/>
      <c r="CL576" s="3433"/>
      <c r="CM576" s="3433"/>
      <c r="CN576" s="3433"/>
      <c r="CO576" s="3434"/>
      <c r="CP576" s="3434"/>
      <c r="CQ576" s="3727" t="s">
        <v>617</v>
      </c>
      <c r="CR576" s="3581"/>
      <c r="CS576" s="3728"/>
      <c r="CT576" s="3728" t="str">
        <f>IF(T576="","",T576)</f>
        <v>Источник тепловой энергии  </v>
      </c>
      <c r="CU576" s="3728"/>
      <c r="CV576" s="3728"/>
    </row>
    <row s="11476" customFormat="1" customHeight="1" ht="14.25">
      <c r="A577" s="3716"/>
      <c r="B577" s="3716"/>
      <c r="C577" s="3716"/>
      <c r="D577" s="3716"/>
      <c r="E577" s="3717"/>
      <c r="F577" s="3717" t="s">
        <v>166</v>
      </c>
      <c r="G577" s="3717"/>
      <c r="H577" s="3717"/>
      <c r="I577" s="3730" t="str">
        <f>S576&amp;".1"</f>
        <v>2.17.1.1.1</v>
      </c>
      <c r="J577" s="3716"/>
      <c r="K577" s="3716"/>
      <c r="L577" s="3719" t="s">
        <v>618</v>
      </c>
      <c r="M577" s="3573"/>
      <c r="N577" s="3731"/>
      <c r="O577" s="3731"/>
      <c r="P577" s="3732">
        <v>1</v>
      </c>
      <c r="Q577" s="3732"/>
      <c r="R577" s="3733"/>
      <c r="S577" s="3734"/>
      <c r="T577" s="3735"/>
      <c r="U577" s="3736"/>
      <c r="V577" s="3441"/>
      <c r="W577" s="3442"/>
      <c r="X577" s="3442"/>
      <c r="Y577" s="3442"/>
      <c r="Z577" s="3442"/>
      <c r="AA577" s="3442"/>
      <c r="AB577" s="3442"/>
      <c r="AC577" s="3443"/>
      <c r="AD577" s="3441"/>
      <c r="AE577" s="3442"/>
      <c r="AF577" s="3442"/>
      <c r="AG577" s="3442"/>
      <c r="AH577" s="3442"/>
      <c r="AI577" s="3442"/>
      <c r="AJ577" s="3442"/>
      <c r="AK577" s="3442"/>
      <c r="AL577" s="3441"/>
      <c r="AM577" s="3442"/>
      <c r="AN577" s="3442"/>
      <c r="AO577" s="3442"/>
      <c r="AP577" s="3442"/>
      <c r="AQ577" s="3442"/>
      <c r="AR577" s="3442"/>
      <c r="AS577" s="3443"/>
      <c r="AT577" s="3441"/>
      <c r="AU577" s="3442"/>
      <c r="AV577" s="3442"/>
      <c r="AW577" s="3442"/>
      <c r="AX577" s="3442"/>
      <c r="AY577" s="3442"/>
      <c r="AZ577" s="3442"/>
      <c r="BA577" s="3443"/>
      <c r="BB577" s="3441"/>
      <c r="BC577" s="3442"/>
      <c r="BD577" s="3442"/>
      <c r="BE577" s="3442"/>
      <c r="BF577" s="3442"/>
      <c r="BG577" s="3442"/>
      <c r="BH577" s="3442"/>
      <c r="BI577" s="3443"/>
      <c r="BJ577" s="3441"/>
      <c r="BK577" s="3442"/>
      <c r="BL577" s="3442"/>
      <c r="BM577" s="3442"/>
      <c r="BN577" s="3442"/>
      <c r="BO577" s="3442"/>
      <c r="BP577" s="3442"/>
      <c r="BQ577" s="3443"/>
      <c r="BR577" s="3441"/>
      <c r="BS577" s="3442"/>
      <c r="BT577" s="3442"/>
      <c r="BU577" s="3442"/>
      <c r="BV577" s="3442"/>
      <c r="BW577" s="3442"/>
      <c r="BX577" s="3442"/>
      <c r="BY577" s="3443"/>
      <c r="BZ577" s="3441"/>
      <c r="CA577" s="3442"/>
      <c r="CB577" s="3442"/>
      <c r="CC577" s="3442"/>
      <c r="CD577" s="3442"/>
      <c r="CE577" s="3442"/>
      <c r="CF577" s="3442"/>
      <c r="CG577" s="3443"/>
      <c r="CH577" s="3441"/>
      <c r="CI577" s="3442"/>
      <c r="CJ577" s="3442"/>
      <c r="CK577" s="3442"/>
      <c r="CL577" s="3442"/>
      <c r="CM577" s="3442"/>
      <c r="CN577" s="3442"/>
      <c r="CO577" s="3443"/>
      <c r="CP577" s="3443"/>
      <c r="CQ577" s="3737"/>
      <c r="CR577" s="3581"/>
      <c r="CS577" s="3728"/>
      <c r="CT577" s="3728" t="str">
        <f>IF(T577="","",T577)</f>
        <v/>
      </c>
      <c r="CU577" s="3728"/>
      <c r="CV577" s="3728"/>
    </row>
    <row s="11477" customFormat="1" customHeight="1" ht="21">
      <c r="A578" s="3716"/>
      <c r="B578" s="3716"/>
      <c r="C578" s="3716"/>
      <c r="D578" s="3716"/>
      <c r="E578" s="3717"/>
      <c r="F578" s="3717" t="s">
        <v>166</v>
      </c>
      <c r="G578" s="3717"/>
      <c r="H578" s="3717"/>
      <c r="I578" s="3739"/>
      <c r="J578" s="3730" t="str">
        <f>I577&amp;".1"</f>
        <v>2.17.1.1.1.1</v>
      </c>
      <c r="K578" s="3716"/>
      <c r="L578" s="3719" t="s">
        <v>621</v>
      </c>
      <c r="M578" s="3573"/>
      <c r="N578" s="3573"/>
      <c r="O578" s="3731"/>
      <c r="P578" s="3732"/>
      <c r="Q578" s="3732">
        <v>1</v>
      </c>
      <c r="R578" s="3740"/>
      <c r="S578" s="3724" t="str">
        <f>$J578</f>
        <v>2.17.1.1.1.1</v>
      </c>
      <c r="T578" s="3741" t="s">
        <v>622</v>
      </c>
      <c r="U578" s="3726"/>
      <c r="V578" s="3445"/>
      <c r="W578" s="3446"/>
      <c r="X578" s="3446"/>
      <c r="Y578" s="3446"/>
      <c r="Z578" s="3446"/>
      <c r="AA578" s="3446"/>
      <c r="AB578" s="3446"/>
      <c r="AC578" s="3447"/>
      <c r="AD578" s="3445" t="s">
        <v>665</v>
      </c>
      <c r="AE578" s="3446"/>
      <c r="AF578" s="3446"/>
      <c r="AG578" s="3446"/>
      <c r="AH578" s="3446"/>
      <c r="AI578" s="3446"/>
      <c r="AJ578" s="3446"/>
      <c r="AK578" s="3446"/>
      <c r="AL578" s="3445"/>
      <c r="AM578" s="3446"/>
      <c r="AN578" s="3446"/>
      <c r="AO578" s="3446"/>
      <c r="AP578" s="3446"/>
      <c r="AQ578" s="3446"/>
      <c r="AR578" s="3446"/>
      <c r="AS578" s="3447"/>
      <c r="AT578" s="3445"/>
      <c r="AU578" s="3446"/>
      <c r="AV578" s="3446"/>
      <c r="AW578" s="3446"/>
      <c r="AX578" s="3446"/>
      <c r="AY578" s="3446"/>
      <c r="AZ578" s="3446"/>
      <c r="BA578" s="3447"/>
      <c r="BB578" s="3445"/>
      <c r="BC578" s="3446"/>
      <c r="BD578" s="3446"/>
      <c r="BE578" s="3446"/>
      <c r="BF578" s="3446"/>
      <c r="BG578" s="3446"/>
      <c r="BH578" s="3446"/>
      <c r="BI578" s="3447"/>
      <c r="BJ578" s="3445"/>
      <c r="BK578" s="3446"/>
      <c r="BL578" s="3446"/>
      <c r="BM578" s="3446"/>
      <c r="BN578" s="3446"/>
      <c r="BO578" s="3446"/>
      <c r="BP578" s="3446"/>
      <c r="BQ578" s="3447"/>
      <c r="BR578" s="3445"/>
      <c r="BS578" s="3446"/>
      <c r="BT578" s="3446"/>
      <c r="BU578" s="3446"/>
      <c r="BV578" s="3446"/>
      <c r="BW578" s="3446"/>
      <c r="BX578" s="3446"/>
      <c r="BY578" s="3447"/>
      <c r="BZ578" s="3445"/>
      <c r="CA578" s="3446"/>
      <c r="CB578" s="3446"/>
      <c r="CC578" s="3446"/>
      <c r="CD578" s="3446"/>
      <c r="CE578" s="3446"/>
      <c r="CF578" s="3446"/>
      <c r="CG578" s="3447"/>
      <c r="CH578" s="3445"/>
      <c r="CI578" s="3446"/>
      <c r="CJ578" s="3446"/>
      <c r="CK578" s="3446"/>
      <c r="CL578" s="3446"/>
      <c r="CM578" s="3446"/>
      <c r="CN578" s="3446"/>
      <c r="CO578" s="3447"/>
      <c r="CP578" s="3447"/>
      <c r="CQ578" s="3727" t="s">
        <v>623</v>
      </c>
      <c r="CR578" s="3581"/>
      <c r="CS578" s="3728"/>
      <c r="CT578" s="3728" t="str">
        <f>IF(T578="","",T578)</f>
        <v>Группа потребителей</v>
      </c>
      <c r="CU578" s="3728"/>
      <c r="CV578" s="3728"/>
    </row>
    <row s="11478" customFormat="1" customHeight="1" ht="21">
      <c r="A579" s="3716"/>
      <c r="B579" s="3716"/>
      <c r="C579" s="3716"/>
      <c r="D579" s="3716"/>
      <c r="E579" s="3717"/>
      <c r="F579" s="3717" t="s">
        <v>166</v>
      </c>
      <c r="G579" s="3717"/>
      <c r="H579" s="3717"/>
      <c r="I579" s="3739"/>
      <c r="J579" s="3739"/>
      <c r="K579" s="3730" t="str">
        <f>J578&amp;".1"</f>
        <v>2.17.1.1.1.1.1</v>
      </c>
      <c r="L579" s="3719" t="s">
        <v>624</v>
      </c>
      <c r="M579" s="3573"/>
      <c r="N579" s="3573"/>
      <c r="O579" s="3573"/>
      <c r="P579" s="3732"/>
      <c r="Q579" s="3732"/>
      <c r="R579" s="3740">
        <v>1</v>
      </c>
      <c r="S579" s="3724" t="str">
        <f>$K579</f>
        <v>2.17.1.1.1.1.1</v>
      </c>
      <c r="T579" s="3743" t="s">
        <v>663</v>
      </c>
      <c r="U579" s="3726"/>
      <c r="V579" s="3448"/>
      <c r="W579" s="3449"/>
      <c r="X579" s="3448"/>
      <c r="Y579" s="3450"/>
      <c r="Z579" s="3451"/>
      <c r="AA579" s="2872" t="s">
        <v>63</v>
      </c>
      <c r="AB579" s="3451"/>
      <c r="AC579" s="2872" t="s">
        <v>63</v>
      </c>
      <c r="AD579" s="3448">
        <v>36.7</v>
      </c>
      <c r="AE579" s="3449"/>
      <c r="AF579" s="3448"/>
      <c r="AG579" s="3450"/>
      <c r="AH579" s="3451">
        <v>44197</v>
      </c>
      <c r="AI579" s="2872" t="s">
        <v>63</v>
      </c>
      <c r="AJ579" s="3451">
        <v>44377</v>
      </c>
      <c r="AK579" s="2872" t="s">
        <v>63</v>
      </c>
      <c r="AL579" s="3448">
        <v>45</v>
      </c>
      <c r="AM579" s="3449"/>
      <c r="AN579" s="3448"/>
      <c r="AO579" s="3450"/>
      <c r="AP579" s="3451">
        <v>44378</v>
      </c>
      <c r="AQ579" s="2872" t="s">
        <v>63</v>
      </c>
      <c r="AR579" s="3451">
        <v>44561</v>
      </c>
      <c r="AS579" s="2872" t="s">
        <v>63</v>
      </c>
      <c r="AT579" s="3448">
        <v>45</v>
      </c>
      <c r="AU579" s="3449"/>
      <c r="AV579" s="3448"/>
      <c r="AW579" s="3450"/>
      <c r="AX579" s="3451">
        <v>44562</v>
      </c>
      <c r="AY579" s="2872" t="s">
        <v>63</v>
      </c>
      <c r="AZ579" s="3451">
        <v>44601</v>
      </c>
      <c r="BA579" s="2872" t="s">
        <v>63</v>
      </c>
      <c r="BB579" s="3448">
        <v>45</v>
      </c>
      <c r="BC579" s="3449"/>
      <c r="BD579" s="3448"/>
      <c r="BE579" s="3450"/>
      <c r="BF579" s="3451">
        <v>44602</v>
      </c>
      <c r="BG579" s="2872" t="s">
        <v>63</v>
      </c>
      <c r="BH579" s="3451">
        <v>44742</v>
      </c>
      <c r="BI579" s="2872" t="s">
        <v>63</v>
      </c>
      <c r="BJ579" s="3448">
        <v>47</v>
      </c>
      <c r="BK579" s="3449"/>
      <c r="BL579" s="3448"/>
      <c r="BM579" s="3450"/>
      <c r="BN579" s="3451">
        <v>44743</v>
      </c>
      <c r="BO579" s="2872" t="s">
        <v>63</v>
      </c>
      <c r="BP579" s="3451">
        <v>44804</v>
      </c>
      <c r="BQ579" s="2872" t="s">
        <v>63</v>
      </c>
      <c r="BR579" s="3448">
        <v>47</v>
      </c>
      <c r="BS579" s="3449"/>
      <c r="BT579" s="3448"/>
      <c r="BU579" s="3450"/>
      <c r="BV579" s="3451">
        <v>44805</v>
      </c>
      <c r="BW579" s="2872" t="s">
        <v>63</v>
      </c>
      <c r="BX579" s="3451">
        <v>44895</v>
      </c>
      <c r="BY579" s="2872" t="s">
        <v>63</v>
      </c>
      <c r="BZ579" s="3448">
        <v>49.82</v>
      </c>
      <c r="CA579" s="3449"/>
      <c r="CB579" s="3448"/>
      <c r="CC579" s="3450"/>
      <c r="CD579" s="3451">
        <v>44896</v>
      </c>
      <c r="CE579" s="2872" t="s">
        <v>63</v>
      </c>
      <c r="CF579" s="3451">
        <v>45174</v>
      </c>
      <c r="CG579" s="2872" t="s">
        <v>63</v>
      </c>
      <c r="CH579" s="3448">
        <v>49.82</v>
      </c>
      <c r="CI579" s="3449"/>
      <c r="CJ579" s="3448"/>
      <c r="CK579" s="3450"/>
      <c r="CL579" s="3451">
        <v>45175</v>
      </c>
      <c r="CM579" s="2872" t="s">
        <v>63</v>
      </c>
      <c r="CN579" s="3451">
        <v>45291</v>
      </c>
      <c r="CO579" s="2872" t="s">
        <v>63</v>
      </c>
      <c r="CP579" s="3449"/>
      <c r="CQ579" s="3744" t="s">
        <v>625</v>
      </c>
      <c r="CR579" s="3581">
        <f>STRCHECKDATE(V580:CP580)</f>
      </c>
      <c r="CS579" s="3728"/>
      <c r="CT579" s="3728" t="str">
        <f>IF(T579="","",T579)</f>
        <v>вода</v>
      </c>
      <c r="CU579" s="3728"/>
      <c r="CV579" s="3728"/>
    </row>
    <row s="11479" customFormat="1" customHeight="1" ht="0.75">
      <c r="A580" s="3716"/>
      <c r="B580" s="3716"/>
      <c r="C580" s="3716"/>
      <c r="D580" s="3716"/>
      <c r="E580" s="3717"/>
      <c r="F580" s="3717" t="s">
        <v>166</v>
      </c>
      <c r="G580" s="3717"/>
      <c r="H580" s="3717"/>
      <c r="I580" s="3739"/>
      <c r="J580" s="3739"/>
      <c r="K580" s="3730"/>
      <c r="L580" s="3719"/>
      <c r="M580" s="3573"/>
      <c r="N580" s="3573"/>
      <c r="O580" s="3573"/>
      <c r="P580" s="3732"/>
      <c r="Q580" s="3732"/>
      <c r="R580" s="3740"/>
      <c r="S580" s="3746"/>
      <c r="T580" s="3726"/>
      <c r="U580" s="3726"/>
      <c r="V580" s="3449"/>
      <c r="W580" s="3449"/>
      <c r="X580" s="3449"/>
      <c r="Y580" s="3452" t="str">
        <f>Z579&amp;"-"&amp;AB579</f>
        <v>-</v>
      </c>
      <c r="Z580" s="3453"/>
      <c r="AA580" s="2872"/>
      <c r="AB580" s="3453"/>
      <c r="AC580" s="2872"/>
      <c r="AD580" s="3449"/>
      <c r="AE580" s="3449"/>
      <c r="AF580" s="3449"/>
      <c r="AG580" s="3452" t="str">
        <f>AH579&amp;"-"&amp;AJ579</f>
        <v>44197-44377</v>
      </c>
      <c r="AH580" s="3453"/>
      <c r="AI580" s="2872"/>
      <c r="AJ580" s="3453"/>
      <c r="AK580" s="2872"/>
      <c r="AL580" s="3449"/>
      <c r="AM580" s="3449"/>
      <c r="AN580" s="3449"/>
      <c r="AO580" s="3452" t="str">
        <f>AP579&amp;"-"&amp;AR579</f>
        <v>44378-44561</v>
      </c>
      <c r="AP580" s="3453"/>
      <c r="AQ580" s="2872"/>
      <c r="AR580" s="3453"/>
      <c r="AS580" s="2872"/>
      <c r="AT580" s="3449"/>
      <c r="AU580" s="3449"/>
      <c r="AV580" s="3449"/>
      <c r="AW580" s="3452" t="str">
        <f>AX579&amp;"-"&amp;AZ579</f>
        <v>44562-44601</v>
      </c>
      <c r="AX580" s="3453"/>
      <c r="AY580" s="2872"/>
      <c r="AZ580" s="3453"/>
      <c r="BA580" s="2872"/>
      <c r="BB580" s="3449"/>
      <c r="BC580" s="3449"/>
      <c r="BD580" s="3449"/>
      <c r="BE580" s="3452" t="str">
        <f>BF579&amp;"-"&amp;BH579</f>
        <v>44602-44742</v>
      </c>
      <c r="BF580" s="3453"/>
      <c r="BG580" s="2872"/>
      <c r="BH580" s="3453"/>
      <c r="BI580" s="2872"/>
      <c r="BJ580" s="3449"/>
      <c r="BK580" s="3449"/>
      <c r="BL580" s="3449"/>
      <c r="BM580" s="3452" t="str">
        <f>BN579&amp;"-"&amp;BP579</f>
        <v>44743-44804</v>
      </c>
      <c r="BN580" s="3453"/>
      <c r="BO580" s="2872"/>
      <c r="BP580" s="3453"/>
      <c r="BQ580" s="2872"/>
      <c r="BR580" s="3449"/>
      <c r="BS580" s="3449"/>
      <c r="BT580" s="3449"/>
      <c r="BU580" s="3452" t="str">
        <f>BV579&amp;"-"&amp;BX579</f>
        <v>44805-44895</v>
      </c>
      <c r="BV580" s="3453"/>
      <c r="BW580" s="2872"/>
      <c r="BX580" s="3453"/>
      <c r="BY580" s="2872"/>
      <c r="BZ580" s="3449"/>
      <c r="CA580" s="3449"/>
      <c r="CB580" s="3449"/>
      <c r="CC580" s="3452" t="str">
        <f>CD579&amp;"-"&amp;CF579</f>
        <v>44896-45174</v>
      </c>
      <c r="CD580" s="3453"/>
      <c r="CE580" s="2872"/>
      <c r="CF580" s="3453"/>
      <c r="CG580" s="2872"/>
      <c r="CH580" s="3449"/>
      <c r="CI580" s="3449"/>
      <c r="CJ580" s="3449"/>
      <c r="CK580" s="3452" t="str">
        <f>CL579&amp;"-"&amp;CN579</f>
        <v>45175-45291</v>
      </c>
      <c r="CL580" s="3453"/>
      <c r="CM580" s="2872"/>
      <c r="CN580" s="3453"/>
      <c r="CO580" s="2872"/>
      <c r="CP580" s="3449"/>
      <c r="CQ580" s="3747"/>
      <c r="CR580" s="3581"/>
      <c r="CS580" s="3728"/>
      <c r="CT580" s="3728" t="str">
        <f>IF(T580="","",T580)</f>
        <v/>
      </c>
      <c r="CU580" s="3728"/>
      <c r="CV580" s="3728"/>
    </row>
    <row s="11480" customFormat="1" customHeight="1" ht="15">
      <c r="A581" s="3716"/>
      <c r="B581" s="3716"/>
      <c r="C581" s="3716"/>
      <c r="D581" s="3716"/>
      <c r="E581" s="3717"/>
      <c r="F581" s="3717" t="s">
        <v>166</v>
      </c>
      <c r="G581" s="3717"/>
      <c r="H581" s="3717"/>
      <c r="I581" s="3739"/>
      <c r="J581" s="3730"/>
      <c r="K581" s="3716"/>
      <c r="L581" s="3719"/>
      <c r="M581" s="3573"/>
      <c r="N581" s="3573"/>
      <c r="O581" s="3731"/>
      <c r="P581" s="3732"/>
      <c r="Q581" s="3732"/>
      <c r="R581" s="3733"/>
      <c r="S581" s="11481"/>
      <c r="T581" s="11482" t="s">
        <v>626</v>
      </c>
      <c r="U581" s="11483"/>
      <c r="V581" s="11484"/>
      <c r="W581" s="11485"/>
      <c r="X581" s="11486"/>
      <c r="Y581" s="11487"/>
      <c r="Z581" s="11488"/>
      <c r="AA581" s="11489"/>
      <c r="AB581" s="11490"/>
      <c r="AC581" s="11491"/>
      <c r="AD581" s="11492"/>
      <c r="AE581" s="11493"/>
      <c r="AF581" s="11494"/>
      <c r="AG581" s="11495"/>
      <c r="AH581" s="11496"/>
      <c r="AI581" s="11497"/>
      <c r="AJ581" s="11498"/>
      <c r="AK581" s="11499"/>
      <c r="AL581" s="11500"/>
      <c r="AM581" s="11501"/>
      <c r="AN581" s="11502"/>
      <c r="AO581" s="11503"/>
      <c r="AP581" s="11504"/>
      <c r="AQ581" s="11505"/>
      <c r="AR581" s="11506"/>
      <c r="AS581" s="11507"/>
      <c r="AT581" s="11508"/>
      <c r="AU581" s="11509"/>
      <c r="AV581" s="11510"/>
      <c r="AW581" s="11511"/>
      <c r="AX581" s="11512"/>
      <c r="AY581" s="11513"/>
      <c r="AZ581" s="11514"/>
      <c r="BA581" s="11515"/>
      <c r="BB581" s="11516"/>
      <c r="BC581" s="11517"/>
      <c r="BD581" s="11518"/>
      <c r="BE581" s="11519"/>
      <c r="BF581" s="11520"/>
      <c r="BG581" s="11521"/>
      <c r="BH581" s="11522"/>
      <c r="BI581" s="11523"/>
      <c r="BJ581" s="11524"/>
      <c r="BK581" s="11525"/>
      <c r="BL581" s="11526"/>
      <c r="BM581" s="11527"/>
      <c r="BN581" s="11528"/>
      <c r="BO581" s="11529"/>
      <c r="BP581" s="11530"/>
      <c r="BQ581" s="11531"/>
      <c r="BR581" s="11532"/>
      <c r="BS581" s="11533"/>
      <c r="BT581" s="11534"/>
      <c r="BU581" s="11535"/>
      <c r="BV581" s="11536"/>
      <c r="BW581" s="11537"/>
      <c r="BX581" s="11538"/>
      <c r="BY581" s="11539"/>
      <c r="BZ581" s="11540"/>
      <c r="CA581" s="11541"/>
      <c r="CB581" s="11542"/>
      <c r="CC581" s="11543"/>
      <c r="CD581" s="11544"/>
      <c r="CE581" s="11545"/>
      <c r="CF581" s="11546"/>
      <c r="CG581" s="11547"/>
      <c r="CH581" s="11548"/>
      <c r="CI581" s="11549"/>
      <c r="CJ581" s="11550"/>
      <c r="CK581" s="11551"/>
      <c r="CL581" s="11552"/>
      <c r="CM581" s="11553"/>
      <c r="CN581" s="11554"/>
      <c r="CO581" s="11555"/>
      <c r="CP581" s="11556"/>
      <c r="CQ581" s="3825"/>
      <c r="CR581" s="3581"/>
      <c r="CS581" s="3728"/>
      <c r="CT581" s="3728" t="str">
        <f>IF(T581="","",T581)</f>
        <v>Добавить вид теплоносителя (параметры теплоносителя)</v>
      </c>
      <c r="CU581" s="3728"/>
      <c r="CV581" s="3728"/>
    </row>
    <row s="11557" customFormat="1" customHeight="1" ht="15">
      <c r="A582" s="3716"/>
      <c r="B582" s="3716"/>
      <c r="C582" s="3716"/>
      <c r="D582" s="3716"/>
      <c r="E582" s="3717"/>
      <c r="F582" s="3717" t="s">
        <v>166</v>
      </c>
      <c r="G582" s="3717"/>
      <c r="H582" s="3717"/>
      <c r="I582" s="3730"/>
      <c r="J582" s="3716"/>
      <c r="K582" s="3716"/>
      <c r="L582" s="3719"/>
      <c r="M582" s="3573"/>
      <c r="N582" s="3731"/>
      <c r="O582" s="3731"/>
      <c r="P582" s="3732"/>
      <c r="Q582" s="3732"/>
      <c r="R582" s="3733"/>
      <c r="S582" s="11558"/>
      <c r="T582" s="11559" t="s">
        <v>627</v>
      </c>
      <c r="U582" s="11560"/>
      <c r="V582" s="11561"/>
      <c r="W582" s="11562"/>
      <c r="X582" s="11563"/>
      <c r="Y582" s="11564"/>
      <c r="Z582" s="11565"/>
      <c r="AA582" s="11566"/>
      <c r="AB582" s="11567"/>
      <c r="AC582" s="11568"/>
      <c r="AD582" s="11569"/>
      <c r="AE582" s="11570"/>
      <c r="AF582" s="11571"/>
      <c r="AG582" s="11572"/>
      <c r="AH582" s="11573"/>
      <c r="AI582" s="11574"/>
      <c r="AJ582" s="11575"/>
      <c r="AK582" s="11576"/>
      <c r="AL582" s="11577"/>
      <c r="AM582" s="11578"/>
      <c r="AN582" s="11579"/>
      <c r="AO582" s="11580"/>
      <c r="AP582" s="11581"/>
      <c r="AQ582" s="11582"/>
      <c r="AR582" s="11583"/>
      <c r="AS582" s="11584"/>
      <c r="AT582" s="11585"/>
      <c r="AU582" s="11586"/>
      <c r="AV582" s="11587"/>
      <c r="AW582" s="11588"/>
      <c r="AX582" s="11589"/>
      <c r="AY582" s="11590"/>
      <c r="AZ582" s="11591"/>
      <c r="BA582" s="11592"/>
      <c r="BB582" s="11593"/>
      <c r="BC582" s="11594"/>
      <c r="BD582" s="11595"/>
      <c r="BE582" s="11596"/>
      <c r="BF582" s="11597"/>
      <c r="BG582" s="11598"/>
      <c r="BH582" s="11599"/>
      <c r="BI582" s="11600"/>
      <c r="BJ582" s="11601"/>
      <c r="BK582" s="11602"/>
      <c r="BL582" s="11603"/>
      <c r="BM582" s="11604"/>
      <c r="BN582" s="11605"/>
      <c r="BO582" s="11606"/>
      <c r="BP582" s="11607"/>
      <c r="BQ582" s="11608"/>
      <c r="BR582" s="11609"/>
      <c r="BS582" s="11610"/>
      <c r="BT582" s="11611"/>
      <c r="BU582" s="11612"/>
      <c r="BV582" s="11613"/>
      <c r="BW582" s="11614"/>
      <c r="BX582" s="11615"/>
      <c r="BY582" s="11616"/>
      <c r="BZ582" s="11617"/>
      <c r="CA582" s="11618"/>
      <c r="CB582" s="11619"/>
      <c r="CC582" s="11620"/>
      <c r="CD582" s="11621"/>
      <c r="CE582" s="11622"/>
      <c r="CF582" s="11623"/>
      <c r="CG582" s="11624"/>
      <c r="CH582" s="11625"/>
      <c r="CI582" s="11626"/>
      <c r="CJ582" s="11627"/>
      <c r="CK582" s="11628"/>
      <c r="CL582" s="11629"/>
      <c r="CM582" s="11630"/>
      <c r="CN582" s="11631"/>
      <c r="CO582" s="11632"/>
      <c r="CP582" s="11633"/>
      <c r="CQ582" s="11634"/>
      <c r="CR582" s="3581"/>
      <c r="CS582" s="3728"/>
      <c r="CT582" s="3728" t="str">
        <f>IF(T582="","",T582)</f>
        <v>Добавить группу потребителей</v>
      </c>
      <c r="CU582" s="3728"/>
      <c r="CV582" s="3728"/>
    </row>
    <row s="11635" customFormat="1" customHeight="1" ht="14.25">
      <c r="A583" s="3716"/>
      <c r="B583" s="3716"/>
      <c r="C583" s="3716"/>
      <c r="D583" s="3716"/>
      <c r="E583" s="3717"/>
      <c r="F583" s="3717" t="s">
        <v>166</v>
      </c>
      <c r="G583" s="3717"/>
      <c r="H583" s="3718"/>
      <c r="I583" s="3716"/>
      <c r="J583" s="3716"/>
      <c r="K583" s="3716"/>
      <c r="L583" s="3719"/>
      <c r="M583" s="3720"/>
      <c r="N583" s="3720"/>
      <c r="O583" s="3573"/>
      <c r="P583" s="3905"/>
      <c r="Q583" s="3906"/>
      <c r="R583" s="3907"/>
      <c r="S583" s="3908"/>
      <c r="T583" s="3909"/>
      <c r="U583" s="3569"/>
      <c r="V583" s="3569"/>
      <c r="W583" s="3569"/>
      <c r="X583" s="3569"/>
      <c r="Y583" s="3569"/>
      <c r="Z583" s="3569"/>
      <c r="AA583" s="3569"/>
      <c r="AB583" s="3569"/>
      <c r="AC583" s="3569"/>
      <c r="AD583" s="3569"/>
      <c r="AE583" s="3569"/>
      <c r="AF583" s="3569"/>
      <c r="AG583" s="3569"/>
      <c r="AH583" s="3569"/>
      <c r="AI583" s="3569"/>
      <c r="AJ583" s="3569"/>
      <c r="AK583" s="3569"/>
      <c r="AL583" s="3569"/>
      <c r="AM583" s="3569"/>
      <c r="AN583" s="3569"/>
      <c r="AO583" s="3569"/>
      <c r="AP583" s="3569"/>
      <c r="AQ583" s="3569"/>
      <c r="AR583" s="3569"/>
      <c r="AS583" s="3569"/>
      <c r="AT583" s="3569"/>
      <c r="AU583" s="3569"/>
      <c r="AV583" s="3569"/>
      <c r="AW583" s="3569"/>
      <c r="AX583" s="3569"/>
      <c r="AY583" s="3569"/>
      <c r="AZ583" s="3569"/>
      <c r="BA583" s="3569"/>
      <c r="BB583" s="3569"/>
      <c r="BC583" s="3569"/>
      <c r="BD583" s="3569"/>
      <c r="BE583" s="3569"/>
      <c r="BF583" s="3569"/>
      <c r="BG583" s="3569"/>
      <c r="BH583" s="3569"/>
      <c r="BI583" s="3569"/>
      <c r="BJ583" s="3569"/>
      <c r="BK583" s="3569"/>
      <c r="BL583" s="3569"/>
      <c r="BM583" s="3569"/>
      <c r="BN583" s="3569"/>
      <c r="BO583" s="3569"/>
      <c r="BP583" s="3569"/>
      <c r="BQ583" s="3569"/>
      <c r="BR583" s="3569"/>
      <c r="BS583" s="3569"/>
      <c r="BT583" s="3569"/>
      <c r="BU583" s="3569"/>
      <c r="BV583" s="3569"/>
      <c r="BW583" s="3569"/>
      <c r="BX583" s="3569"/>
      <c r="BY583" s="3569"/>
      <c r="BZ583" s="3569"/>
      <c r="CA583" s="3569"/>
      <c r="CB583" s="3569"/>
      <c r="CC583" s="3569"/>
      <c r="CD583" s="3569"/>
      <c r="CE583" s="3569"/>
      <c r="CF583" s="3569"/>
      <c r="CG583" s="3569"/>
      <c r="CH583" s="3569"/>
      <c r="CI583" s="3569"/>
      <c r="CJ583" s="3569"/>
      <c r="CK583" s="3569"/>
      <c r="CL583" s="3569"/>
      <c r="CM583" s="3569"/>
      <c r="CN583" s="3569"/>
      <c r="CO583" s="3569"/>
      <c r="CP583" s="3569"/>
      <c r="CQ583" s="3910"/>
      <c r="CR583" s="3581"/>
      <c r="CS583" s="3728"/>
      <c r="CT583" s="3728" t="str">
        <f>IF(T583="","",T583)</f>
        <v/>
      </c>
      <c r="CU583" s="3728"/>
      <c r="CV583" s="3728"/>
    </row>
    <row s="11636" customFormat="1" customHeight="1" ht="0.75">
      <c r="A584" s="4239"/>
      <c r="B584" s="4239"/>
      <c r="C584" s="4239"/>
      <c r="D584" s="4239"/>
      <c r="E584" s="3717"/>
      <c r="F584" s="3717" t="s">
        <v>166</v>
      </c>
      <c r="G584" s="3718"/>
      <c r="H584" s="4239"/>
      <c r="I584" s="4239"/>
      <c r="J584" s="4239"/>
      <c r="K584" s="4239"/>
      <c r="L584" s="4240"/>
      <c r="M584" s="4241"/>
      <c r="N584" s="4241"/>
      <c r="O584" s="3581"/>
      <c r="P584" s="4242"/>
      <c r="Q584" s="4243"/>
      <c r="R584" s="4242"/>
      <c r="S584" s="4244"/>
      <c r="T584" s="4245" t="s">
        <v>254</v>
      </c>
      <c r="U584" s="3571"/>
      <c r="V584" s="3571"/>
      <c r="W584" s="3571"/>
      <c r="X584" s="3571"/>
      <c r="Y584" s="3571"/>
      <c r="Z584" s="3571"/>
      <c r="AA584" s="3571"/>
      <c r="AB584" s="3571"/>
      <c r="AC584" s="3571"/>
      <c r="AD584" s="3571"/>
      <c r="AE584" s="3571"/>
      <c r="AF584" s="3571"/>
      <c r="AG584" s="3571"/>
      <c r="AH584" s="3571"/>
      <c r="AI584" s="3571"/>
      <c r="AJ584" s="3571"/>
      <c r="AK584" s="3571"/>
      <c r="AL584" s="3571"/>
      <c r="AM584" s="3571"/>
      <c r="AN584" s="3571"/>
      <c r="AO584" s="3571"/>
      <c r="AP584" s="3571"/>
      <c r="AQ584" s="3571"/>
      <c r="AR584" s="3571"/>
      <c r="AS584" s="3571"/>
      <c r="AT584" s="3571"/>
      <c r="AU584" s="3571"/>
      <c r="AV584" s="3571"/>
      <c r="AW584" s="3571"/>
      <c r="AX584" s="3571"/>
      <c r="AY584" s="3571"/>
      <c r="AZ584" s="3571"/>
      <c r="BA584" s="3571"/>
      <c r="BB584" s="3571"/>
      <c r="BC584" s="3571"/>
      <c r="BD584" s="3571"/>
      <c r="BE584" s="3571"/>
      <c r="BF584" s="3571"/>
      <c r="BG584" s="3571"/>
      <c r="BH584" s="3571"/>
      <c r="BI584" s="3571"/>
      <c r="BJ584" s="3571"/>
      <c r="BK584" s="3571"/>
      <c r="BL584" s="3571"/>
      <c r="BM584" s="3571"/>
      <c r="BN584" s="3571"/>
      <c r="BO584" s="3571"/>
      <c r="BP584" s="3571"/>
      <c r="BQ584" s="3571"/>
      <c r="BR584" s="3571"/>
      <c r="BS584" s="3571"/>
      <c r="BT584" s="3571"/>
      <c r="BU584" s="3571"/>
      <c r="BV584" s="3571"/>
      <c r="BW584" s="3571"/>
      <c r="BX584" s="3571"/>
      <c r="BY584" s="3571"/>
      <c r="BZ584" s="3571"/>
      <c r="CA584" s="3571"/>
      <c r="CB584" s="3571"/>
      <c r="CC584" s="3571"/>
      <c r="CD584" s="3571"/>
      <c r="CE584" s="3571"/>
      <c r="CF584" s="3571"/>
      <c r="CG584" s="3571"/>
      <c r="CH584" s="3571"/>
      <c r="CI584" s="3571"/>
      <c r="CJ584" s="3571"/>
      <c r="CK584" s="3571"/>
      <c r="CL584" s="3571"/>
      <c r="CM584" s="3571"/>
      <c r="CN584" s="3571"/>
      <c r="CO584" s="3571"/>
      <c r="CP584" s="3571"/>
      <c r="CQ584" s="3571"/>
      <c r="CR584" s="3581"/>
      <c r="CS584" s="3728"/>
      <c r="CT584" s="3728" t="str">
        <f>IF(T584="","",T584)</f>
        <v>Добавить источник для дифференциации</v>
      </c>
      <c r="CU584" s="3728"/>
      <c r="CV584" s="3728"/>
    </row>
    <row s="11637" customFormat="1" customHeight="1" ht="0.75">
      <c r="A585" s="4239"/>
      <c r="B585" s="4239"/>
      <c r="C585" s="4239"/>
      <c r="D585" s="4239"/>
      <c r="E585" s="3717"/>
      <c r="F585" s="3718" t="s">
        <v>166</v>
      </c>
      <c r="G585" s="4239"/>
      <c r="H585" s="4239"/>
      <c r="I585" s="4239"/>
      <c r="J585" s="4239"/>
      <c r="K585" s="4239"/>
      <c r="L585" s="4240"/>
      <c r="M585" s="4247"/>
      <c r="N585" s="4247"/>
      <c r="O585" s="3581"/>
      <c r="P585" s="4242"/>
      <c r="Q585" s="4243"/>
      <c r="R585" s="4242"/>
      <c r="S585" s="4248"/>
      <c r="T585" s="4249" t="s">
        <v>255</v>
      </c>
      <c r="U585" s="3572"/>
      <c r="V585" s="3572"/>
      <c r="W585" s="3572"/>
      <c r="X585" s="3572"/>
      <c r="Y585" s="3572"/>
      <c r="Z585" s="3572"/>
      <c r="AA585" s="3572"/>
      <c r="AB585" s="3572"/>
      <c r="AC585" s="3572"/>
      <c r="AD585" s="3572"/>
      <c r="AE585" s="3572"/>
      <c r="AF585" s="3572"/>
      <c r="AG585" s="3572"/>
      <c r="AH585" s="3572"/>
      <c r="AI585" s="3572"/>
      <c r="AJ585" s="3572"/>
      <c r="AK585" s="3572"/>
      <c r="AL585" s="3572"/>
      <c r="AM585" s="3572"/>
      <c r="AN585" s="3572"/>
      <c r="AO585" s="3572"/>
      <c r="AP585" s="3572"/>
      <c r="AQ585" s="3572"/>
      <c r="AR585" s="3572"/>
      <c r="AS585" s="3572"/>
      <c r="AT585" s="3572"/>
      <c r="AU585" s="3572"/>
      <c r="AV585" s="3572"/>
      <c r="AW585" s="3572"/>
      <c r="AX585" s="3572"/>
      <c r="AY585" s="3572"/>
      <c r="AZ585" s="3572"/>
      <c r="BA585" s="3572"/>
      <c r="BB585" s="3572"/>
      <c r="BC585" s="3572"/>
      <c r="BD585" s="3572"/>
      <c r="BE585" s="3572"/>
      <c r="BF585" s="3572"/>
      <c r="BG585" s="3572"/>
      <c r="BH585" s="3572"/>
      <c r="BI585" s="3572"/>
      <c r="BJ585" s="3572"/>
      <c r="BK585" s="3572"/>
      <c r="BL585" s="3572"/>
      <c r="BM585" s="3572"/>
      <c r="BN585" s="3572"/>
      <c r="BO585" s="3572"/>
      <c r="BP585" s="3572"/>
      <c r="BQ585" s="3572"/>
      <c r="BR585" s="3572"/>
      <c r="BS585" s="3572"/>
      <c r="BT585" s="3572"/>
      <c r="BU585" s="3572"/>
      <c r="BV585" s="3572"/>
      <c r="BW585" s="3572"/>
      <c r="BX585" s="3572"/>
      <c r="BY585" s="3572"/>
      <c r="BZ585" s="3572"/>
      <c r="CA585" s="3572"/>
      <c r="CB585" s="3572"/>
      <c r="CC585" s="3572"/>
      <c r="CD585" s="3572"/>
      <c r="CE585" s="3572"/>
      <c r="CF585" s="3572"/>
      <c r="CG585" s="3572"/>
      <c r="CH585" s="3572"/>
      <c r="CI585" s="3572"/>
      <c r="CJ585" s="3572"/>
      <c r="CK585" s="3572"/>
      <c r="CL585" s="3572"/>
      <c r="CM585" s="3572"/>
      <c r="CN585" s="3572"/>
      <c r="CO585" s="3572"/>
      <c r="CP585" s="3572"/>
      <c r="CQ585" s="3572"/>
      <c r="CR585" s="3581"/>
      <c r="CS585" s="3728"/>
      <c r="CT585" s="3728" t="str">
        <f>IF(T585="","",T585)</f>
        <v>Добавить централизованную систему для дифференциации</v>
      </c>
      <c r="CU585" s="3728"/>
      <c r="CV585" s="3728"/>
    </row>
    <row s="11638" customFormat="1" customHeight="1" ht="21">
      <c r="A586" s="3716"/>
      <c r="B586" s="3716" t="s">
        <v>389</v>
      </c>
      <c r="C586" s="3716"/>
      <c r="D586" s="3716"/>
      <c r="E586" s="3717"/>
      <c r="F586" s="3718" t="s">
        <v>175</v>
      </c>
      <c r="G586" s="3716"/>
      <c r="H586" s="3716"/>
      <c r="I586" s="3716"/>
      <c r="J586" s="3716"/>
      <c r="K586" s="3716"/>
      <c r="L586" s="3719"/>
      <c r="M586" s="3720"/>
      <c r="N586" s="3720"/>
      <c r="O586" s="3720"/>
      <c r="P586" s="4073"/>
      <c r="Q586" s="3722"/>
      <c r="R586" s="3723"/>
      <c r="S586" s="3724" t="str">
        <f>INDEX(PT_DIFFERENTIATION_NUM_TER,MATCH(B586,PT_DIFFERENTIATION_TER_ID,0))</f>
        <v>2.18</v>
      </c>
      <c r="T586" s="4074" t="s">
        <v>612</v>
      </c>
      <c r="U586" s="3726"/>
      <c r="V586" s="3432"/>
      <c r="W586" s="3433"/>
      <c r="X586" s="3433"/>
      <c r="Y586" s="3433"/>
      <c r="Z586" s="3433"/>
      <c r="AA586" s="3433"/>
      <c r="AB586" s="3433"/>
      <c r="AC586" s="3434"/>
      <c r="AD586" s="3432" t="str">
        <f>INDEX(PT_DIFFERENTIATION_TER,MATCH(B586,PT_DIFFERENTIATION_TER_ID,0))</f>
        <v>Территория 18</v>
      </c>
      <c r="AE586" s="3433"/>
      <c r="AF586" s="3433"/>
      <c r="AG586" s="3433"/>
      <c r="AH586" s="3433"/>
      <c r="AI586" s="3433"/>
      <c r="AJ586" s="3433"/>
      <c r="AK586" s="3433"/>
      <c r="AL586" s="3432"/>
      <c r="AM586" s="3433"/>
      <c r="AN586" s="3433"/>
      <c r="AO586" s="3433"/>
      <c r="AP586" s="3433"/>
      <c r="AQ586" s="3433"/>
      <c r="AR586" s="3433"/>
      <c r="AS586" s="3434"/>
      <c r="AT586" s="3432"/>
      <c r="AU586" s="3433"/>
      <c r="AV586" s="3433"/>
      <c r="AW586" s="3433"/>
      <c r="AX586" s="3433"/>
      <c r="AY586" s="3433"/>
      <c r="AZ586" s="3433"/>
      <c r="BA586" s="3434"/>
      <c r="BB586" s="3432"/>
      <c r="BC586" s="3433"/>
      <c r="BD586" s="3433"/>
      <c r="BE586" s="3433"/>
      <c r="BF586" s="3433"/>
      <c r="BG586" s="3433"/>
      <c r="BH586" s="3433"/>
      <c r="BI586" s="3434"/>
      <c r="BJ586" s="3432"/>
      <c r="BK586" s="3433"/>
      <c r="BL586" s="3433"/>
      <c r="BM586" s="3433"/>
      <c r="BN586" s="3433"/>
      <c r="BO586" s="3433"/>
      <c r="BP586" s="3433"/>
      <c r="BQ586" s="3434"/>
      <c r="BR586" s="3432"/>
      <c r="BS586" s="3433"/>
      <c r="BT586" s="3433"/>
      <c r="BU586" s="3433"/>
      <c r="BV586" s="3433"/>
      <c r="BW586" s="3433"/>
      <c r="BX586" s="3433"/>
      <c r="BY586" s="3434"/>
      <c r="BZ586" s="3432"/>
      <c r="CA586" s="3433"/>
      <c r="CB586" s="3433"/>
      <c r="CC586" s="3433"/>
      <c r="CD586" s="3433"/>
      <c r="CE586" s="3433"/>
      <c r="CF586" s="3433"/>
      <c r="CG586" s="3434"/>
      <c r="CH586" s="3432"/>
      <c r="CI586" s="3433"/>
      <c r="CJ586" s="3433"/>
      <c r="CK586" s="3433"/>
      <c r="CL586" s="3433"/>
      <c r="CM586" s="3433"/>
      <c r="CN586" s="3433"/>
      <c r="CO586" s="3434"/>
      <c r="CP586" s="3434"/>
      <c r="CQ586" s="3727" t="s">
        <v>613</v>
      </c>
      <c r="CR586" s="3581"/>
      <c r="CS586" s="3728"/>
      <c r="CT586" s="3728" t="str">
        <f>IF(T586="","",T586)</f>
        <v>Территория действия тарифа</v>
      </c>
      <c r="CU586" s="3728"/>
      <c r="CV586" s="3728"/>
    </row>
    <row s="11639" customFormat="1" customHeight="1" ht="23.25">
      <c r="A587" s="3716"/>
      <c r="B587" s="3716"/>
      <c r="C587" s="3716" t="s">
        <v>390</v>
      </c>
      <c r="D587" s="3716"/>
      <c r="E587" s="3717"/>
      <c r="F587" s="3717" t="s">
        <v>170</v>
      </c>
      <c r="G587" s="3718">
        <v>1</v>
      </c>
      <c r="H587" s="3716"/>
      <c r="I587" s="3716"/>
      <c r="J587" s="3716"/>
      <c r="K587" s="3716"/>
      <c r="L587" s="3719"/>
      <c r="M587" s="3720"/>
      <c r="N587" s="3720"/>
      <c r="O587" s="3720"/>
      <c r="P587" s="3721"/>
      <c r="Q587" s="3722"/>
      <c r="R587" s="3723"/>
      <c r="S587" s="3724" t="str">
        <f>INDEX(PT_DIFFERENTIATION_NUM_CS,MATCH(C587,PT_DIFFERENTIATION_CS_ID,0))</f>
        <v>2.18.1</v>
      </c>
      <c r="T587" s="4076" t="s">
        <v>614</v>
      </c>
      <c r="U587" s="3726"/>
      <c r="V587" s="3432"/>
      <c r="W587" s="3433"/>
      <c r="X587" s="3433"/>
      <c r="Y587" s="3433"/>
      <c r="Z587" s="3433"/>
      <c r="AA587" s="3433"/>
      <c r="AB587" s="3433"/>
      <c r="AC587" s="3434"/>
      <c r="AD587" s="3432" t="str">
        <f>INDEX(PT_DIFFERENTIATION_CS,MATCH(C587,PT_DIFFERENTIATION_CS_ID,0))</f>
        <v>без дифференциации</v>
      </c>
      <c r="AE587" s="3433"/>
      <c r="AF587" s="3433"/>
      <c r="AG587" s="3433"/>
      <c r="AH587" s="3433"/>
      <c r="AI587" s="3433"/>
      <c r="AJ587" s="3433"/>
      <c r="AK587" s="3433"/>
      <c r="AL587" s="3432"/>
      <c r="AM587" s="3433"/>
      <c r="AN587" s="3433"/>
      <c r="AO587" s="3433"/>
      <c r="AP587" s="3433"/>
      <c r="AQ587" s="3433"/>
      <c r="AR587" s="3433"/>
      <c r="AS587" s="3434"/>
      <c r="AT587" s="3432"/>
      <c r="AU587" s="3433"/>
      <c r="AV587" s="3433"/>
      <c r="AW587" s="3433"/>
      <c r="AX587" s="3433"/>
      <c r="AY587" s="3433"/>
      <c r="AZ587" s="3433"/>
      <c r="BA587" s="3434"/>
      <c r="BB587" s="3432"/>
      <c r="BC587" s="3433"/>
      <c r="BD587" s="3433"/>
      <c r="BE587" s="3433"/>
      <c r="BF587" s="3433"/>
      <c r="BG587" s="3433"/>
      <c r="BH587" s="3433"/>
      <c r="BI587" s="3434"/>
      <c r="BJ587" s="3432"/>
      <c r="BK587" s="3433"/>
      <c r="BL587" s="3433"/>
      <c r="BM587" s="3433"/>
      <c r="BN587" s="3433"/>
      <c r="BO587" s="3433"/>
      <c r="BP587" s="3433"/>
      <c r="BQ587" s="3434"/>
      <c r="BR587" s="3432"/>
      <c r="BS587" s="3433"/>
      <c r="BT587" s="3433"/>
      <c r="BU587" s="3433"/>
      <c r="BV587" s="3433"/>
      <c r="BW587" s="3433"/>
      <c r="BX587" s="3433"/>
      <c r="BY587" s="3434"/>
      <c r="BZ587" s="3432"/>
      <c r="CA587" s="3433"/>
      <c r="CB587" s="3433"/>
      <c r="CC587" s="3433"/>
      <c r="CD587" s="3433"/>
      <c r="CE587" s="3433"/>
      <c r="CF587" s="3433"/>
      <c r="CG587" s="3434"/>
      <c r="CH587" s="3432"/>
      <c r="CI587" s="3433"/>
      <c r="CJ587" s="3433"/>
      <c r="CK587" s="3433"/>
      <c r="CL587" s="3433"/>
      <c r="CM587" s="3433"/>
      <c r="CN587" s="3433"/>
      <c r="CO587" s="3434"/>
      <c r="CP587" s="3434"/>
      <c r="CQ587" s="3727" t="s">
        <v>615</v>
      </c>
      <c r="CR587" s="3581"/>
      <c r="CS587" s="3728"/>
      <c r="CT587" s="3728" t="str">
        <f>IF(T587="","",T587)</f>
        <v>Наименование системы теплоснабжения </v>
      </c>
      <c r="CU587" s="3728"/>
      <c r="CV587" s="3728"/>
    </row>
    <row s="11640" customFormat="1" customHeight="1" ht="21">
      <c r="A588" s="3716"/>
      <c r="B588" s="3716"/>
      <c r="C588" s="3716"/>
      <c r="D588" s="3716" t="s">
        <v>391</v>
      </c>
      <c r="E588" s="3717"/>
      <c r="F588" s="3717" t="s">
        <v>170</v>
      </c>
      <c r="G588" s="3717"/>
      <c r="H588" s="3718">
        <v>1</v>
      </c>
      <c r="I588" s="3716"/>
      <c r="J588" s="3716"/>
      <c r="K588" s="3716"/>
      <c r="L588" s="3719"/>
      <c r="M588" s="3720"/>
      <c r="N588" s="3720"/>
      <c r="O588" s="3720"/>
      <c r="P588" s="3721"/>
      <c r="Q588" s="3722"/>
      <c r="R588" s="3723"/>
      <c r="S588" s="3724" t="str">
        <f>INDEX(PT_DIFFERENTIATION_NUM_IST_TE,MATCH(D588,PT_DIFFERENTIATION_IST_TE_ID,0))</f>
        <v>2.18.1.1</v>
      </c>
      <c r="T588" s="3725" t="s">
        <v>616</v>
      </c>
      <c r="U588" s="3726"/>
      <c r="V588" s="3432"/>
      <c r="W588" s="3433"/>
      <c r="X588" s="3433"/>
      <c r="Y588" s="3433"/>
      <c r="Z588" s="3433"/>
      <c r="AA588" s="3433"/>
      <c r="AB588" s="3433"/>
      <c r="AC588" s="3434"/>
      <c r="AD588" s="3432" t="str">
        <f>INDEX(PT_DIFFERENTIATION_IST_TE,MATCH(D588,PT_DIFFERENTIATION_IST_TE_ID,0))</f>
        <v>ж.д.ст. Лопарская</v>
      </c>
      <c r="AE588" s="3433"/>
      <c r="AF588" s="3433"/>
      <c r="AG588" s="3433"/>
      <c r="AH588" s="3433"/>
      <c r="AI588" s="3433"/>
      <c r="AJ588" s="3433"/>
      <c r="AK588" s="3433"/>
      <c r="AL588" s="3432"/>
      <c r="AM588" s="3433"/>
      <c r="AN588" s="3433"/>
      <c r="AO588" s="3433"/>
      <c r="AP588" s="3433"/>
      <c r="AQ588" s="3433"/>
      <c r="AR588" s="3433"/>
      <c r="AS588" s="3434"/>
      <c r="AT588" s="3432"/>
      <c r="AU588" s="3433"/>
      <c r="AV588" s="3433"/>
      <c r="AW588" s="3433"/>
      <c r="AX588" s="3433"/>
      <c r="AY588" s="3433"/>
      <c r="AZ588" s="3433"/>
      <c r="BA588" s="3434"/>
      <c r="BB588" s="3432"/>
      <c r="BC588" s="3433"/>
      <c r="BD588" s="3433"/>
      <c r="BE588" s="3433"/>
      <c r="BF588" s="3433"/>
      <c r="BG588" s="3433"/>
      <c r="BH588" s="3433"/>
      <c r="BI588" s="3434"/>
      <c r="BJ588" s="3432"/>
      <c r="BK588" s="3433"/>
      <c r="BL588" s="3433"/>
      <c r="BM588" s="3433"/>
      <c r="BN588" s="3433"/>
      <c r="BO588" s="3433"/>
      <c r="BP588" s="3433"/>
      <c r="BQ588" s="3434"/>
      <c r="BR588" s="3432"/>
      <c r="BS588" s="3433"/>
      <c r="BT588" s="3433"/>
      <c r="BU588" s="3433"/>
      <c r="BV588" s="3433"/>
      <c r="BW588" s="3433"/>
      <c r="BX588" s="3433"/>
      <c r="BY588" s="3434"/>
      <c r="BZ588" s="3432"/>
      <c r="CA588" s="3433"/>
      <c r="CB588" s="3433"/>
      <c r="CC588" s="3433"/>
      <c r="CD588" s="3433"/>
      <c r="CE588" s="3433"/>
      <c r="CF588" s="3433"/>
      <c r="CG588" s="3434"/>
      <c r="CH588" s="3432"/>
      <c r="CI588" s="3433"/>
      <c r="CJ588" s="3433"/>
      <c r="CK588" s="3433"/>
      <c r="CL588" s="3433"/>
      <c r="CM588" s="3433"/>
      <c r="CN588" s="3433"/>
      <c r="CO588" s="3434"/>
      <c r="CP588" s="3434"/>
      <c r="CQ588" s="3727" t="s">
        <v>617</v>
      </c>
      <c r="CR588" s="3581"/>
      <c r="CS588" s="3728"/>
      <c r="CT588" s="3728" t="str">
        <f>IF(T588="","",T588)</f>
        <v>Источник тепловой энергии  </v>
      </c>
      <c r="CU588" s="3728"/>
      <c r="CV588" s="3728"/>
    </row>
    <row s="11641" customFormat="1" customHeight="1" ht="14.25">
      <c r="A589" s="3716"/>
      <c r="B589" s="3716"/>
      <c r="C589" s="3716"/>
      <c r="D589" s="3716"/>
      <c r="E589" s="3717"/>
      <c r="F589" s="3717" t="s">
        <v>170</v>
      </c>
      <c r="G589" s="3717"/>
      <c r="H589" s="3717"/>
      <c r="I589" s="3730" t="str">
        <f>S588&amp;".1"</f>
        <v>2.18.1.1.1</v>
      </c>
      <c r="J589" s="3716"/>
      <c r="K589" s="3716"/>
      <c r="L589" s="3719" t="s">
        <v>618</v>
      </c>
      <c r="M589" s="3573"/>
      <c r="N589" s="3731"/>
      <c r="O589" s="3731"/>
      <c r="P589" s="3732">
        <v>1</v>
      </c>
      <c r="Q589" s="3732"/>
      <c r="R589" s="3733"/>
      <c r="S589" s="3734"/>
      <c r="T589" s="3735"/>
      <c r="U589" s="3736"/>
      <c r="V589" s="3441"/>
      <c r="W589" s="3442"/>
      <c r="X589" s="3442"/>
      <c r="Y589" s="3442"/>
      <c r="Z589" s="3442"/>
      <c r="AA589" s="3442"/>
      <c r="AB589" s="3442"/>
      <c r="AC589" s="3443"/>
      <c r="AD589" s="3441"/>
      <c r="AE589" s="3442"/>
      <c r="AF589" s="3442"/>
      <c r="AG589" s="3442"/>
      <c r="AH589" s="3442"/>
      <c r="AI589" s="3442"/>
      <c r="AJ589" s="3442"/>
      <c r="AK589" s="3442"/>
      <c r="AL589" s="3441"/>
      <c r="AM589" s="3442"/>
      <c r="AN589" s="3442"/>
      <c r="AO589" s="3442"/>
      <c r="AP589" s="3442"/>
      <c r="AQ589" s="3442"/>
      <c r="AR589" s="3442"/>
      <c r="AS589" s="3443"/>
      <c r="AT589" s="3441"/>
      <c r="AU589" s="3442"/>
      <c r="AV589" s="3442"/>
      <c r="AW589" s="3442"/>
      <c r="AX589" s="3442"/>
      <c r="AY589" s="3442"/>
      <c r="AZ589" s="3442"/>
      <c r="BA589" s="3443"/>
      <c r="BB589" s="3441"/>
      <c r="BC589" s="3442"/>
      <c r="BD589" s="3442"/>
      <c r="BE589" s="3442"/>
      <c r="BF589" s="3442"/>
      <c r="BG589" s="3442"/>
      <c r="BH589" s="3442"/>
      <c r="BI589" s="3443"/>
      <c r="BJ589" s="3441"/>
      <c r="BK589" s="3442"/>
      <c r="BL589" s="3442"/>
      <c r="BM589" s="3442"/>
      <c r="BN589" s="3442"/>
      <c r="BO589" s="3442"/>
      <c r="BP589" s="3442"/>
      <c r="BQ589" s="3443"/>
      <c r="BR589" s="3441"/>
      <c r="BS589" s="3442"/>
      <c r="BT589" s="3442"/>
      <c r="BU589" s="3442"/>
      <c r="BV589" s="3442"/>
      <c r="BW589" s="3442"/>
      <c r="BX589" s="3442"/>
      <c r="BY589" s="3443"/>
      <c r="BZ589" s="3441"/>
      <c r="CA589" s="3442"/>
      <c r="CB589" s="3442"/>
      <c r="CC589" s="3442"/>
      <c r="CD589" s="3442"/>
      <c r="CE589" s="3442"/>
      <c r="CF589" s="3442"/>
      <c r="CG589" s="3443"/>
      <c r="CH589" s="3441"/>
      <c r="CI589" s="3442"/>
      <c r="CJ589" s="3442"/>
      <c r="CK589" s="3442"/>
      <c r="CL589" s="3442"/>
      <c r="CM589" s="3442"/>
      <c r="CN589" s="3442"/>
      <c r="CO589" s="3443"/>
      <c r="CP589" s="3443"/>
      <c r="CQ589" s="3737"/>
      <c r="CR589" s="3581"/>
      <c r="CS589" s="3728"/>
      <c r="CT589" s="3728" t="str">
        <f>IF(T589="","",T589)</f>
        <v/>
      </c>
      <c r="CU589" s="3728"/>
      <c r="CV589" s="3728"/>
    </row>
    <row s="11642" customFormat="1" customHeight="1" ht="21">
      <c r="A590" s="3716"/>
      <c r="B590" s="3716"/>
      <c r="C590" s="3716"/>
      <c r="D590" s="3716"/>
      <c r="E590" s="3717"/>
      <c r="F590" s="3717" t="s">
        <v>170</v>
      </c>
      <c r="G590" s="3717"/>
      <c r="H590" s="3717"/>
      <c r="I590" s="3739"/>
      <c r="J590" s="3730" t="str">
        <f>I589&amp;".1"</f>
        <v>2.18.1.1.1.1</v>
      </c>
      <c r="K590" s="3716"/>
      <c r="L590" s="3719" t="s">
        <v>621</v>
      </c>
      <c r="M590" s="3573"/>
      <c r="N590" s="3573"/>
      <c r="O590" s="3731"/>
      <c r="P590" s="3732"/>
      <c r="Q590" s="3732">
        <v>1</v>
      </c>
      <c r="R590" s="3740"/>
      <c r="S590" s="3724" t="str">
        <f>$J590</f>
        <v>2.18.1.1.1.1</v>
      </c>
      <c r="T590" s="3741" t="s">
        <v>622</v>
      </c>
      <c r="U590" s="3726"/>
      <c r="V590" s="3445"/>
      <c r="W590" s="3446"/>
      <c r="X590" s="3446"/>
      <c r="Y590" s="3446"/>
      <c r="Z590" s="3446"/>
      <c r="AA590" s="3446"/>
      <c r="AB590" s="3446"/>
      <c r="AC590" s="3447"/>
      <c r="AD590" s="3445" t="s">
        <v>665</v>
      </c>
      <c r="AE590" s="3446"/>
      <c r="AF590" s="3446"/>
      <c r="AG590" s="3446"/>
      <c r="AH590" s="3446"/>
      <c r="AI590" s="3446"/>
      <c r="AJ590" s="3446"/>
      <c r="AK590" s="3446"/>
      <c r="AL590" s="3445"/>
      <c r="AM590" s="3446"/>
      <c r="AN590" s="3446"/>
      <c r="AO590" s="3446"/>
      <c r="AP590" s="3446"/>
      <c r="AQ590" s="3446"/>
      <c r="AR590" s="3446"/>
      <c r="AS590" s="3447"/>
      <c r="AT590" s="3445"/>
      <c r="AU590" s="3446"/>
      <c r="AV590" s="3446"/>
      <c r="AW590" s="3446"/>
      <c r="AX590" s="3446"/>
      <c r="AY590" s="3446"/>
      <c r="AZ590" s="3446"/>
      <c r="BA590" s="3447"/>
      <c r="BB590" s="3445"/>
      <c r="BC590" s="3446"/>
      <c r="BD590" s="3446"/>
      <c r="BE590" s="3446"/>
      <c r="BF590" s="3446"/>
      <c r="BG590" s="3446"/>
      <c r="BH590" s="3446"/>
      <c r="BI590" s="3447"/>
      <c r="BJ590" s="3445"/>
      <c r="BK590" s="3446"/>
      <c r="BL590" s="3446"/>
      <c r="BM590" s="3446"/>
      <c r="BN590" s="3446"/>
      <c r="BO590" s="3446"/>
      <c r="BP590" s="3446"/>
      <c r="BQ590" s="3447"/>
      <c r="BR590" s="3445"/>
      <c r="BS590" s="3446"/>
      <c r="BT590" s="3446"/>
      <c r="BU590" s="3446"/>
      <c r="BV590" s="3446"/>
      <c r="BW590" s="3446"/>
      <c r="BX590" s="3446"/>
      <c r="BY590" s="3447"/>
      <c r="BZ590" s="3445"/>
      <c r="CA590" s="3446"/>
      <c r="CB590" s="3446"/>
      <c r="CC590" s="3446"/>
      <c r="CD590" s="3446"/>
      <c r="CE590" s="3446"/>
      <c r="CF590" s="3446"/>
      <c r="CG590" s="3447"/>
      <c r="CH590" s="3445"/>
      <c r="CI590" s="3446"/>
      <c r="CJ590" s="3446"/>
      <c r="CK590" s="3446"/>
      <c r="CL590" s="3446"/>
      <c r="CM590" s="3446"/>
      <c r="CN590" s="3446"/>
      <c r="CO590" s="3447"/>
      <c r="CP590" s="3447"/>
      <c r="CQ590" s="3727" t="s">
        <v>623</v>
      </c>
      <c r="CR590" s="3581"/>
      <c r="CS590" s="3728"/>
      <c r="CT590" s="3728" t="str">
        <f>IF(T590="","",T590)</f>
        <v>Группа потребителей</v>
      </c>
      <c r="CU590" s="3728"/>
      <c r="CV590" s="3728"/>
    </row>
    <row s="11643" customFormat="1" customHeight="1" ht="21">
      <c r="A591" s="3716"/>
      <c r="B591" s="3716"/>
      <c r="C591" s="3716"/>
      <c r="D591" s="3716"/>
      <c r="E591" s="3717"/>
      <c r="F591" s="3717" t="s">
        <v>170</v>
      </c>
      <c r="G591" s="3717"/>
      <c r="H591" s="3717"/>
      <c r="I591" s="3739"/>
      <c r="J591" s="3739"/>
      <c r="K591" s="3730" t="str">
        <f>J590&amp;".1"</f>
        <v>2.18.1.1.1.1.1</v>
      </c>
      <c r="L591" s="3719" t="s">
        <v>624</v>
      </c>
      <c r="M591" s="3573"/>
      <c r="N591" s="3573"/>
      <c r="O591" s="3573"/>
      <c r="P591" s="3732"/>
      <c r="Q591" s="3732"/>
      <c r="R591" s="3740">
        <v>1</v>
      </c>
      <c r="S591" s="3724" t="str">
        <f>$K591</f>
        <v>2.18.1.1.1.1.1</v>
      </c>
      <c r="T591" s="3743" t="s">
        <v>663</v>
      </c>
      <c r="U591" s="3726"/>
      <c r="V591" s="3448"/>
      <c r="W591" s="3449"/>
      <c r="X591" s="3448"/>
      <c r="Y591" s="3450"/>
      <c r="Z591" s="3451"/>
      <c r="AA591" s="2872" t="s">
        <v>63</v>
      </c>
      <c r="AB591" s="3451"/>
      <c r="AC591" s="2872" t="s">
        <v>63</v>
      </c>
      <c r="AD591" s="3448">
        <v>43</v>
      </c>
      <c r="AE591" s="3449"/>
      <c r="AF591" s="3448"/>
      <c r="AG591" s="3450"/>
      <c r="AH591" s="3451">
        <v>44197</v>
      </c>
      <c r="AI591" s="2872" t="s">
        <v>63</v>
      </c>
      <c r="AJ591" s="3451">
        <v>44377</v>
      </c>
      <c r="AK591" s="2872" t="s">
        <v>63</v>
      </c>
      <c r="AL591" s="3448">
        <v>44.9</v>
      </c>
      <c r="AM591" s="3449"/>
      <c r="AN591" s="3448"/>
      <c r="AO591" s="3450"/>
      <c r="AP591" s="3451">
        <v>44378</v>
      </c>
      <c r="AQ591" s="2872" t="s">
        <v>63</v>
      </c>
      <c r="AR591" s="3451">
        <v>44561</v>
      </c>
      <c r="AS591" s="2872" t="s">
        <v>63</v>
      </c>
      <c r="AT591" s="3448">
        <v>44.9</v>
      </c>
      <c r="AU591" s="3449"/>
      <c r="AV591" s="3448"/>
      <c r="AW591" s="3450"/>
      <c r="AX591" s="3451">
        <v>44562</v>
      </c>
      <c r="AY591" s="2872" t="s">
        <v>63</v>
      </c>
      <c r="AZ591" s="3451">
        <v>44601</v>
      </c>
      <c r="BA591" s="2872" t="s">
        <v>63</v>
      </c>
      <c r="BB591" s="3448">
        <v>44.9</v>
      </c>
      <c r="BC591" s="3449"/>
      <c r="BD591" s="3448"/>
      <c r="BE591" s="3450"/>
      <c r="BF591" s="3451">
        <v>44602</v>
      </c>
      <c r="BG591" s="2872" t="s">
        <v>63</v>
      </c>
      <c r="BH591" s="3451">
        <v>44742</v>
      </c>
      <c r="BI591" s="2872" t="s">
        <v>63</v>
      </c>
      <c r="BJ591" s="3448">
        <v>47</v>
      </c>
      <c r="BK591" s="3449"/>
      <c r="BL591" s="3448"/>
      <c r="BM591" s="3450"/>
      <c r="BN591" s="3451">
        <v>44743</v>
      </c>
      <c r="BO591" s="2872" t="s">
        <v>63</v>
      </c>
      <c r="BP591" s="3451">
        <v>44804</v>
      </c>
      <c r="BQ591" s="2872" t="s">
        <v>63</v>
      </c>
      <c r="BR591" s="3448">
        <v>47</v>
      </c>
      <c r="BS591" s="3449"/>
      <c r="BT591" s="3448"/>
      <c r="BU591" s="3450"/>
      <c r="BV591" s="3451">
        <v>44805</v>
      </c>
      <c r="BW591" s="2872" t="s">
        <v>63</v>
      </c>
      <c r="BX591" s="3451">
        <v>44895</v>
      </c>
      <c r="BY591" s="2872" t="s">
        <v>63</v>
      </c>
      <c r="BZ591" s="3448">
        <v>49.82</v>
      </c>
      <c r="CA591" s="3449"/>
      <c r="CB591" s="3448"/>
      <c r="CC591" s="3450"/>
      <c r="CD591" s="3451">
        <v>44896</v>
      </c>
      <c r="CE591" s="2872" t="s">
        <v>63</v>
      </c>
      <c r="CF591" s="3451">
        <v>45174</v>
      </c>
      <c r="CG591" s="2872" t="s">
        <v>63</v>
      </c>
      <c r="CH591" s="3448">
        <v>49.82</v>
      </c>
      <c r="CI591" s="3449"/>
      <c r="CJ591" s="3448"/>
      <c r="CK591" s="3450"/>
      <c r="CL591" s="3451">
        <v>45175</v>
      </c>
      <c r="CM591" s="2872" t="s">
        <v>63</v>
      </c>
      <c r="CN591" s="3451">
        <v>45291</v>
      </c>
      <c r="CO591" s="2872" t="s">
        <v>63</v>
      </c>
      <c r="CP591" s="3449"/>
      <c r="CQ591" s="3744" t="s">
        <v>625</v>
      </c>
      <c r="CR591" s="3581">
        <f>STRCHECKDATE(V592:CP592)</f>
      </c>
      <c r="CS591" s="3728"/>
      <c r="CT591" s="3728" t="str">
        <f>IF(T591="","",T591)</f>
        <v>вода</v>
      </c>
      <c r="CU591" s="3728"/>
      <c r="CV591" s="3728"/>
    </row>
    <row s="11644" customFormat="1" customHeight="1" ht="0.75">
      <c r="A592" s="3716"/>
      <c r="B592" s="3716"/>
      <c r="C592" s="3716"/>
      <c r="D592" s="3716"/>
      <c r="E592" s="3717"/>
      <c r="F592" s="3717" t="s">
        <v>170</v>
      </c>
      <c r="G592" s="3717"/>
      <c r="H592" s="3717"/>
      <c r="I592" s="3739"/>
      <c r="J592" s="3739"/>
      <c r="K592" s="3730"/>
      <c r="L592" s="3719"/>
      <c r="M592" s="3573"/>
      <c r="N592" s="3573"/>
      <c r="O592" s="3573"/>
      <c r="P592" s="3732"/>
      <c r="Q592" s="3732"/>
      <c r="R592" s="3740"/>
      <c r="S592" s="3746"/>
      <c r="T592" s="3726"/>
      <c r="U592" s="3726"/>
      <c r="V592" s="3449"/>
      <c r="W592" s="3449"/>
      <c r="X592" s="3449"/>
      <c r="Y592" s="3452" t="str">
        <f>Z591&amp;"-"&amp;AB591</f>
        <v>-</v>
      </c>
      <c r="Z592" s="3453"/>
      <c r="AA592" s="2872"/>
      <c r="AB592" s="3453"/>
      <c r="AC592" s="2872"/>
      <c r="AD592" s="3449"/>
      <c r="AE592" s="3449"/>
      <c r="AF592" s="3449"/>
      <c r="AG592" s="3452" t="str">
        <f>AH591&amp;"-"&amp;AJ591</f>
        <v>44197-44377</v>
      </c>
      <c r="AH592" s="3453"/>
      <c r="AI592" s="2872"/>
      <c r="AJ592" s="3453"/>
      <c r="AK592" s="2872"/>
      <c r="AL592" s="3449"/>
      <c r="AM592" s="3449"/>
      <c r="AN592" s="3449"/>
      <c r="AO592" s="3452" t="str">
        <f>AP591&amp;"-"&amp;AR591</f>
        <v>44378-44561</v>
      </c>
      <c r="AP592" s="3453"/>
      <c r="AQ592" s="2872"/>
      <c r="AR592" s="3453"/>
      <c r="AS592" s="2872"/>
      <c r="AT592" s="3449"/>
      <c r="AU592" s="3449"/>
      <c r="AV592" s="3449"/>
      <c r="AW592" s="3452" t="str">
        <f>AX591&amp;"-"&amp;AZ591</f>
        <v>44562-44601</v>
      </c>
      <c r="AX592" s="3453"/>
      <c r="AY592" s="2872"/>
      <c r="AZ592" s="3453"/>
      <c r="BA592" s="2872"/>
      <c r="BB592" s="3449"/>
      <c r="BC592" s="3449"/>
      <c r="BD592" s="3449"/>
      <c r="BE592" s="3452" t="str">
        <f>BF591&amp;"-"&amp;BH591</f>
        <v>44602-44742</v>
      </c>
      <c r="BF592" s="3453"/>
      <c r="BG592" s="2872"/>
      <c r="BH592" s="3453"/>
      <c r="BI592" s="2872"/>
      <c r="BJ592" s="3449"/>
      <c r="BK592" s="3449"/>
      <c r="BL592" s="3449"/>
      <c r="BM592" s="3452" t="str">
        <f>BN591&amp;"-"&amp;BP591</f>
        <v>44743-44804</v>
      </c>
      <c r="BN592" s="3453"/>
      <c r="BO592" s="2872"/>
      <c r="BP592" s="3453"/>
      <c r="BQ592" s="2872"/>
      <c r="BR592" s="3449"/>
      <c r="BS592" s="3449"/>
      <c r="BT592" s="3449"/>
      <c r="BU592" s="3452" t="str">
        <f>BV591&amp;"-"&amp;BX591</f>
        <v>44805-44895</v>
      </c>
      <c r="BV592" s="3453"/>
      <c r="BW592" s="2872"/>
      <c r="BX592" s="3453"/>
      <c r="BY592" s="2872"/>
      <c r="BZ592" s="3449"/>
      <c r="CA592" s="3449"/>
      <c r="CB592" s="3449"/>
      <c r="CC592" s="3452" t="str">
        <f>CD591&amp;"-"&amp;CF591</f>
        <v>44896-45174</v>
      </c>
      <c r="CD592" s="3453"/>
      <c r="CE592" s="2872"/>
      <c r="CF592" s="3453"/>
      <c r="CG592" s="2872"/>
      <c r="CH592" s="3449"/>
      <c r="CI592" s="3449"/>
      <c r="CJ592" s="3449"/>
      <c r="CK592" s="3452" t="str">
        <f>CL591&amp;"-"&amp;CN591</f>
        <v>45175-45291</v>
      </c>
      <c r="CL592" s="3453"/>
      <c r="CM592" s="2872"/>
      <c r="CN592" s="3453"/>
      <c r="CO592" s="2872"/>
      <c r="CP592" s="3449"/>
      <c r="CQ592" s="3747"/>
      <c r="CR592" s="3581"/>
      <c r="CS592" s="3728"/>
      <c r="CT592" s="3728" t="str">
        <f>IF(T592="","",T592)</f>
        <v/>
      </c>
      <c r="CU592" s="3728"/>
      <c r="CV592" s="3728"/>
    </row>
    <row s="11645" customFormat="1" customHeight="1" ht="15">
      <c r="A593" s="3716"/>
      <c r="B593" s="3716"/>
      <c r="C593" s="3716"/>
      <c r="D593" s="3716"/>
      <c r="E593" s="3717"/>
      <c r="F593" s="3717" t="s">
        <v>170</v>
      </c>
      <c r="G593" s="3717"/>
      <c r="H593" s="3717"/>
      <c r="I593" s="3739"/>
      <c r="J593" s="3730"/>
      <c r="K593" s="3716"/>
      <c r="L593" s="3719"/>
      <c r="M593" s="3573"/>
      <c r="N593" s="3573"/>
      <c r="O593" s="3731"/>
      <c r="P593" s="3732"/>
      <c r="Q593" s="3732"/>
      <c r="R593" s="3733"/>
      <c r="S593" s="11646"/>
      <c r="T593" s="11647" t="s">
        <v>626</v>
      </c>
      <c r="U593" s="11648"/>
      <c r="V593" s="11649"/>
      <c r="W593" s="11650"/>
      <c r="X593" s="11651"/>
      <c r="Y593" s="11652"/>
      <c r="Z593" s="11653"/>
      <c r="AA593" s="11654"/>
      <c r="AB593" s="11655"/>
      <c r="AC593" s="11656"/>
      <c r="AD593" s="11657"/>
      <c r="AE593" s="11658"/>
      <c r="AF593" s="11659"/>
      <c r="AG593" s="11660"/>
      <c r="AH593" s="11661"/>
      <c r="AI593" s="11662"/>
      <c r="AJ593" s="11663"/>
      <c r="AK593" s="11664"/>
      <c r="AL593" s="11665"/>
      <c r="AM593" s="11666"/>
      <c r="AN593" s="11667"/>
      <c r="AO593" s="11668"/>
      <c r="AP593" s="11669"/>
      <c r="AQ593" s="11670"/>
      <c r="AR593" s="11671"/>
      <c r="AS593" s="11672"/>
      <c r="AT593" s="11673"/>
      <c r="AU593" s="11674"/>
      <c r="AV593" s="11675"/>
      <c r="AW593" s="11676"/>
      <c r="AX593" s="11677"/>
      <c r="AY593" s="11678"/>
      <c r="AZ593" s="11679"/>
      <c r="BA593" s="11680"/>
      <c r="BB593" s="11681"/>
      <c r="BC593" s="11682"/>
      <c r="BD593" s="11683"/>
      <c r="BE593" s="11684"/>
      <c r="BF593" s="11685"/>
      <c r="BG593" s="11686"/>
      <c r="BH593" s="11687"/>
      <c r="BI593" s="11688"/>
      <c r="BJ593" s="11689"/>
      <c r="BK593" s="11690"/>
      <c r="BL593" s="11691"/>
      <c r="BM593" s="11692"/>
      <c r="BN593" s="11693"/>
      <c r="BO593" s="11694"/>
      <c r="BP593" s="11695"/>
      <c r="BQ593" s="11696"/>
      <c r="BR593" s="11697"/>
      <c r="BS593" s="11698"/>
      <c r="BT593" s="11699"/>
      <c r="BU593" s="11700"/>
      <c r="BV593" s="11701"/>
      <c r="BW593" s="11702"/>
      <c r="BX593" s="11703"/>
      <c r="BY593" s="11704"/>
      <c r="BZ593" s="11705"/>
      <c r="CA593" s="11706"/>
      <c r="CB593" s="11707"/>
      <c r="CC593" s="11708"/>
      <c r="CD593" s="11709"/>
      <c r="CE593" s="11710"/>
      <c r="CF593" s="11711"/>
      <c r="CG593" s="11712"/>
      <c r="CH593" s="11713"/>
      <c r="CI593" s="11714"/>
      <c r="CJ593" s="11715"/>
      <c r="CK593" s="11716"/>
      <c r="CL593" s="11717"/>
      <c r="CM593" s="11718"/>
      <c r="CN593" s="11719"/>
      <c r="CO593" s="11720"/>
      <c r="CP593" s="11721"/>
      <c r="CQ593" s="3825"/>
      <c r="CR593" s="3581"/>
      <c r="CS593" s="3728"/>
      <c r="CT593" s="3728" t="str">
        <f>IF(T593="","",T593)</f>
        <v>Добавить вид теплоносителя (параметры теплоносителя)</v>
      </c>
      <c r="CU593" s="3728"/>
      <c r="CV593" s="3728"/>
    </row>
    <row s="11722" customFormat="1" customHeight="1" ht="15">
      <c r="A594" s="3716"/>
      <c r="B594" s="3716"/>
      <c r="C594" s="3716"/>
      <c r="D594" s="3716"/>
      <c r="E594" s="3717"/>
      <c r="F594" s="3717" t="s">
        <v>170</v>
      </c>
      <c r="G594" s="3717"/>
      <c r="H594" s="3717"/>
      <c r="I594" s="3730"/>
      <c r="J594" s="3716"/>
      <c r="K594" s="3716"/>
      <c r="L594" s="3719"/>
      <c r="M594" s="3573"/>
      <c r="N594" s="3731"/>
      <c r="O594" s="3731"/>
      <c r="P594" s="3732"/>
      <c r="Q594" s="3732"/>
      <c r="R594" s="3733"/>
      <c r="S594" s="11723"/>
      <c r="T594" s="11724" t="s">
        <v>627</v>
      </c>
      <c r="U594" s="11725"/>
      <c r="V594" s="11726"/>
      <c r="W594" s="11727"/>
      <c r="X594" s="11728"/>
      <c r="Y594" s="11729"/>
      <c r="Z594" s="11730"/>
      <c r="AA594" s="11731"/>
      <c r="AB594" s="11732"/>
      <c r="AC594" s="11733"/>
      <c r="AD594" s="11734"/>
      <c r="AE594" s="11735"/>
      <c r="AF594" s="11736"/>
      <c r="AG594" s="11737"/>
      <c r="AH594" s="11738"/>
      <c r="AI594" s="11739"/>
      <c r="AJ594" s="11740"/>
      <c r="AK594" s="11741"/>
      <c r="AL594" s="11742"/>
      <c r="AM594" s="11743"/>
      <c r="AN594" s="11744"/>
      <c r="AO594" s="11745"/>
      <c r="AP594" s="11746"/>
      <c r="AQ594" s="11747"/>
      <c r="AR594" s="11748"/>
      <c r="AS594" s="11749"/>
      <c r="AT594" s="11750"/>
      <c r="AU594" s="11751"/>
      <c r="AV594" s="11752"/>
      <c r="AW594" s="11753"/>
      <c r="AX594" s="11754"/>
      <c r="AY594" s="11755"/>
      <c r="AZ594" s="11756"/>
      <c r="BA594" s="11757"/>
      <c r="BB594" s="11758"/>
      <c r="BC594" s="11759"/>
      <c r="BD594" s="11760"/>
      <c r="BE594" s="11761"/>
      <c r="BF594" s="11762"/>
      <c r="BG594" s="11763"/>
      <c r="BH594" s="11764"/>
      <c r="BI594" s="11765"/>
      <c r="BJ594" s="11766"/>
      <c r="BK594" s="11767"/>
      <c r="BL594" s="11768"/>
      <c r="BM594" s="11769"/>
      <c r="BN594" s="11770"/>
      <c r="BO594" s="11771"/>
      <c r="BP594" s="11772"/>
      <c r="BQ594" s="11773"/>
      <c r="BR594" s="11774"/>
      <c r="BS594" s="11775"/>
      <c r="BT594" s="11776"/>
      <c r="BU594" s="11777"/>
      <c r="BV594" s="11778"/>
      <c r="BW594" s="11779"/>
      <c r="BX594" s="11780"/>
      <c r="BY594" s="11781"/>
      <c r="BZ594" s="11782"/>
      <c r="CA594" s="11783"/>
      <c r="CB594" s="11784"/>
      <c r="CC594" s="11785"/>
      <c r="CD594" s="11786"/>
      <c r="CE594" s="11787"/>
      <c r="CF594" s="11788"/>
      <c r="CG594" s="11789"/>
      <c r="CH594" s="11790"/>
      <c r="CI594" s="11791"/>
      <c r="CJ594" s="11792"/>
      <c r="CK594" s="11793"/>
      <c r="CL594" s="11794"/>
      <c r="CM594" s="11795"/>
      <c r="CN594" s="11796"/>
      <c r="CO594" s="11797"/>
      <c r="CP594" s="11798"/>
      <c r="CQ594" s="11799"/>
      <c r="CR594" s="3581"/>
      <c r="CS594" s="3728"/>
      <c r="CT594" s="3728" t="str">
        <f>IF(T594="","",T594)</f>
        <v>Добавить группу потребителей</v>
      </c>
      <c r="CU594" s="3728"/>
      <c r="CV594" s="3728"/>
    </row>
    <row s="11800" customFormat="1" customHeight="1" ht="14.25">
      <c r="A595" s="3716"/>
      <c r="B595" s="3716"/>
      <c r="C595" s="3716"/>
      <c r="D595" s="3716"/>
      <c r="E595" s="3717"/>
      <c r="F595" s="3717" t="s">
        <v>170</v>
      </c>
      <c r="G595" s="3717"/>
      <c r="H595" s="3718"/>
      <c r="I595" s="3716"/>
      <c r="J595" s="3716"/>
      <c r="K595" s="3716"/>
      <c r="L595" s="3719"/>
      <c r="M595" s="3720"/>
      <c r="N595" s="3720"/>
      <c r="O595" s="3573"/>
      <c r="P595" s="3905"/>
      <c r="Q595" s="3906"/>
      <c r="R595" s="3907"/>
      <c r="S595" s="3908"/>
      <c r="T595" s="3909"/>
      <c r="U595" s="3569"/>
      <c r="V595" s="3569"/>
      <c r="W595" s="3569"/>
      <c r="X595" s="3569"/>
      <c r="Y595" s="3569"/>
      <c r="Z595" s="3569"/>
      <c r="AA595" s="3569"/>
      <c r="AB595" s="3569"/>
      <c r="AC595" s="3569"/>
      <c r="AD595" s="3569"/>
      <c r="AE595" s="3569"/>
      <c r="AF595" s="3569"/>
      <c r="AG595" s="3569"/>
      <c r="AH595" s="3569"/>
      <c r="AI595" s="3569"/>
      <c r="AJ595" s="3569"/>
      <c r="AK595" s="3569"/>
      <c r="AL595" s="3569"/>
      <c r="AM595" s="3569"/>
      <c r="AN595" s="3569"/>
      <c r="AO595" s="3569"/>
      <c r="AP595" s="3569"/>
      <c r="AQ595" s="3569"/>
      <c r="AR595" s="3569"/>
      <c r="AS595" s="3569"/>
      <c r="AT595" s="3569"/>
      <c r="AU595" s="3569"/>
      <c r="AV595" s="3569"/>
      <c r="AW595" s="3569"/>
      <c r="AX595" s="3569"/>
      <c r="AY595" s="3569"/>
      <c r="AZ595" s="3569"/>
      <c r="BA595" s="3569"/>
      <c r="BB595" s="3569"/>
      <c r="BC595" s="3569"/>
      <c r="BD595" s="3569"/>
      <c r="BE595" s="3569"/>
      <c r="BF595" s="3569"/>
      <c r="BG595" s="3569"/>
      <c r="BH595" s="3569"/>
      <c r="BI595" s="3569"/>
      <c r="BJ595" s="3569"/>
      <c r="BK595" s="3569"/>
      <c r="BL595" s="3569"/>
      <c r="BM595" s="3569"/>
      <c r="BN595" s="3569"/>
      <c r="BO595" s="3569"/>
      <c r="BP595" s="3569"/>
      <c r="BQ595" s="3569"/>
      <c r="BR595" s="3569"/>
      <c r="BS595" s="3569"/>
      <c r="BT595" s="3569"/>
      <c r="BU595" s="3569"/>
      <c r="BV595" s="3569"/>
      <c r="BW595" s="3569"/>
      <c r="BX595" s="3569"/>
      <c r="BY595" s="3569"/>
      <c r="BZ595" s="3569"/>
      <c r="CA595" s="3569"/>
      <c r="CB595" s="3569"/>
      <c r="CC595" s="3569"/>
      <c r="CD595" s="3569"/>
      <c r="CE595" s="3569"/>
      <c r="CF595" s="3569"/>
      <c r="CG595" s="3569"/>
      <c r="CH595" s="3569"/>
      <c r="CI595" s="3569"/>
      <c r="CJ595" s="3569"/>
      <c r="CK595" s="3569"/>
      <c r="CL595" s="3569"/>
      <c r="CM595" s="3569"/>
      <c r="CN595" s="3569"/>
      <c r="CO595" s="3569"/>
      <c r="CP595" s="3569"/>
      <c r="CQ595" s="3910"/>
      <c r="CR595" s="3581"/>
      <c r="CS595" s="3728"/>
      <c r="CT595" s="3728" t="str">
        <f>IF(T595="","",T595)</f>
        <v/>
      </c>
      <c r="CU595" s="3728"/>
      <c r="CV595" s="3728"/>
    </row>
    <row s="11801" customFormat="1" customHeight="1" ht="0.75">
      <c r="A596" s="4239"/>
      <c r="B596" s="4239"/>
      <c r="C596" s="4239"/>
      <c r="D596" s="4239"/>
      <c r="E596" s="3717"/>
      <c r="F596" s="3717" t="s">
        <v>170</v>
      </c>
      <c r="G596" s="3718"/>
      <c r="H596" s="4239"/>
      <c r="I596" s="4239"/>
      <c r="J596" s="4239"/>
      <c r="K596" s="4239"/>
      <c r="L596" s="4240"/>
      <c r="M596" s="4241"/>
      <c r="N596" s="4241"/>
      <c r="O596" s="3581"/>
      <c r="P596" s="4242"/>
      <c r="Q596" s="4243"/>
      <c r="R596" s="4242"/>
      <c r="S596" s="4244"/>
      <c r="T596" s="4245" t="s">
        <v>254</v>
      </c>
      <c r="U596" s="3571"/>
      <c r="V596" s="3571"/>
      <c r="W596" s="3571"/>
      <c r="X596" s="3571"/>
      <c r="Y596" s="3571"/>
      <c r="Z596" s="3571"/>
      <c r="AA596" s="3571"/>
      <c r="AB596" s="3571"/>
      <c r="AC596" s="3571"/>
      <c r="AD596" s="3571"/>
      <c r="AE596" s="3571"/>
      <c r="AF596" s="3571"/>
      <c r="AG596" s="3571"/>
      <c r="AH596" s="3571"/>
      <c r="AI596" s="3571"/>
      <c r="AJ596" s="3571"/>
      <c r="AK596" s="3571"/>
      <c r="AL596" s="3571"/>
      <c r="AM596" s="3571"/>
      <c r="AN596" s="3571"/>
      <c r="AO596" s="3571"/>
      <c r="AP596" s="3571"/>
      <c r="AQ596" s="3571"/>
      <c r="AR596" s="3571"/>
      <c r="AS596" s="3571"/>
      <c r="AT596" s="3571"/>
      <c r="AU596" s="3571"/>
      <c r="AV596" s="3571"/>
      <c r="AW596" s="3571"/>
      <c r="AX596" s="3571"/>
      <c r="AY596" s="3571"/>
      <c r="AZ596" s="3571"/>
      <c r="BA596" s="3571"/>
      <c r="BB596" s="3571"/>
      <c r="BC596" s="3571"/>
      <c r="BD596" s="3571"/>
      <c r="BE596" s="3571"/>
      <c r="BF596" s="3571"/>
      <c r="BG596" s="3571"/>
      <c r="BH596" s="3571"/>
      <c r="BI596" s="3571"/>
      <c r="BJ596" s="3571"/>
      <c r="BK596" s="3571"/>
      <c r="BL596" s="3571"/>
      <c r="BM596" s="3571"/>
      <c r="BN596" s="3571"/>
      <c r="BO596" s="3571"/>
      <c r="BP596" s="3571"/>
      <c r="BQ596" s="3571"/>
      <c r="BR596" s="3571"/>
      <c r="BS596" s="3571"/>
      <c r="BT596" s="3571"/>
      <c r="BU596" s="3571"/>
      <c r="BV596" s="3571"/>
      <c r="BW596" s="3571"/>
      <c r="BX596" s="3571"/>
      <c r="BY596" s="3571"/>
      <c r="BZ596" s="3571"/>
      <c r="CA596" s="3571"/>
      <c r="CB596" s="3571"/>
      <c r="CC596" s="3571"/>
      <c r="CD596" s="3571"/>
      <c r="CE596" s="3571"/>
      <c r="CF596" s="3571"/>
      <c r="CG596" s="3571"/>
      <c r="CH596" s="3571"/>
      <c r="CI596" s="3571"/>
      <c r="CJ596" s="3571"/>
      <c r="CK596" s="3571"/>
      <c r="CL596" s="3571"/>
      <c r="CM596" s="3571"/>
      <c r="CN596" s="3571"/>
      <c r="CO596" s="3571"/>
      <c r="CP596" s="3571"/>
      <c r="CQ596" s="3571"/>
      <c r="CR596" s="3581"/>
      <c r="CS596" s="3728"/>
      <c r="CT596" s="3728" t="str">
        <f>IF(T596="","",T596)</f>
        <v>Добавить источник для дифференциации</v>
      </c>
      <c r="CU596" s="3728"/>
      <c r="CV596" s="3728"/>
    </row>
    <row s="11802" customFormat="1" customHeight="1" ht="0.75">
      <c r="A597" s="4239"/>
      <c r="B597" s="4239"/>
      <c r="C597" s="4239"/>
      <c r="D597" s="4239"/>
      <c r="E597" s="3717"/>
      <c r="F597" s="3718" t="s">
        <v>170</v>
      </c>
      <c r="G597" s="4239"/>
      <c r="H597" s="4239"/>
      <c r="I597" s="4239"/>
      <c r="J597" s="4239"/>
      <c r="K597" s="4239"/>
      <c r="L597" s="4240"/>
      <c r="M597" s="4247"/>
      <c r="N597" s="4247"/>
      <c r="O597" s="3581"/>
      <c r="P597" s="4242"/>
      <c r="Q597" s="4243"/>
      <c r="R597" s="4242"/>
      <c r="S597" s="4248"/>
      <c r="T597" s="4249" t="s">
        <v>255</v>
      </c>
      <c r="U597" s="3572"/>
      <c r="V597" s="3572"/>
      <c r="W597" s="3572"/>
      <c r="X597" s="3572"/>
      <c r="Y597" s="3572"/>
      <c r="Z597" s="3572"/>
      <c r="AA597" s="3572"/>
      <c r="AB597" s="3572"/>
      <c r="AC597" s="3572"/>
      <c r="AD597" s="3572"/>
      <c r="AE597" s="3572"/>
      <c r="AF597" s="3572"/>
      <c r="AG597" s="3572"/>
      <c r="AH597" s="3572"/>
      <c r="AI597" s="3572"/>
      <c r="AJ597" s="3572"/>
      <c r="AK597" s="3572"/>
      <c r="AL597" s="3572"/>
      <c r="AM597" s="3572"/>
      <c r="AN597" s="3572"/>
      <c r="AO597" s="3572"/>
      <c r="AP597" s="3572"/>
      <c r="AQ597" s="3572"/>
      <c r="AR597" s="3572"/>
      <c r="AS597" s="3572"/>
      <c r="AT597" s="3572"/>
      <c r="AU597" s="3572"/>
      <c r="AV597" s="3572"/>
      <c r="AW597" s="3572"/>
      <c r="AX597" s="3572"/>
      <c r="AY597" s="3572"/>
      <c r="AZ597" s="3572"/>
      <c r="BA597" s="3572"/>
      <c r="BB597" s="3572"/>
      <c r="BC597" s="3572"/>
      <c r="BD597" s="3572"/>
      <c r="BE597" s="3572"/>
      <c r="BF597" s="3572"/>
      <c r="BG597" s="3572"/>
      <c r="BH597" s="3572"/>
      <c r="BI597" s="3572"/>
      <c r="BJ597" s="3572"/>
      <c r="BK597" s="3572"/>
      <c r="BL597" s="3572"/>
      <c r="BM597" s="3572"/>
      <c r="BN597" s="3572"/>
      <c r="BO597" s="3572"/>
      <c r="BP597" s="3572"/>
      <c r="BQ597" s="3572"/>
      <c r="BR597" s="3572"/>
      <c r="BS597" s="3572"/>
      <c r="BT597" s="3572"/>
      <c r="BU597" s="3572"/>
      <c r="BV597" s="3572"/>
      <c r="BW597" s="3572"/>
      <c r="BX597" s="3572"/>
      <c r="BY597" s="3572"/>
      <c r="BZ597" s="3572"/>
      <c r="CA597" s="3572"/>
      <c r="CB597" s="3572"/>
      <c r="CC597" s="3572"/>
      <c r="CD597" s="3572"/>
      <c r="CE597" s="3572"/>
      <c r="CF597" s="3572"/>
      <c r="CG597" s="3572"/>
      <c r="CH597" s="3572"/>
      <c r="CI597" s="3572"/>
      <c r="CJ597" s="3572"/>
      <c r="CK597" s="3572"/>
      <c r="CL597" s="3572"/>
      <c r="CM597" s="3572"/>
      <c r="CN597" s="3572"/>
      <c r="CO597" s="3572"/>
      <c r="CP597" s="3572"/>
      <c r="CQ597" s="3572"/>
      <c r="CR597" s="3581"/>
      <c r="CS597" s="3728"/>
      <c r="CT597" s="3728" t="str">
        <f>IF(T597="","",T597)</f>
        <v>Добавить централизованную систему для дифференциации</v>
      </c>
      <c r="CU597" s="3728"/>
      <c r="CV597" s="3728"/>
    </row>
    <row s="11803" customFormat="1" customHeight="1" ht="21">
      <c r="A598" s="3716"/>
      <c r="B598" s="3716" t="s">
        <v>392</v>
      </c>
      <c r="C598" s="3716"/>
      <c r="D598" s="3716"/>
      <c r="E598" s="3717"/>
      <c r="F598" s="3718" t="s">
        <v>180</v>
      </c>
      <c r="G598" s="3716"/>
      <c r="H598" s="3716"/>
      <c r="I598" s="3716"/>
      <c r="J598" s="3716"/>
      <c r="K598" s="3716"/>
      <c r="L598" s="3719"/>
      <c r="M598" s="3720"/>
      <c r="N598" s="3720"/>
      <c r="O598" s="3720"/>
      <c r="P598" s="4073"/>
      <c r="Q598" s="3722"/>
      <c r="R598" s="3723"/>
      <c r="S598" s="3724" t="str">
        <f>INDEX(PT_DIFFERENTIATION_NUM_TER,MATCH(B598,PT_DIFFERENTIATION_TER_ID,0))</f>
        <v>2.19</v>
      </c>
      <c r="T598" s="4074" t="s">
        <v>612</v>
      </c>
      <c r="U598" s="3726"/>
      <c r="V598" s="3432"/>
      <c r="W598" s="3433"/>
      <c r="X598" s="3433"/>
      <c r="Y598" s="3433"/>
      <c r="Z598" s="3433"/>
      <c r="AA598" s="3433"/>
      <c r="AB598" s="3433"/>
      <c r="AC598" s="3434"/>
      <c r="AD598" s="3432" t="str">
        <f>INDEX(PT_DIFFERENTIATION_TER,MATCH(B598,PT_DIFFERENTIATION_TER_ID,0))</f>
        <v>Территория 19</v>
      </c>
      <c r="AE598" s="3433"/>
      <c r="AF598" s="3433"/>
      <c r="AG598" s="3433"/>
      <c r="AH598" s="3433"/>
      <c r="AI598" s="3433"/>
      <c r="AJ598" s="3433"/>
      <c r="AK598" s="3433"/>
      <c r="AL598" s="3432"/>
      <c r="AM598" s="3433"/>
      <c r="AN598" s="3433"/>
      <c r="AO598" s="3433"/>
      <c r="AP598" s="3433"/>
      <c r="AQ598" s="3433"/>
      <c r="AR598" s="3433"/>
      <c r="AS598" s="3434"/>
      <c r="AT598" s="3432"/>
      <c r="AU598" s="3433"/>
      <c r="AV598" s="3433"/>
      <c r="AW598" s="3433"/>
      <c r="AX598" s="3433"/>
      <c r="AY598" s="3433"/>
      <c r="AZ598" s="3433"/>
      <c r="BA598" s="3434"/>
      <c r="BB598" s="3432"/>
      <c r="BC598" s="3433"/>
      <c r="BD598" s="3433"/>
      <c r="BE598" s="3433"/>
      <c r="BF598" s="3433"/>
      <c r="BG598" s="3433"/>
      <c r="BH598" s="3433"/>
      <c r="BI598" s="3434"/>
      <c r="BJ598" s="3432"/>
      <c r="BK598" s="3433"/>
      <c r="BL598" s="3433"/>
      <c r="BM598" s="3433"/>
      <c r="BN598" s="3433"/>
      <c r="BO598" s="3433"/>
      <c r="BP598" s="3433"/>
      <c r="BQ598" s="3434"/>
      <c r="BR598" s="3432"/>
      <c r="BS598" s="3433"/>
      <c r="BT598" s="3433"/>
      <c r="BU598" s="3433"/>
      <c r="BV598" s="3433"/>
      <c r="BW598" s="3433"/>
      <c r="BX598" s="3433"/>
      <c r="BY598" s="3434"/>
      <c r="BZ598" s="3432"/>
      <c r="CA598" s="3433"/>
      <c r="CB598" s="3433"/>
      <c r="CC598" s="3433"/>
      <c r="CD598" s="3433"/>
      <c r="CE598" s="3433"/>
      <c r="CF598" s="3433"/>
      <c r="CG598" s="3434"/>
      <c r="CH598" s="3432"/>
      <c r="CI598" s="3433"/>
      <c r="CJ598" s="3433"/>
      <c r="CK598" s="3433"/>
      <c r="CL598" s="3433"/>
      <c r="CM598" s="3433"/>
      <c r="CN598" s="3433"/>
      <c r="CO598" s="3434"/>
      <c r="CP598" s="3434"/>
      <c r="CQ598" s="3727" t="s">
        <v>613</v>
      </c>
      <c r="CR598" s="3581"/>
      <c r="CS598" s="3728"/>
      <c r="CT598" s="3728" t="str">
        <f>IF(T598="","",T598)</f>
        <v>Территория действия тарифа</v>
      </c>
      <c r="CU598" s="3728"/>
      <c r="CV598" s="3728"/>
    </row>
    <row s="11804" customFormat="1" customHeight="1" ht="23.25">
      <c r="A599" s="3716"/>
      <c r="B599" s="3716"/>
      <c r="C599" s="3716" t="s">
        <v>393</v>
      </c>
      <c r="D599" s="3716"/>
      <c r="E599" s="3717"/>
      <c r="F599" s="3717" t="s">
        <v>175</v>
      </c>
      <c r="G599" s="3718">
        <v>1</v>
      </c>
      <c r="H599" s="3716"/>
      <c r="I599" s="3716"/>
      <c r="J599" s="3716"/>
      <c r="K599" s="3716"/>
      <c r="L599" s="3719"/>
      <c r="M599" s="3720"/>
      <c r="N599" s="3720"/>
      <c r="O599" s="3720"/>
      <c r="P599" s="3721"/>
      <c r="Q599" s="3722"/>
      <c r="R599" s="3723"/>
      <c r="S599" s="3724" t="str">
        <f>INDEX(PT_DIFFERENTIATION_NUM_CS,MATCH(C599,PT_DIFFERENTIATION_CS_ID,0))</f>
        <v>2.19.1</v>
      </c>
      <c r="T599" s="4076" t="s">
        <v>614</v>
      </c>
      <c r="U599" s="3726"/>
      <c r="V599" s="3432"/>
      <c r="W599" s="3433"/>
      <c r="X599" s="3433"/>
      <c r="Y599" s="3433"/>
      <c r="Z599" s="3433"/>
      <c r="AA599" s="3433"/>
      <c r="AB599" s="3433"/>
      <c r="AC599" s="3434"/>
      <c r="AD599" s="3432" t="str">
        <f>INDEX(PT_DIFFERENTIATION_CS,MATCH(C599,PT_DIFFERENTIATION_CS_ID,0))</f>
        <v>без дифференциации</v>
      </c>
      <c r="AE599" s="3433"/>
      <c r="AF599" s="3433"/>
      <c r="AG599" s="3433"/>
      <c r="AH599" s="3433"/>
      <c r="AI599" s="3433"/>
      <c r="AJ599" s="3433"/>
      <c r="AK599" s="3433"/>
      <c r="AL599" s="3432"/>
      <c r="AM599" s="3433"/>
      <c r="AN599" s="3433"/>
      <c r="AO599" s="3433"/>
      <c r="AP599" s="3433"/>
      <c r="AQ599" s="3433"/>
      <c r="AR599" s="3433"/>
      <c r="AS599" s="3434"/>
      <c r="AT599" s="3432"/>
      <c r="AU599" s="3433"/>
      <c r="AV599" s="3433"/>
      <c r="AW599" s="3433"/>
      <c r="AX599" s="3433"/>
      <c r="AY599" s="3433"/>
      <c r="AZ599" s="3433"/>
      <c r="BA599" s="3434"/>
      <c r="BB599" s="3432"/>
      <c r="BC599" s="3433"/>
      <c r="BD599" s="3433"/>
      <c r="BE599" s="3433"/>
      <c r="BF599" s="3433"/>
      <c r="BG599" s="3433"/>
      <c r="BH599" s="3433"/>
      <c r="BI599" s="3434"/>
      <c r="BJ599" s="3432"/>
      <c r="BK599" s="3433"/>
      <c r="BL599" s="3433"/>
      <c r="BM599" s="3433"/>
      <c r="BN599" s="3433"/>
      <c r="BO599" s="3433"/>
      <c r="BP599" s="3433"/>
      <c r="BQ599" s="3434"/>
      <c r="BR599" s="3432"/>
      <c r="BS599" s="3433"/>
      <c r="BT599" s="3433"/>
      <c r="BU599" s="3433"/>
      <c r="BV599" s="3433"/>
      <c r="BW599" s="3433"/>
      <c r="BX599" s="3433"/>
      <c r="BY599" s="3434"/>
      <c r="BZ599" s="3432"/>
      <c r="CA599" s="3433"/>
      <c r="CB599" s="3433"/>
      <c r="CC599" s="3433"/>
      <c r="CD599" s="3433"/>
      <c r="CE599" s="3433"/>
      <c r="CF599" s="3433"/>
      <c r="CG599" s="3434"/>
      <c r="CH599" s="3432"/>
      <c r="CI599" s="3433"/>
      <c r="CJ599" s="3433"/>
      <c r="CK599" s="3433"/>
      <c r="CL599" s="3433"/>
      <c r="CM599" s="3433"/>
      <c r="CN599" s="3433"/>
      <c r="CO599" s="3434"/>
      <c r="CP599" s="3434"/>
      <c r="CQ599" s="3727" t="s">
        <v>615</v>
      </c>
      <c r="CR599" s="3581"/>
      <c r="CS599" s="3728"/>
      <c r="CT599" s="3728" t="str">
        <f>IF(T599="","",T599)</f>
        <v>Наименование системы теплоснабжения </v>
      </c>
      <c r="CU599" s="3728"/>
      <c r="CV599" s="3728"/>
    </row>
    <row s="11805" customFormat="1" customHeight="1" ht="21">
      <c r="A600" s="3716"/>
      <c r="B600" s="3716"/>
      <c r="C600" s="3716"/>
      <c r="D600" s="3716" t="s">
        <v>394</v>
      </c>
      <c r="E600" s="3717"/>
      <c r="F600" s="3717" t="s">
        <v>175</v>
      </c>
      <c r="G600" s="3717"/>
      <c r="H600" s="3718">
        <v>1</v>
      </c>
      <c r="I600" s="3716"/>
      <c r="J600" s="3716"/>
      <c r="K600" s="3716"/>
      <c r="L600" s="3719"/>
      <c r="M600" s="3720"/>
      <c r="N600" s="3720"/>
      <c r="O600" s="3720"/>
      <c r="P600" s="3721"/>
      <c r="Q600" s="3722"/>
      <c r="R600" s="3723"/>
      <c r="S600" s="3724" t="str">
        <f>INDEX(PT_DIFFERENTIATION_NUM_IST_TE,MATCH(D600,PT_DIFFERENTIATION_IST_TE_ID,0))</f>
        <v>2.19.1.1</v>
      </c>
      <c r="T600" s="3725" t="s">
        <v>616</v>
      </c>
      <c r="U600" s="3726"/>
      <c r="V600" s="3432"/>
      <c r="W600" s="3433"/>
      <c r="X600" s="3433"/>
      <c r="Y600" s="3433"/>
      <c r="Z600" s="3433"/>
      <c r="AA600" s="3433"/>
      <c r="AB600" s="3433"/>
      <c r="AC600" s="3434"/>
      <c r="AD600" s="3432" t="str">
        <f>INDEX(PT_DIFFERENTIATION_IST_TE,MATCH(D600,PT_DIFFERENTIATION_IST_TE_ID,0))</f>
        <v>без дифференциации</v>
      </c>
      <c r="AE600" s="3433"/>
      <c r="AF600" s="3433"/>
      <c r="AG600" s="3433"/>
      <c r="AH600" s="3433"/>
      <c r="AI600" s="3433"/>
      <c r="AJ600" s="3433"/>
      <c r="AK600" s="3433"/>
      <c r="AL600" s="3432"/>
      <c r="AM600" s="3433"/>
      <c r="AN600" s="3433"/>
      <c r="AO600" s="3433"/>
      <c r="AP600" s="3433"/>
      <c r="AQ600" s="3433"/>
      <c r="AR600" s="3433"/>
      <c r="AS600" s="3434"/>
      <c r="AT600" s="3432"/>
      <c r="AU600" s="3433"/>
      <c r="AV600" s="3433"/>
      <c r="AW600" s="3433"/>
      <c r="AX600" s="3433"/>
      <c r="AY600" s="3433"/>
      <c r="AZ600" s="3433"/>
      <c r="BA600" s="3434"/>
      <c r="BB600" s="3432"/>
      <c r="BC600" s="3433"/>
      <c r="BD600" s="3433"/>
      <c r="BE600" s="3433"/>
      <c r="BF600" s="3433"/>
      <c r="BG600" s="3433"/>
      <c r="BH600" s="3433"/>
      <c r="BI600" s="3434"/>
      <c r="BJ600" s="3432"/>
      <c r="BK600" s="3433"/>
      <c r="BL600" s="3433"/>
      <c r="BM600" s="3433"/>
      <c r="BN600" s="3433"/>
      <c r="BO600" s="3433"/>
      <c r="BP600" s="3433"/>
      <c r="BQ600" s="3434"/>
      <c r="BR600" s="3432"/>
      <c r="BS600" s="3433"/>
      <c r="BT600" s="3433"/>
      <c r="BU600" s="3433"/>
      <c r="BV600" s="3433"/>
      <c r="BW600" s="3433"/>
      <c r="BX600" s="3433"/>
      <c r="BY600" s="3434"/>
      <c r="BZ600" s="3432"/>
      <c r="CA600" s="3433"/>
      <c r="CB600" s="3433"/>
      <c r="CC600" s="3433"/>
      <c r="CD600" s="3433"/>
      <c r="CE600" s="3433"/>
      <c r="CF600" s="3433"/>
      <c r="CG600" s="3434"/>
      <c r="CH600" s="3432"/>
      <c r="CI600" s="3433"/>
      <c r="CJ600" s="3433"/>
      <c r="CK600" s="3433"/>
      <c r="CL600" s="3433"/>
      <c r="CM600" s="3433"/>
      <c r="CN600" s="3433"/>
      <c r="CO600" s="3434"/>
      <c r="CP600" s="3434"/>
      <c r="CQ600" s="3727" t="s">
        <v>617</v>
      </c>
      <c r="CR600" s="3581"/>
      <c r="CS600" s="3728"/>
      <c r="CT600" s="3728" t="str">
        <f>IF(T600="","",T600)</f>
        <v>Источник тепловой энергии  </v>
      </c>
      <c r="CU600" s="3728"/>
      <c r="CV600" s="3728"/>
    </row>
    <row s="11806" customFormat="1" customHeight="1" ht="14.25">
      <c r="A601" s="3716"/>
      <c r="B601" s="3716"/>
      <c r="C601" s="3716"/>
      <c r="D601" s="3716"/>
      <c r="E601" s="3717"/>
      <c r="F601" s="3717" t="s">
        <v>175</v>
      </c>
      <c r="G601" s="3717"/>
      <c r="H601" s="3717"/>
      <c r="I601" s="3730" t="str">
        <f>S600&amp;".1"</f>
        <v>2.19.1.1.1</v>
      </c>
      <c r="J601" s="3716"/>
      <c r="K601" s="3716"/>
      <c r="L601" s="3719" t="s">
        <v>618</v>
      </c>
      <c r="M601" s="3573"/>
      <c r="N601" s="3731"/>
      <c r="O601" s="3731"/>
      <c r="P601" s="3732">
        <v>1</v>
      </c>
      <c r="Q601" s="3732"/>
      <c r="R601" s="3733"/>
      <c r="S601" s="3734"/>
      <c r="T601" s="3735"/>
      <c r="U601" s="3736"/>
      <c r="V601" s="3441"/>
      <c r="W601" s="3442"/>
      <c r="X601" s="3442"/>
      <c r="Y601" s="3442"/>
      <c r="Z601" s="3442"/>
      <c r="AA601" s="3442"/>
      <c r="AB601" s="3442"/>
      <c r="AC601" s="3443"/>
      <c r="AD601" s="3441"/>
      <c r="AE601" s="3442"/>
      <c r="AF601" s="3442"/>
      <c r="AG601" s="3442"/>
      <c r="AH601" s="3442"/>
      <c r="AI601" s="3442"/>
      <c r="AJ601" s="3442"/>
      <c r="AK601" s="3442"/>
      <c r="AL601" s="3441"/>
      <c r="AM601" s="3442"/>
      <c r="AN601" s="3442"/>
      <c r="AO601" s="3442"/>
      <c r="AP601" s="3442"/>
      <c r="AQ601" s="3442"/>
      <c r="AR601" s="3442"/>
      <c r="AS601" s="3443"/>
      <c r="AT601" s="3441"/>
      <c r="AU601" s="3442"/>
      <c r="AV601" s="3442"/>
      <c r="AW601" s="3442"/>
      <c r="AX601" s="3442"/>
      <c r="AY601" s="3442"/>
      <c r="AZ601" s="3442"/>
      <c r="BA601" s="3443"/>
      <c r="BB601" s="3441"/>
      <c r="BC601" s="3442"/>
      <c r="BD601" s="3442"/>
      <c r="BE601" s="3442"/>
      <c r="BF601" s="3442"/>
      <c r="BG601" s="3442"/>
      <c r="BH601" s="3442"/>
      <c r="BI601" s="3443"/>
      <c r="BJ601" s="3441"/>
      <c r="BK601" s="3442"/>
      <c r="BL601" s="3442"/>
      <c r="BM601" s="3442"/>
      <c r="BN601" s="3442"/>
      <c r="BO601" s="3442"/>
      <c r="BP601" s="3442"/>
      <c r="BQ601" s="3443"/>
      <c r="BR601" s="3441"/>
      <c r="BS601" s="3442"/>
      <c r="BT601" s="3442"/>
      <c r="BU601" s="3442"/>
      <c r="BV601" s="3442"/>
      <c r="BW601" s="3442"/>
      <c r="BX601" s="3442"/>
      <c r="BY601" s="3443"/>
      <c r="BZ601" s="3441"/>
      <c r="CA601" s="3442"/>
      <c r="CB601" s="3442"/>
      <c r="CC601" s="3442"/>
      <c r="CD601" s="3442"/>
      <c r="CE601" s="3442"/>
      <c r="CF601" s="3442"/>
      <c r="CG601" s="3443"/>
      <c r="CH601" s="3441"/>
      <c r="CI601" s="3442"/>
      <c r="CJ601" s="3442"/>
      <c r="CK601" s="3442"/>
      <c r="CL601" s="3442"/>
      <c r="CM601" s="3442"/>
      <c r="CN601" s="3442"/>
      <c r="CO601" s="3443"/>
      <c r="CP601" s="3443"/>
      <c r="CQ601" s="3737"/>
      <c r="CR601" s="3581"/>
      <c r="CS601" s="3728"/>
      <c r="CT601" s="3728" t="str">
        <f>IF(T601="","",T601)</f>
        <v/>
      </c>
      <c r="CU601" s="3728"/>
      <c r="CV601" s="3728"/>
    </row>
    <row s="11807" customFormat="1" customHeight="1" ht="21">
      <c r="A602" s="3716"/>
      <c r="B602" s="3716"/>
      <c r="C602" s="3716"/>
      <c r="D602" s="3716"/>
      <c r="E602" s="3717"/>
      <c r="F602" s="3717" t="s">
        <v>175</v>
      </c>
      <c r="G602" s="3717"/>
      <c r="H602" s="3717"/>
      <c r="I602" s="3739"/>
      <c r="J602" s="3730" t="str">
        <f>I601&amp;".1"</f>
        <v>2.19.1.1.1.1</v>
      </c>
      <c r="K602" s="3716"/>
      <c r="L602" s="3719" t="s">
        <v>621</v>
      </c>
      <c r="M602" s="3573"/>
      <c r="N602" s="3573"/>
      <c r="O602" s="3731"/>
      <c r="P602" s="3732"/>
      <c r="Q602" s="3732">
        <v>1</v>
      </c>
      <c r="R602" s="3740"/>
      <c r="S602" s="3724" t="str">
        <f>$J602</f>
        <v>2.19.1.1.1.1</v>
      </c>
      <c r="T602" s="3741" t="s">
        <v>622</v>
      </c>
      <c r="U602" s="3726"/>
      <c r="V602" s="3445"/>
      <c r="W602" s="3446"/>
      <c r="X602" s="3446"/>
      <c r="Y602" s="3446"/>
      <c r="Z602" s="3446"/>
      <c r="AA602" s="3446"/>
      <c r="AB602" s="3446"/>
      <c r="AC602" s="3447"/>
      <c r="AD602" s="3445" t="s">
        <v>665</v>
      </c>
      <c r="AE602" s="3446"/>
      <c r="AF602" s="3446"/>
      <c r="AG602" s="3446"/>
      <c r="AH602" s="3446"/>
      <c r="AI602" s="3446"/>
      <c r="AJ602" s="3446"/>
      <c r="AK602" s="3446"/>
      <c r="AL602" s="3445"/>
      <c r="AM602" s="3446"/>
      <c r="AN602" s="3446"/>
      <c r="AO602" s="3446"/>
      <c r="AP602" s="3446"/>
      <c r="AQ602" s="3446"/>
      <c r="AR602" s="3446"/>
      <c r="AS602" s="3447"/>
      <c r="AT602" s="3445"/>
      <c r="AU602" s="3446"/>
      <c r="AV602" s="3446"/>
      <c r="AW602" s="3446"/>
      <c r="AX602" s="3446"/>
      <c r="AY602" s="3446"/>
      <c r="AZ602" s="3446"/>
      <c r="BA602" s="3447"/>
      <c r="BB602" s="3445"/>
      <c r="BC602" s="3446"/>
      <c r="BD602" s="3446"/>
      <c r="BE602" s="3446"/>
      <c r="BF602" s="3446"/>
      <c r="BG602" s="3446"/>
      <c r="BH602" s="3446"/>
      <c r="BI602" s="3447"/>
      <c r="BJ602" s="3445"/>
      <c r="BK602" s="3446"/>
      <c r="BL602" s="3446"/>
      <c r="BM602" s="3446"/>
      <c r="BN602" s="3446"/>
      <c r="BO602" s="3446"/>
      <c r="BP602" s="3446"/>
      <c r="BQ602" s="3447"/>
      <c r="BR602" s="3445"/>
      <c r="BS602" s="3446"/>
      <c r="BT602" s="3446"/>
      <c r="BU602" s="3446"/>
      <c r="BV602" s="3446"/>
      <c r="BW602" s="3446"/>
      <c r="BX602" s="3446"/>
      <c r="BY602" s="3447"/>
      <c r="BZ602" s="3445"/>
      <c r="CA602" s="3446"/>
      <c r="CB602" s="3446"/>
      <c r="CC602" s="3446"/>
      <c r="CD602" s="3446"/>
      <c r="CE602" s="3446"/>
      <c r="CF602" s="3446"/>
      <c r="CG602" s="3447"/>
      <c r="CH602" s="3445"/>
      <c r="CI602" s="3446"/>
      <c r="CJ602" s="3446"/>
      <c r="CK602" s="3446"/>
      <c r="CL602" s="3446"/>
      <c r="CM602" s="3446"/>
      <c r="CN602" s="3446"/>
      <c r="CO602" s="3447"/>
      <c r="CP602" s="3447"/>
      <c r="CQ602" s="3727" t="s">
        <v>623</v>
      </c>
      <c r="CR602" s="3581"/>
      <c r="CS602" s="3728"/>
      <c r="CT602" s="3728" t="str">
        <f>IF(T602="","",T602)</f>
        <v>Группа потребителей</v>
      </c>
      <c r="CU602" s="3728"/>
      <c r="CV602" s="3728"/>
    </row>
    <row s="11808" customFormat="1" customHeight="1" ht="21">
      <c r="A603" s="3716"/>
      <c r="B603" s="3716"/>
      <c r="C603" s="3716"/>
      <c r="D603" s="3716"/>
      <c r="E603" s="3717"/>
      <c r="F603" s="3717" t="s">
        <v>175</v>
      </c>
      <c r="G603" s="3717"/>
      <c r="H603" s="3717"/>
      <c r="I603" s="3739"/>
      <c r="J603" s="3739"/>
      <c r="K603" s="3730" t="str">
        <f>J602&amp;".1"</f>
        <v>2.19.1.1.1.1.1</v>
      </c>
      <c r="L603" s="3719" t="s">
        <v>624</v>
      </c>
      <c r="M603" s="3573"/>
      <c r="N603" s="3573"/>
      <c r="O603" s="3573"/>
      <c r="P603" s="3732"/>
      <c r="Q603" s="3732"/>
      <c r="R603" s="3740">
        <v>1</v>
      </c>
      <c r="S603" s="3724" t="str">
        <f>$K603</f>
        <v>2.19.1.1.1.1.1</v>
      </c>
      <c r="T603" s="3743" t="s">
        <v>663</v>
      </c>
      <c r="U603" s="3726"/>
      <c r="V603" s="3448"/>
      <c r="W603" s="3449"/>
      <c r="X603" s="3448"/>
      <c r="Y603" s="3450"/>
      <c r="Z603" s="3451"/>
      <c r="AA603" s="2872" t="s">
        <v>63</v>
      </c>
      <c r="AB603" s="3451"/>
      <c r="AC603" s="2872" t="s">
        <v>63</v>
      </c>
      <c r="AD603" s="3448">
        <v>42.13</v>
      </c>
      <c r="AE603" s="3449"/>
      <c r="AF603" s="3448"/>
      <c r="AG603" s="3450"/>
      <c r="AH603" s="3451">
        <v>44197</v>
      </c>
      <c r="AI603" s="2872" t="s">
        <v>63</v>
      </c>
      <c r="AJ603" s="3451">
        <v>44377</v>
      </c>
      <c r="AK603" s="2872" t="s">
        <v>63</v>
      </c>
      <c r="AL603" s="3448">
        <v>43.43</v>
      </c>
      <c r="AM603" s="3449"/>
      <c r="AN603" s="3448"/>
      <c r="AO603" s="3450"/>
      <c r="AP603" s="3451">
        <v>44378</v>
      </c>
      <c r="AQ603" s="2872" t="s">
        <v>63</v>
      </c>
      <c r="AR603" s="3451">
        <v>44561</v>
      </c>
      <c r="AS603" s="2872" t="s">
        <v>63</v>
      </c>
      <c r="AT603" s="3448">
        <v>43.43</v>
      </c>
      <c r="AU603" s="3449"/>
      <c r="AV603" s="3448"/>
      <c r="AW603" s="3450"/>
      <c r="AX603" s="3451">
        <v>44562</v>
      </c>
      <c r="AY603" s="2872" t="s">
        <v>63</v>
      </c>
      <c r="AZ603" s="3451">
        <v>44601</v>
      </c>
      <c r="BA603" s="2872" t="s">
        <v>63</v>
      </c>
      <c r="BB603" s="3448">
        <v>39.38</v>
      </c>
      <c r="BC603" s="3449"/>
      <c r="BD603" s="3448"/>
      <c r="BE603" s="3450"/>
      <c r="BF603" s="3451">
        <v>44602</v>
      </c>
      <c r="BG603" s="2872" t="s">
        <v>63</v>
      </c>
      <c r="BH603" s="3451">
        <v>44742</v>
      </c>
      <c r="BI603" s="2872" t="s">
        <v>63</v>
      </c>
      <c r="BJ603" s="3448">
        <v>39.38</v>
      </c>
      <c r="BK603" s="3449"/>
      <c r="BL603" s="3448"/>
      <c r="BM603" s="3450"/>
      <c r="BN603" s="3451">
        <v>44743</v>
      </c>
      <c r="BO603" s="2872" t="s">
        <v>63</v>
      </c>
      <c r="BP603" s="3451">
        <v>44804</v>
      </c>
      <c r="BQ603" s="2872" t="s">
        <v>63</v>
      </c>
      <c r="BR603" s="3448">
        <v>39.38</v>
      </c>
      <c r="BS603" s="3449"/>
      <c r="BT603" s="3448"/>
      <c r="BU603" s="3450"/>
      <c r="BV603" s="3451">
        <v>44805</v>
      </c>
      <c r="BW603" s="2872" t="s">
        <v>63</v>
      </c>
      <c r="BX603" s="3451">
        <v>44895</v>
      </c>
      <c r="BY603" s="2872" t="s">
        <v>63</v>
      </c>
      <c r="BZ603" s="3448">
        <v>42.38</v>
      </c>
      <c r="CA603" s="3449"/>
      <c r="CB603" s="3448"/>
      <c r="CC603" s="3450"/>
      <c r="CD603" s="3451">
        <v>44896</v>
      </c>
      <c r="CE603" s="2872" t="s">
        <v>63</v>
      </c>
      <c r="CF603" s="3451">
        <v>45174</v>
      </c>
      <c r="CG603" s="2872" t="s">
        <v>63</v>
      </c>
      <c r="CH603" s="3448">
        <v>42.38</v>
      </c>
      <c r="CI603" s="3449"/>
      <c r="CJ603" s="3448"/>
      <c r="CK603" s="3450"/>
      <c r="CL603" s="3451">
        <v>45175</v>
      </c>
      <c r="CM603" s="2872" t="s">
        <v>63</v>
      </c>
      <c r="CN603" s="3451">
        <v>45291</v>
      </c>
      <c r="CO603" s="2872" t="s">
        <v>63</v>
      </c>
      <c r="CP603" s="3449"/>
      <c r="CQ603" s="3744" t="s">
        <v>625</v>
      </c>
      <c r="CR603" s="3581">
        <f>STRCHECKDATE(V604:CP604)</f>
      </c>
      <c r="CS603" s="3728"/>
      <c r="CT603" s="3728" t="str">
        <f>IF(T603="","",T603)</f>
        <v>вода</v>
      </c>
      <c r="CU603" s="3728"/>
      <c r="CV603" s="3728"/>
    </row>
    <row s="11809" customFormat="1" customHeight="1" ht="0.75">
      <c r="A604" s="3716"/>
      <c r="B604" s="3716"/>
      <c r="C604" s="3716"/>
      <c r="D604" s="3716"/>
      <c r="E604" s="3717"/>
      <c r="F604" s="3717" t="s">
        <v>175</v>
      </c>
      <c r="G604" s="3717"/>
      <c r="H604" s="3717"/>
      <c r="I604" s="3739"/>
      <c r="J604" s="3739"/>
      <c r="K604" s="3730"/>
      <c r="L604" s="3719"/>
      <c r="M604" s="3573"/>
      <c r="N604" s="3573"/>
      <c r="O604" s="3573"/>
      <c r="P604" s="3732"/>
      <c r="Q604" s="3732"/>
      <c r="R604" s="3740"/>
      <c r="S604" s="3746"/>
      <c r="T604" s="3726"/>
      <c r="U604" s="3726"/>
      <c r="V604" s="3449"/>
      <c r="W604" s="3449"/>
      <c r="X604" s="3449"/>
      <c r="Y604" s="3452" t="str">
        <f>Z603&amp;"-"&amp;AB603</f>
        <v>-</v>
      </c>
      <c r="Z604" s="3453"/>
      <c r="AA604" s="2872"/>
      <c r="AB604" s="3453"/>
      <c r="AC604" s="2872"/>
      <c r="AD604" s="3449"/>
      <c r="AE604" s="3449"/>
      <c r="AF604" s="3449"/>
      <c r="AG604" s="3452" t="str">
        <f>AH603&amp;"-"&amp;AJ603</f>
        <v>44197-44377</v>
      </c>
      <c r="AH604" s="3453"/>
      <c r="AI604" s="2872"/>
      <c r="AJ604" s="3453"/>
      <c r="AK604" s="2872"/>
      <c r="AL604" s="3449"/>
      <c r="AM604" s="3449"/>
      <c r="AN604" s="3449"/>
      <c r="AO604" s="3452" t="str">
        <f>AP603&amp;"-"&amp;AR603</f>
        <v>44378-44561</v>
      </c>
      <c r="AP604" s="3453"/>
      <c r="AQ604" s="2872"/>
      <c r="AR604" s="3453"/>
      <c r="AS604" s="2872"/>
      <c r="AT604" s="3449"/>
      <c r="AU604" s="3449"/>
      <c r="AV604" s="3449"/>
      <c r="AW604" s="3452" t="str">
        <f>AX603&amp;"-"&amp;AZ603</f>
        <v>44562-44601</v>
      </c>
      <c r="AX604" s="3453"/>
      <c r="AY604" s="2872"/>
      <c r="AZ604" s="3453"/>
      <c r="BA604" s="2872"/>
      <c r="BB604" s="3449"/>
      <c r="BC604" s="3449"/>
      <c r="BD604" s="3449"/>
      <c r="BE604" s="3452" t="str">
        <f>BF603&amp;"-"&amp;BH603</f>
        <v>44602-44742</v>
      </c>
      <c r="BF604" s="3453"/>
      <c r="BG604" s="2872"/>
      <c r="BH604" s="3453"/>
      <c r="BI604" s="2872"/>
      <c r="BJ604" s="3449"/>
      <c r="BK604" s="3449"/>
      <c r="BL604" s="3449"/>
      <c r="BM604" s="3452" t="str">
        <f>BN603&amp;"-"&amp;BP603</f>
        <v>44743-44804</v>
      </c>
      <c r="BN604" s="3453"/>
      <c r="BO604" s="2872"/>
      <c r="BP604" s="3453"/>
      <c r="BQ604" s="2872"/>
      <c r="BR604" s="3449"/>
      <c r="BS604" s="3449"/>
      <c r="BT604" s="3449"/>
      <c r="BU604" s="3452" t="str">
        <f>BV603&amp;"-"&amp;BX603</f>
        <v>44805-44895</v>
      </c>
      <c r="BV604" s="3453"/>
      <c r="BW604" s="2872"/>
      <c r="BX604" s="3453"/>
      <c r="BY604" s="2872"/>
      <c r="BZ604" s="3449"/>
      <c r="CA604" s="3449"/>
      <c r="CB604" s="3449"/>
      <c r="CC604" s="3452" t="str">
        <f>CD603&amp;"-"&amp;CF603</f>
        <v>44896-45174</v>
      </c>
      <c r="CD604" s="3453"/>
      <c r="CE604" s="2872"/>
      <c r="CF604" s="3453"/>
      <c r="CG604" s="2872"/>
      <c r="CH604" s="3449"/>
      <c r="CI604" s="3449"/>
      <c r="CJ604" s="3449"/>
      <c r="CK604" s="3452" t="str">
        <f>CL603&amp;"-"&amp;CN603</f>
        <v>45175-45291</v>
      </c>
      <c r="CL604" s="3453"/>
      <c r="CM604" s="2872"/>
      <c r="CN604" s="3453"/>
      <c r="CO604" s="2872"/>
      <c r="CP604" s="3449"/>
      <c r="CQ604" s="3747"/>
      <c r="CR604" s="3581"/>
      <c r="CS604" s="3728"/>
      <c r="CT604" s="3728" t="str">
        <f>IF(T604="","",T604)</f>
        <v/>
      </c>
      <c r="CU604" s="3728"/>
      <c r="CV604" s="3728"/>
    </row>
    <row s="11810" customFormat="1" customHeight="1" ht="15">
      <c r="A605" s="3716"/>
      <c r="B605" s="3716"/>
      <c r="C605" s="3716"/>
      <c r="D605" s="3716"/>
      <c r="E605" s="3717"/>
      <c r="F605" s="3717" t="s">
        <v>175</v>
      </c>
      <c r="G605" s="3717"/>
      <c r="H605" s="3717"/>
      <c r="I605" s="3739"/>
      <c r="J605" s="3730"/>
      <c r="K605" s="3716"/>
      <c r="L605" s="3719"/>
      <c r="M605" s="3573"/>
      <c r="N605" s="3573"/>
      <c r="O605" s="3731"/>
      <c r="P605" s="3732"/>
      <c r="Q605" s="3732"/>
      <c r="R605" s="3733"/>
      <c r="S605" s="11811"/>
      <c r="T605" s="11812" t="s">
        <v>626</v>
      </c>
      <c r="U605" s="11813"/>
      <c r="V605" s="11814"/>
      <c r="W605" s="11815"/>
      <c r="X605" s="11816"/>
      <c r="Y605" s="11817"/>
      <c r="Z605" s="11818"/>
      <c r="AA605" s="11819"/>
      <c r="AB605" s="11820"/>
      <c r="AC605" s="11821"/>
      <c r="AD605" s="11822"/>
      <c r="AE605" s="11823"/>
      <c r="AF605" s="11824"/>
      <c r="AG605" s="11825"/>
      <c r="AH605" s="11826"/>
      <c r="AI605" s="11827"/>
      <c r="AJ605" s="11828"/>
      <c r="AK605" s="11829"/>
      <c r="AL605" s="11830"/>
      <c r="AM605" s="11831"/>
      <c r="AN605" s="11832"/>
      <c r="AO605" s="11833"/>
      <c r="AP605" s="11834"/>
      <c r="AQ605" s="11835"/>
      <c r="AR605" s="11836"/>
      <c r="AS605" s="11837"/>
      <c r="AT605" s="11838"/>
      <c r="AU605" s="11839"/>
      <c r="AV605" s="11840"/>
      <c r="AW605" s="11841"/>
      <c r="AX605" s="11842"/>
      <c r="AY605" s="11843"/>
      <c r="AZ605" s="11844"/>
      <c r="BA605" s="11845"/>
      <c r="BB605" s="11846"/>
      <c r="BC605" s="11847"/>
      <c r="BD605" s="11848"/>
      <c r="BE605" s="11849"/>
      <c r="BF605" s="11850"/>
      <c r="BG605" s="11851"/>
      <c r="BH605" s="11852"/>
      <c r="BI605" s="11853"/>
      <c r="BJ605" s="11854"/>
      <c r="BK605" s="11855"/>
      <c r="BL605" s="11856"/>
      <c r="BM605" s="11857"/>
      <c r="BN605" s="11858"/>
      <c r="BO605" s="11859"/>
      <c r="BP605" s="11860"/>
      <c r="BQ605" s="11861"/>
      <c r="BR605" s="11862"/>
      <c r="BS605" s="11863"/>
      <c r="BT605" s="11864"/>
      <c r="BU605" s="11865"/>
      <c r="BV605" s="11866"/>
      <c r="BW605" s="11867"/>
      <c r="BX605" s="11868"/>
      <c r="BY605" s="11869"/>
      <c r="BZ605" s="11870"/>
      <c r="CA605" s="11871"/>
      <c r="CB605" s="11872"/>
      <c r="CC605" s="11873"/>
      <c r="CD605" s="11874"/>
      <c r="CE605" s="11875"/>
      <c r="CF605" s="11876"/>
      <c r="CG605" s="11877"/>
      <c r="CH605" s="11878"/>
      <c r="CI605" s="11879"/>
      <c r="CJ605" s="11880"/>
      <c r="CK605" s="11881"/>
      <c r="CL605" s="11882"/>
      <c r="CM605" s="11883"/>
      <c r="CN605" s="11884"/>
      <c r="CO605" s="11885"/>
      <c r="CP605" s="11886"/>
      <c r="CQ605" s="3825"/>
      <c r="CR605" s="3581"/>
      <c r="CS605" s="3728"/>
      <c r="CT605" s="3728" t="str">
        <f>IF(T605="","",T605)</f>
        <v>Добавить вид теплоносителя (параметры теплоносителя)</v>
      </c>
      <c r="CU605" s="3728"/>
      <c r="CV605" s="3728"/>
    </row>
    <row s="11887" customFormat="1" customHeight="1" ht="15">
      <c r="A606" s="3716"/>
      <c r="B606" s="3716"/>
      <c r="C606" s="3716"/>
      <c r="D606" s="3716"/>
      <c r="E606" s="3717"/>
      <c r="F606" s="3717" t="s">
        <v>175</v>
      </c>
      <c r="G606" s="3717"/>
      <c r="H606" s="3717"/>
      <c r="I606" s="3730"/>
      <c r="J606" s="3716"/>
      <c r="K606" s="3716"/>
      <c r="L606" s="3719"/>
      <c r="M606" s="3573"/>
      <c r="N606" s="3731"/>
      <c r="O606" s="3731"/>
      <c r="P606" s="3732"/>
      <c r="Q606" s="3732"/>
      <c r="R606" s="3733"/>
      <c r="S606" s="11888"/>
      <c r="T606" s="11889" t="s">
        <v>627</v>
      </c>
      <c r="U606" s="11890"/>
      <c r="V606" s="11891"/>
      <c r="W606" s="11892"/>
      <c r="X606" s="11893"/>
      <c r="Y606" s="11894"/>
      <c r="Z606" s="11895"/>
      <c r="AA606" s="11896"/>
      <c r="AB606" s="11897"/>
      <c r="AC606" s="11898"/>
      <c r="AD606" s="11899"/>
      <c r="AE606" s="11900"/>
      <c r="AF606" s="11901"/>
      <c r="AG606" s="11902"/>
      <c r="AH606" s="11903"/>
      <c r="AI606" s="11904"/>
      <c r="AJ606" s="11905"/>
      <c r="AK606" s="11906"/>
      <c r="AL606" s="11907"/>
      <c r="AM606" s="11908"/>
      <c r="AN606" s="11909"/>
      <c r="AO606" s="11910"/>
      <c r="AP606" s="11911"/>
      <c r="AQ606" s="11912"/>
      <c r="AR606" s="11913"/>
      <c r="AS606" s="11914"/>
      <c r="AT606" s="11915"/>
      <c r="AU606" s="11916"/>
      <c r="AV606" s="11917"/>
      <c r="AW606" s="11918"/>
      <c r="AX606" s="11919"/>
      <c r="AY606" s="11920"/>
      <c r="AZ606" s="11921"/>
      <c r="BA606" s="11922"/>
      <c r="BB606" s="11923"/>
      <c r="BC606" s="11924"/>
      <c r="BD606" s="11925"/>
      <c r="BE606" s="11926"/>
      <c r="BF606" s="11927"/>
      <c r="BG606" s="11928"/>
      <c r="BH606" s="11929"/>
      <c r="BI606" s="11930"/>
      <c r="BJ606" s="11931"/>
      <c r="BK606" s="11932"/>
      <c r="BL606" s="11933"/>
      <c r="BM606" s="11934"/>
      <c r="BN606" s="11935"/>
      <c r="BO606" s="11936"/>
      <c r="BP606" s="11937"/>
      <c r="BQ606" s="11938"/>
      <c r="BR606" s="11939"/>
      <c r="BS606" s="11940"/>
      <c r="BT606" s="11941"/>
      <c r="BU606" s="11942"/>
      <c r="BV606" s="11943"/>
      <c r="BW606" s="11944"/>
      <c r="BX606" s="11945"/>
      <c r="BY606" s="11946"/>
      <c r="BZ606" s="11947"/>
      <c r="CA606" s="11948"/>
      <c r="CB606" s="11949"/>
      <c r="CC606" s="11950"/>
      <c r="CD606" s="11951"/>
      <c r="CE606" s="11952"/>
      <c r="CF606" s="11953"/>
      <c r="CG606" s="11954"/>
      <c r="CH606" s="11955"/>
      <c r="CI606" s="11956"/>
      <c r="CJ606" s="11957"/>
      <c r="CK606" s="11958"/>
      <c r="CL606" s="11959"/>
      <c r="CM606" s="11960"/>
      <c r="CN606" s="11961"/>
      <c r="CO606" s="11962"/>
      <c r="CP606" s="11963"/>
      <c r="CQ606" s="11964"/>
      <c r="CR606" s="3581"/>
      <c r="CS606" s="3728"/>
      <c r="CT606" s="3728" t="str">
        <f>IF(T606="","",T606)</f>
        <v>Добавить группу потребителей</v>
      </c>
      <c r="CU606" s="3728"/>
      <c r="CV606" s="3728"/>
    </row>
    <row s="11965" customFormat="1" customHeight="1" ht="14.25">
      <c r="A607" s="3716"/>
      <c r="B607" s="3716"/>
      <c r="C607" s="3716"/>
      <c r="D607" s="3716"/>
      <c r="E607" s="3717"/>
      <c r="F607" s="3717" t="s">
        <v>175</v>
      </c>
      <c r="G607" s="3717"/>
      <c r="H607" s="3718"/>
      <c r="I607" s="3716"/>
      <c r="J607" s="3716"/>
      <c r="K607" s="3716"/>
      <c r="L607" s="3719"/>
      <c r="M607" s="3720"/>
      <c r="N607" s="3720"/>
      <c r="O607" s="3573"/>
      <c r="P607" s="3905"/>
      <c r="Q607" s="3906"/>
      <c r="R607" s="3907"/>
      <c r="S607" s="3908"/>
      <c r="T607" s="3909"/>
      <c r="U607" s="3569"/>
      <c r="V607" s="3569"/>
      <c r="W607" s="3569"/>
      <c r="X607" s="3569"/>
      <c r="Y607" s="3569"/>
      <c r="Z607" s="3569"/>
      <c r="AA607" s="3569"/>
      <c r="AB607" s="3569"/>
      <c r="AC607" s="3569"/>
      <c r="AD607" s="3569"/>
      <c r="AE607" s="3569"/>
      <c r="AF607" s="3569"/>
      <c r="AG607" s="3569"/>
      <c r="AH607" s="3569"/>
      <c r="AI607" s="3569"/>
      <c r="AJ607" s="3569"/>
      <c r="AK607" s="3569"/>
      <c r="AL607" s="3569"/>
      <c r="AM607" s="3569"/>
      <c r="AN607" s="3569"/>
      <c r="AO607" s="3569"/>
      <c r="AP607" s="3569"/>
      <c r="AQ607" s="3569"/>
      <c r="AR607" s="3569"/>
      <c r="AS607" s="3569"/>
      <c r="AT607" s="3569"/>
      <c r="AU607" s="3569"/>
      <c r="AV607" s="3569"/>
      <c r="AW607" s="3569"/>
      <c r="AX607" s="3569"/>
      <c r="AY607" s="3569"/>
      <c r="AZ607" s="3569"/>
      <c r="BA607" s="3569"/>
      <c r="BB607" s="3569"/>
      <c r="BC607" s="3569"/>
      <c r="BD607" s="3569"/>
      <c r="BE607" s="3569"/>
      <c r="BF607" s="3569"/>
      <c r="BG607" s="3569"/>
      <c r="BH607" s="3569"/>
      <c r="BI607" s="3569"/>
      <c r="BJ607" s="3569"/>
      <c r="BK607" s="3569"/>
      <c r="BL607" s="3569"/>
      <c r="BM607" s="3569"/>
      <c r="BN607" s="3569"/>
      <c r="BO607" s="3569"/>
      <c r="BP607" s="3569"/>
      <c r="BQ607" s="3569"/>
      <c r="BR607" s="3569"/>
      <c r="BS607" s="3569"/>
      <c r="BT607" s="3569"/>
      <c r="BU607" s="3569"/>
      <c r="BV607" s="3569"/>
      <c r="BW607" s="3569"/>
      <c r="BX607" s="3569"/>
      <c r="BY607" s="3569"/>
      <c r="BZ607" s="3569"/>
      <c r="CA607" s="3569"/>
      <c r="CB607" s="3569"/>
      <c r="CC607" s="3569"/>
      <c r="CD607" s="3569"/>
      <c r="CE607" s="3569"/>
      <c r="CF607" s="3569"/>
      <c r="CG607" s="3569"/>
      <c r="CH607" s="3569"/>
      <c r="CI607" s="3569"/>
      <c r="CJ607" s="3569"/>
      <c r="CK607" s="3569"/>
      <c r="CL607" s="3569"/>
      <c r="CM607" s="3569"/>
      <c r="CN607" s="3569"/>
      <c r="CO607" s="3569"/>
      <c r="CP607" s="3569"/>
      <c r="CQ607" s="3910"/>
      <c r="CR607" s="3581"/>
      <c r="CS607" s="3728"/>
      <c r="CT607" s="3728" t="str">
        <f>IF(T607="","",T607)</f>
        <v/>
      </c>
      <c r="CU607" s="3728"/>
      <c r="CV607" s="3728"/>
    </row>
    <row s="11966" customFormat="1" customHeight="1" ht="0.75">
      <c r="A608" s="4239"/>
      <c r="B608" s="4239"/>
      <c r="C608" s="4239"/>
      <c r="D608" s="4239"/>
      <c r="E608" s="3717"/>
      <c r="F608" s="3717" t="s">
        <v>175</v>
      </c>
      <c r="G608" s="3718"/>
      <c r="H608" s="4239"/>
      <c r="I608" s="4239"/>
      <c r="J608" s="4239"/>
      <c r="K608" s="4239"/>
      <c r="L608" s="4240"/>
      <c r="M608" s="4241"/>
      <c r="N608" s="4241"/>
      <c r="O608" s="3581"/>
      <c r="P608" s="4242"/>
      <c r="Q608" s="4243"/>
      <c r="R608" s="4242"/>
      <c r="S608" s="4244"/>
      <c r="T608" s="4245" t="s">
        <v>254</v>
      </c>
      <c r="U608" s="3571"/>
      <c r="V608" s="3571"/>
      <c r="W608" s="3571"/>
      <c r="X608" s="3571"/>
      <c r="Y608" s="3571"/>
      <c r="Z608" s="3571"/>
      <c r="AA608" s="3571"/>
      <c r="AB608" s="3571"/>
      <c r="AC608" s="3571"/>
      <c r="AD608" s="3571"/>
      <c r="AE608" s="3571"/>
      <c r="AF608" s="3571"/>
      <c r="AG608" s="3571"/>
      <c r="AH608" s="3571"/>
      <c r="AI608" s="3571"/>
      <c r="AJ608" s="3571"/>
      <c r="AK608" s="3571"/>
      <c r="AL608" s="3571"/>
      <c r="AM608" s="3571"/>
      <c r="AN608" s="3571"/>
      <c r="AO608" s="3571"/>
      <c r="AP608" s="3571"/>
      <c r="AQ608" s="3571"/>
      <c r="AR608" s="3571"/>
      <c r="AS608" s="3571"/>
      <c r="AT608" s="3571"/>
      <c r="AU608" s="3571"/>
      <c r="AV608" s="3571"/>
      <c r="AW608" s="3571"/>
      <c r="AX608" s="3571"/>
      <c r="AY608" s="3571"/>
      <c r="AZ608" s="3571"/>
      <c r="BA608" s="3571"/>
      <c r="BB608" s="3571"/>
      <c r="BC608" s="3571"/>
      <c r="BD608" s="3571"/>
      <c r="BE608" s="3571"/>
      <c r="BF608" s="3571"/>
      <c r="BG608" s="3571"/>
      <c r="BH608" s="3571"/>
      <c r="BI608" s="3571"/>
      <c r="BJ608" s="3571"/>
      <c r="BK608" s="3571"/>
      <c r="BL608" s="3571"/>
      <c r="BM608" s="3571"/>
      <c r="BN608" s="3571"/>
      <c r="BO608" s="3571"/>
      <c r="BP608" s="3571"/>
      <c r="BQ608" s="3571"/>
      <c r="BR608" s="3571"/>
      <c r="BS608" s="3571"/>
      <c r="BT608" s="3571"/>
      <c r="BU608" s="3571"/>
      <c r="BV608" s="3571"/>
      <c r="BW608" s="3571"/>
      <c r="BX608" s="3571"/>
      <c r="BY608" s="3571"/>
      <c r="BZ608" s="3571"/>
      <c r="CA608" s="3571"/>
      <c r="CB608" s="3571"/>
      <c r="CC608" s="3571"/>
      <c r="CD608" s="3571"/>
      <c r="CE608" s="3571"/>
      <c r="CF608" s="3571"/>
      <c r="CG608" s="3571"/>
      <c r="CH608" s="3571"/>
      <c r="CI608" s="3571"/>
      <c r="CJ608" s="3571"/>
      <c r="CK608" s="3571"/>
      <c r="CL608" s="3571"/>
      <c r="CM608" s="3571"/>
      <c r="CN608" s="3571"/>
      <c r="CO608" s="3571"/>
      <c r="CP608" s="3571"/>
      <c r="CQ608" s="3571"/>
      <c r="CR608" s="3581"/>
      <c r="CS608" s="3728"/>
      <c r="CT608" s="3728" t="str">
        <f>IF(T608="","",T608)</f>
        <v>Добавить источник для дифференциации</v>
      </c>
      <c r="CU608" s="3728"/>
      <c r="CV608" s="3728"/>
    </row>
    <row s="11967" customFormat="1" customHeight="1" ht="0.75">
      <c r="A609" s="4239"/>
      <c r="B609" s="4239"/>
      <c r="C609" s="4239"/>
      <c r="D609" s="4239"/>
      <c r="E609" s="3717"/>
      <c r="F609" s="3718" t="s">
        <v>175</v>
      </c>
      <c r="G609" s="4239"/>
      <c r="H609" s="4239"/>
      <c r="I609" s="4239"/>
      <c r="J609" s="4239"/>
      <c r="K609" s="4239"/>
      <c r="L609" s="4240"/>
      <c r="M609" s="4247"/>
      <c r="N609" s="4247"/>
      <c r="O609" s="3581"/>
      <c r="P609" s="4242"/>
      <c r="Q609" s="4243"/>
      <c r="R609" s="4242"/>
      <c r="S609" s="4248"/>
      <c r="T609" s="4249" t="s">
        <v>255</v>
      </c>
      <c r="U609" s="3572"/>
      <c r="V609" s="3572"/>
      <c r="W609" s="3572"/>
      <c r="X609" s="3572"/>
      <c r="Y609" s="3572"/>
      <c r="Z609" s="3572"/>
      <c r="AA609" s="3572"/>
      <c r="AB609" s="3572"/>
      <c r="AC609" s="3572"/>
      <c r="AD609" s="3572"/>
      <c r="AE609" s="3572"/>
      <c r="AF609" s="3572"/>
      <c r="AG609" s="3572"/>
      <c r="AH609" s="3572"/>
      <c r="AI609" s="3572"/>
      <c r="AJ609" s="3572"/>
      <c r="AK609" s="3572"/>
      <c r="AL609" s="3572"/>
      <c r="AM609" s="3572"/>
      <c r="AN609" s="3572"/>
      <c r="AO609" s="3572"/>
      <c r="AP609" s="3572"/>
      <c r="AQ609" s="3572"/>
      <c r="AR609" s="3572"/>
      <c r="AS609" s="3572"/>
      <c r="AT609" s="3572"/>
      <c r="AU609" s="3572"/>
      <c r="AV609" s="3572"/>
      <c r="AW609" s="3572"/>
      <c r="AX609" s="3572"/>
      <c r="AY609" s="3572"/>
      <c r="AZ609" s="3572"/>
      <c r="BA609" s="3572"/>
      <c r="BB609" s="3572"/>
      <c r="BC609" s="3572"/>
      <c r="BD609" s="3572"/>
      <c r="BE609" s="3572"/>
      <c r="BF609" s="3572"/>
      <c r="BG609" s="3572"/>
      <c r="BH609" s="3572"/>
      <c r="BI609" s="3572"/>
      <c r="BJ609" s="3572"/>
      <c r="BK609" s="3572"/>
      <c r="BL609" s="3572"/>
      <c r="BM609" s="3572"/>
      <c r="BN609" s="3572"/>
      <c r="BO609" s="3572"/>
      <c r="BP609" s="3572"/>
      <c r="BQ609" s="3572"/>
      <c r="BR609" s="3572"/>
      <c r="BS609" s="3572"/>
      <c r="BT609" s="3572"/>
      <c r="BU609" s="3572"/>
      <c r="BV609" s="3572"/>
      <c r="BW609" s="3572"/>
      <c r="BX609" s="3572"/>
      <c r="BY609" s="3572"/>
      <c r="BZ609" s="3572"/>
      <c r="CA609" s="3572"/>
      <c r="CB609" s="3572"/>
      <c r="CC609" s="3572"/>
      <c r="CD609" s="3572"/>
      <c r="CE609" s="3572"/>
      <c r="CF609" s="3572"/>
      <c r="CG609" s="3572"/>
      <c r="CH609" s="3572"/>
      <c r="CI609" s="3572"/>
      <c r="CJ609" s="3572"/>
      <c r="CK609" s="3572"/>
      <c r="CL609" s="3572"/>
      <c r="CM609" s="3572"/>
      <c r="CN609" s="3572"/>
      <c r="CO609" s="3572"/>
      <c r="CP609" s="3572"/>
      <c r="CQ609" s="3572"/>
      <c r="CR609" s="3581"/>
      <c r="CS609" s="3728"/>
      <c r="CT609" s="3728" t="str">
        <f>IF(T609="","",T609)</f>
        <v>Добавить централизованную систему для дифференциации</v>
      </c>
      <c r="CU609" s="3728"/>
      <c r="CV609" s="3728"/>
    </row>
    <row s="11968" customFormat="1" customHeight="1" ht="21">
      <c r="A610" s="3716"/>
      <c r="B610" s="3716" t="s">
        <v>395</v>
      </c>
      <c r="C610" s="3716"/>
      <c r="D610" s="3716"/>
      <c r="E610" s="3717"/>
      <c r="F610" s="3718" t="s">
        <v>118</v>
      </c>
      <c r="G610" s="3716"/>
      <c r="H610" s="3716"/>
      <c r="I610" s="3716"/>
      <c r="J610" s="3716"/>
      <c r="K610" s="3716"/>
      <c r="L610" s="3719"/>
      <c r="M610" s="3720"/>
      <c r="N610" s="3720"/>
      <c r="O610" s="3720"/>
      <c r="P610" s="4073"/>
      <c r="Q610" s="3722"/>
      <c r="R610" s="3723"/>
      <c r="S610" s="3724" t="str">
        <f>INDEX(PT_DIFFERENTIATION_NUM_TER,MATCH(B610,PT_DIFFERENTIATION_TER_ID,0))</f>
        <v>2.20</v>
      </c>
      <c r="T610" s="4074" t="s">
        <v>612</v>
      </c>
      <c r="U610" s="3726"/>
      <c r="V610" s="3432"/>
      <c r="W610" s="3433"/>
      <c r="X610" s="3433"/>
      <c r="Y610" s="3433"/>
      <c r="Z610" s="3433"/>
      <c r="AA610" s="3433"/>
      <c r="AB610" s="3433"/>
      <c r="AC610" s="3434"/>
      <c r="AD610" s="3432" t="str">
        <f>INDEX(PT_DIFFERENTIATION_TER,MATCH(B610,PT_DIFFERENTIATION_TER_ID,0))</f>
        <v>Территория 20</v>
      </c>
      <c r="AE610" s="3433"/>
      <c r="AF610" s="3433"/>
      <c r="AG610" s="3433"/>
      <c r="AH610" s="3433"/>
      <c r="AI610" s="3433"/>
      <c r="AJ610" s="3433"/>
      <c r="AK610" s="3433"/>
      <c r="AL610" s="3432"/>
      <c r="AM610" s="3433"/>
      <c r="AN610" s="3433"/>
      <c r="AO610" s="3433"/>
      <c r="AP610" s="3433"/>
      <c r="AQ610" s="3433"/>
      <c r="AR610" s="3433"/>
      <c r="AS610" s="3434"/>
      <c r="AT610" s="3432"/>
      <c r="AU610" s="3433"/>
      <c r="AV610" s="3433"/>
      <c r="AW610" s="3433"/>
      <c r="AX610" s="3433"/>
      <c r="AY610" s="3433"/>
      <c r="AZ610" s="3433"/>
      <c r="BA610" s="3434"/>
      <c r="BB610" s="3432"/>
      <c r="BC610" s="3433"/>
      <c r="BD610" s="3433"/>
      <c r="BE610" s="3433"/>
      <c r="BF610" s="3433"/>
      <c r="BG610" s="3433"/>
      <c r="BH610" s="3433"/>
      <c r="BI610" s="3434"/>
      <c r="BJ610" s="3432"/>
      <c r="BK610" s="3433"/>
      <c r="BL610" s="3433"/>
      <c r="BM610" s="3433"/>
      <c r="BN610" s="3433"/>
      <c r="BO610" s="3433"/>
      <c r="BP610" s="3433"/>
      <c r="BQ610" s="3434"/>
      <c r="BR610" s="3432"/>
      <c r="BS610" s="3433"/>
      <c r="BT610" s="3433"/>
      <c r="BU610" s="3433"/>
      <c r="BV610" s="3433"/>
      <c r="BW610" s="3433"/>
      <c r="BX610" s="3433"/>
      <c r="BY610" s="3434"/>
      <c r="BZ610" s="3432"/>
      <c r="CA610" s="3433"/>
      <c r="CB610" s="3433"/>
      <c r="CC610" s="3433"/>
      <c r="CD610" s="3433"/>
      <c r="CE610" s="3433"/>
      <c r="CF610" s="3433"/>
      <c r="CG610" s="3434"/>
      <c r="CH610" s="3432"/>
      <c r="CI610" s="3433"/>
      <c r="CJ610" s="3433"/>
      <c r="CK610" s="3433"/>
      <c r="CL610" s="3433"/>
      <c r="CM610" s="3433"/>
      <c r="CN610" s="3433"/>
      <c r="CO610" s="3434"/>
      <c r="CP610" s="3434"/>
      <c r="CQ610" s="3727" t="s">
        <v>613</v>
      </c>
      <c r="CR610" s="3581"/>
      <c r="CS610" s="3728"/>
      <c r="CT610" s="3728" t="str">
        <f>IF(T610="","",T610)</f>
        <v>Территория действия тарифа</v>
      </c>
      <c r="CU610" s="3728"/>
      <c r="CV610" s="3728"/>
    </row>
    <row s="11969" customFormat="1" customHeight="1" ht="23.25">
      <c r="A611" s="3716"/>
      <c r="B611" s="3716"/>
      <c r="C611" s="3716" t="s">
        <v>396</v>
      </c>
      <c r="D611" s="3716"/>
      <c r="E611" s="3717"/>
      <c r="F611" s="3717" t="s">
        <v>180</v>
      </c>
      <c r="G611" s="3718">
        <v>1</v>
      </c>
      <c r="H611" s="3716"/>
      <c r="I611" s="3716"/>
      <c r="J611" s="3716"/>
      <c r="K611" s="3716"/>
      <c r="L611" s="3719"/>
      <c r="M611" s="3720"/>
      <c r="N611" s="3720"/>
      <c r="O611" s="3720"/>
      <c r="P611" s="3721"/>
      <c r="Q611" s="3722"/>
      <c r="R611" s="3723"/>
      <c r="S611" s="3724" t="str">
        <f>INDEX(PT_DIFFERENTIATION_NUM_CS,MATCH(C611,PT_DIFFERENTIATION_CS_ID,0))</f>
        <v>2.20.1</v>
      </c>
      <c r="T611" s="4076" t="s">
        <v>614</v>
      </c>
      <c r="U611" s="3726"/>
      <c r="V611" s="3432"/>
      <c r="W611" s="3433"/>
      <c r="X611" s="3433"/>
      <c r="Y611" s="3433"/>
      <c r="Z611" s="3433"/>
      <c r="AA611" s="3433"/>
      <c r="AB611" s="3433"/>
      <c r="AC611" s="3434"/>
      <c r="AD611" s="3432" t="str">
        <f>INDEX(PT_DIFFERENTIATION_CS,MATCH(C611,PT_DIFFERENTIATION_CS_ID,0))</f>
        <v>без дифференциации</v>
      </c>
      <c r="AE611" s="3433"/>
      <c r="AF611" s="3433"/>
      <c r="AG611" s="3433"/>
      <c r="AH611" s="3433"/>
      <c r="AI611" s="3433"/>
      <c r="AJ611" s="3433"/>
      <c r="AK611" s="3433"/>
      <c r="AL611" s="3432"/>
      <c r="AM611" s="3433"/>
      <c r="AN611" s="3433"/>
      <c r="AO611" s="3433"/>
      <c r="AP611" s="3433"/>
      <c r="AQ611" s="3433"/>
      <c r="AR611" s="3433"/>
      <c r="AS611" s="3434"/>
      <c r="AT611" s="3432"/>
      <c r="AU611" s="3433"/>
      <c r="AV611" s="3433"/>
      <c r="AW611" s="3433"/>
      <c r="AX611" s="3433"/>
      <c r="AY611" s="3433"/>
      <c r="AZ611" s="3433"/>
      <c r="BA611" s="3434"/>
      <c r="BB611" s="3432"/>
      <c r="BC611" s="3433"/>
      <c r="BD611" s="3433"/>
      <c r="BE611" s="3433"/>
      <c r="BF611" s="3433"/>
      <c r="BG611" s="3433"/>
      <c r="BH611" s="3433"/>
      <c r="BI611" s="3434"/>
      <c r="BJ611" s="3432"/>
      <c r="BK611" s="3433"/>
      <c r="BL611" s="3433"/>
      <c r="BM611" s="3433"/>
      <c r="BN611" s="3433"/>
      <c r="BO611" s="3433"/>
      <c r="BP611" s="3433"/>
      <c r="BQ611" s="3434"/>
      <c r="BR611" s="3432"/>
      <c r="BS611" s="3433"/>
      <c r="BT611" s="3433"/>
      <c r="BU611" s="3433"/>
      <c r="BV611" s="3433"/>
      <c r="BW611" s="3433"/>
      <c r="BX611" s="3433"/>
      <c r="BY611" s="3434"/>
      <c r="BZ611" s="3432"/>
      <c r="CA611" s="3433"/>
      <c r="CB611" s="3433"/>
      <c r="CC611" s="3433"/>
      <c r="CD611" s="3433"/>
      <c r="CE611" s="3433"/>
      <c r="CF611" s="3433"/>
      <c r="CG611" s="3434"/>
      <c r="CH611" s="3432"/>
      <c r="CI611" s="3433"/>
      <c r="CJ611" s="3433"/>
      <c r="CK611" s="3433"/>
      <c r="CL611" s="3433"/>
      <c r="CM611" s="3433"/>
      <c r="CN611" s="3433"/>
      <c r="CO611" s="3434"/>
      <c r="CP611" s="3434"/>
      <c r="CQ611" s="3727" t="s">
        <v>615</v>
      </c>
      <c r="CR611" s="3581"/>
      <c r="CS611" s="3728"/>
      <c r="CT611" s="3728" t="str">
        <f>IF(T611="","",T611)</f>
        <v>Наименование системы теплоснабжения </v>
      </c>
      <c r="CU611" s="3728"/>
      <c r="CV611" s="3728"/>
    </row>
    <row s="11970" customFormat="1" customHeight="1" ht="21">
      <c r="A612" s="3716"/>
      <c r="B612" s="3716"/>
      <c r="C612" s="3716"/>
      <c r="D612" s="3716" t="s">
        <v>397</v>
      </c>
      <c r="E612" s="3717"/>
      <c r="F612" s="3717" t="s">
        <v>180</v>
      </c>
      <c r="G612" s="3717"/>
      <c r="H612" s="3718">
        <v>1</v>
      </c>
      <c r="I612" s="3716"/>
      <c r="J612" s="3716"/>
      <c r="K612" s="3716"/>
      <c r="L612" s="3719"/>
      <c r="M612" s="3720"/>
      <c r="N612" s="3720"/>
      <c r="O612" s="3720"/>
      <c r="P612" s="3721"/>
      <c r="Q612" s="3722"/>
      <c r="R612" s="3723"/>
      <c r="S612" s="3724" t="str">
        <f>INDEX(PT_DIFFERENTIATION_NUM_IST_TE,MATCH(D612,PT_DIFFERENTIATION_IST_TE_ID,0))</f>
        <v>2.20.1.1</v>
      </c>
      <c r="T612" s="3725" t="s">
        <v>616</v>
      </c>
      <c r="U612" s="3726"/>
      <c r="V612" s="3432"/>
      <c r="W612" s="3433"/>
      <c r="X612" s="3433"/>
      <c r="Y612" s="3433"/>
      <c r="Z612" s="3433"/>
      <c r="AA612" s="3433"/>
      <c r="AB612" s="3433"/>
      <c r="AC612" s="3434"/>
      <c r="AD612" s="3432" t="str">
        <f>INDEX(PT_DIFFERENTIATION_IST_TE,MATCH(D612,PT_DIFFERENTIATION_IST_TE_ID,0))</f>
        <v>без дифференциации</v>
      </c>
      <c r="AE612" s="3433"/>
      <c r="AF612" s="3433"/>
      <c r="AG612" s="3433"/>
      <c r="AH612" s="3433"/>
      <c r="AI612" s="3433"/>
      <c r="AJ612" s="3433"/>
      <c r="AK612" s="3433"/>
      <c r="AL612" s="3432"/>
      <c r="AM612" s="3433"/>
      <c r="AN612" s="3433"/>
      <c r="AO612" s="3433"/>
      <c r="AP612" s="3433"/>
      <c r="AQ612" s="3433"/>
      <c r="AR612" s="3433"/>
      <c r="AS612" s="3434"/>
      <c r="AT612" s="3432"/>
      <c r="AU612" s="3433"/>
      <c r="AV612" s="3433"/>
      <c r="AW612" s="3433"/>
      <c r="AX612" s="3433"/>
      <c r="AY612" s="3433"/>
      <c r="AZ612" s="3433"/>
      <c r="BA612" s="3434"/>
      <c r="BB612" s="3432"/>
      <c r="BC612" s="3433"/>
      <c r="BD612" s="3433"/>
      <c r="BE612" s="3433"/>
      <c r="BF612" s="3433"/>
      <c r="BG612" s="3433"/>
      <c r="BH612" s="3433"/>
      <c r="BI612" s="3434"/>
      <c r="BJ612" s="3432"/>
      <c r="BK612" s="3433"/>
      <c r="BL612" s="3433"/>
      <c r="BM612" s="3433"/>
      <c r="BN612" s="3433"/>
      <c r="BO612" s="3433"/>
      <c r="BP612" s="3433"/>
      <c r="BQ612" s="3434"/>
      <c r="BR612" s="3432"/>
      <c r="BS612" s="3433"/>
      <c r="BT612" s="3433"/>
      <c r="BU612" s="3433"/>
      <c r="BV612" s="3433"/>
      <c r="BW612" s="3433"/>
      <c r="BX612" s="3433"/>
      <c r="BY612" s="3434"/>
      <c r="BZ612" s="3432"/>
      <c r="CA612" s="3433"/>
      <c r="CB612" s="3433"/>
      <c r="CC612" s="3433"/>
      <c r="CD612" s="3433"/>
      <c r="CE612" s="3433"/>
      <c r="CF612" s="3433"/>
      <c r="CG612" s="3434"/>
      <c r="CH612" s="3432"/>
      <c r="CI612" s="3433"/>
      <c r="CJ612" s="3433"/>
      <c r="CK612" s="3433"/>
      <c r="CL612" s="3433"/>
      <c r="CM612" s="3433"/>
      <c r="CN612" s="3433"/>
      <c r="CO612" s="3434"/>
      <c r="CP612" s="3434"/>
      <c r="CQ612" s="3727" t="s">
        <v>617</v>
      </c>
      <c r="CR612" s="3581"/>
      <c r="CS612" s="3728"/>
      <c r="CT612" s="3728" t="str">
        <f>IF(T612="","",T612)</f>
        <v>Источник тепловой энергии  </v>
      </c>
      <c r="CU612" s="3728"/>
      <c r="CV612" s="3728"/>
    </row>
    <row s="11971" customFormat="1" customHeight="1" ht="14.25">
      <c r="A613" s="3716"/>
      <c r="B613" s="3716"/>
      <c r="C613" s="3716"/>
      <c r="D613" s="3716"/>
      <c r="E613" s="3717"/>
      <c r="F613" s="3717" t="s">
        <v>180</v>
      </c>
      <c r="G613" s="3717"/>
      <c r="H613" s="3717"/>
      <c r="I613" s="3730" t="str">
        <f>S612&amp;".1"</f>
        <v>2.20.1.1.1</v>
      </c>
      <c r="J613" s="3716"/>
      <c r="K613" s="3716"/>
      <c r="L613" s="3719" t="s">
        <v>618</v>
      </c>
      <c r="M613" s="3573"/>
      <c r="N613" s="3731"/>
      <c r="O613" s="3731"/>
      <c r="P613" s="3732">
        <v>1</v>
      </c>
      <c r="Q613" s="3732"/>
      <c r="R613" s="3733"/>
      <c r="S613" s="3734"/>
      <c r="T613" s="3735"/>
      <c r="U613" s="3736"/>
      <c r="V613" s="3441"/>
      <c r="W613" s="3442"/>
      <c r="X613" s="3442"/>
      <c r="Y613" s="3442"/>
      <c r="Z613" s="3442"/>
      <c r="AA613" s="3442"/>
      <c r="AB613" s="3442"/>
      <c r="AC613" s="3443"/>
      <c r="AD613" s="3441"/>
      <c r="AE613" s="3442"/>
      <c r="AF613" s="3442"/>
      <c r="AG613" s="3442"/>
      <c r="AH613" s="3442"/>
      <c r="AI613" s="3442"/>
      <c r="AJ613" s="3442"/>
      <c r="AK613" s="3442"/>
      <c r="AL613" s="3441"/>
      <c r="AM613" s="3442"/>
      <c r="AN613" s="3442"/>
      <c r="AO613" s="3442"/>
      <c r="AP613" s="3442"/>
      <c r="AQ613" s="3442"/>
      <c r="AR613" s="3442"/>
      <c r="AS613" s="3443"/>
      <c r="AT613" s="3441"/>
      <c r="AU613" s="3442"/>
      <c r="AV613" s="3442"/>
      <c r="AW613" s="3442"/>
      <c r="AX613" s="3442"/>
      <c r="AY613" s="3442"/>
      <c r="AZ613" s="3442"/>
      <c r="BA613" s="3443"/>
      <c r="BB613" s="3441"/>
      <c r="BC613" s="3442"/>
      <c r="BD613" s="3442"/>
      <c r="BE613" s="3442"/>
      <c r="BF613" s="3442"/>
      <c r="BG613" s="3442"/>
      <c r="BH613" s="3442"/>
      <c r="BI613" s="3443"/>
      <c r="BJ613" s="3441"/>
      <c r="BK613" s="3442"/>
      <c r="BL613" s="3442"/>
      <c r="BM613" s="3442"/>
      <c r="BN613" s="3442"/>
      <c r="BO613" s="3442"/>
      <c r="BP613" s="3442"/>
      <c r="BQ613" s="3443"/>
      <c r="BR613" s="3441"/>
      <c r="BS613" s="3442"/>
      <c r="BT613" s="3442"/>
      <c r="BU613" s="3442"/>
      <c r="BV613" s="3442"/>
      <c r="BW613" s="3442"/>
      <c r="BX613" s="3442"/>
      <c r="BY613" s="3443"/>
      <c r="BZ613" s="3441"/>
      <c r="CA613" s="3442"/>
      <c r="CB613" s="3442"/>
      <c r="CC613" s="3442"/>
      <c r="CD613" s="3442"/>
      <c r="CE613" s="3442"/>
      <c r="CF613" s="3442"/>
      <c r="CG613" s="3443"/>
      <c r="CH613" s="3441"/>
      <c r="CI613" s="3442"/>
      <c r="CJ613" s="3442"/>
      <c r="CK613" s="3442"/>
      <c r="CL613" s="3442"/>
      <c r="CM613" s="3442"/>
      <c r="CN613" s="3442"/>
      <c r="CO613" s="3443"/>
      <c r="CP613" s="3443"/>
      <c r="CQ613" s="3737"/>
      <c r="CR613" s="3581"/>
      <c r="CS613" s="3728"/>
      <c r="CT613" s="3728" t="str">
        <f>IF(T613="","",T613)</f>
        <v/>
      </c>
      <c r="CU613" s="3728"/>
      <c r="CV613" s="3728"/>
    </row>
    <row s="11972" customFormat="1" customHeight="1" ht="21">
      <c r="A614" s="3716"/>
      <c r="B614" s="3716"/>
      <c r="C614" s="3716"/>
      <c r="D614" s="3716"/>
      <c r="E614" s="3717"/>
      <c r="F614" s="3717" t="s">
        <v>180</v>
      </c>
      <c r="G614" s="3717"/>
      <c r="H614" s="3717"/>
      <c r="I614" s="3739"/>
      <c r="J614" s="3730" t="str">
        <f>I613&amp;".1"</f>
        <v>2.20.1.1.1.1</v>
      </c>
      <c r="K614" s="3716"/>
      <c r="L614" s="3719" t="s">
        <v>621</v>
      </c>
      <c r="M614" s="3573"/>
      <c r="N614" s="3573"/>
      <c r="O614" s="3731"/>
      <c r="P614" s="3732"/>
      <c r="Q614" s="3732">
        <v>1</v>
      </c>
      <c r="R614" s="3740"/>
      <c r="S614" s="3724" t="str">
        <f>$J614</f>
        <v>2.20.1.1.1.1</v>
      </c>
      <c r="T614" s="3741" t="s">
        <v>622</v>
      </c>
      <c r="U614" s="3726"/>
      <c r="V614" s="3445"/>
      <c r="W614" s="3446"/>
      <c r="X614" s="3446"/>
      <c r="Y614" s="3446"/>
      <c r="Z614" s="3446"/>
      <c r="AA614" s="3446"/>
      <c r="AB614" s="3446"/>
      <c r="AC614" s="3447"/>
      <c r="AD614" s="3445" t="s">
        <v>665</v>
      </c>
      <c r="AE614" s="3446"/>
      <c r="AF614" s="3446"/>
      <c r="AG614" s="3446"/>
      <c r="AH614" s="3446"/>
      <c r="AI614" s="3446"/>
      <c r="AJ614" s="3446"/>
      <c r="AK614" s="3446"/>
      <c r="AL614" s="3445"/>
      <c r="AM614" s="3446"/>
      <c r="AN614" s="3446"/>
      <c r="AO614" s="3446"/>
      <c r="AP614" s="3446"/>
      <c r="AQ614" s="3446"/>
      <c r="AR614" s="3446"/>
      <c r="AS614" s="3447"/>
      <c r="AT614" s="3445"/>
      <c r="AU614" s="3446"/>
      <c r="AV614" s="3446"/>
      <c r="AW614" s="3446"/>
      <c r="AX614" s="3446"/>
      <c r="AY614" s="3446"/>
      <c r="AZ614" s="3446"/>
      <c r="BA614" s="3447"/>
      <c r="BB614" s="3445"/>
      <c r="BC614" s="3446"/>
      <c r="BD614" s="3446"/>
      <c r="BE614" s="3446"/>
      <c r="BF614" s="3446"/>
      <c r="BG614" s="3446"/>
      <c r="BH614" s="3446"/>
      <c r="BI614" s="3447"/>
      <c r="BJ614" s="3445"/>
      <c r="BK614" s="3446"/>
      <c r="BL614" s="3446"/>
      <c r="BM614" s="3446"/>
      <c r="BN614" s="3446"/>
      <c r="BO614" s="3446"/>
      <c r="BP614" s="3446"/>
      <c r="BQ614" s="3447"/>
      <c r="BR614" s="3445"/>
      <c r="BS614" s="3446"/>
      <c r="BT614" s="3446"/>
      <c r="BU614" s="3446"/>
      <c r="BV614" s="3446"/>
      <c r="BW614" s="3446"/>
      <c r="BX614" s="3446"/>
      <c r="BY614" s="3447"/>
      <c r="BZ614" s="3445"/>
      <c r="CA614" s="3446"/>
      <c r="CB614" s="3446"/>
      <c r="CC614" s="3446"/>
      <c r="CD614" s="3446"/>
      <c r="CE614" s="3446"/>
      <c r="CF614" s="3446"/>
      <c r="CG614" s="3447"/>
      <c r="CH614" s="3445"/>
      <c r="CI614" s="3446"/>
      <c r="CJ614" s="3446"/>
      <c r="CK614" s="3446"/>
      <c r="CL614" s="3446"/>
      <c r="CM614" s="3446"/>
      <c r="CN614" s="3446"/>
      <c r="CO614" s="3447"/>
      <c r="CP614" s="3447"/>
      <c r="CQ614" s="3727" t="s">
        <v>623</v>
      </c>
      <c r="CR614" s="3581"/>
      <c r="CS614" s="3728"/>
      <c r="CT614" s="3728" t="str">
        <f>IF(T614="","",T614)</f>
        <v>Группа потребителей</v>
      </c>
      <c r="CU614" s="3728"/>
      <c r="CV614" s="3728"/>
    </row>
    <row s="11973" customFormat="1" customHeight="1" ht="21">
      <c r="A615" s="3716"/>
      <c r="B615" s="3716"/>
      <c r="C615" s="3716"/>
      <c r="D615" s="3716"/>
      <c r="E615" s="3717"/>
      <c r="F615" s="3717" t="s">
        <v>180</v>
      </c>
      <c r="G615" s="3717"/>
      <c r="H615" s="3717"/>
      <c r="I615" s="3739"/>
      <c r="J615" s="3739"/>
      <c r="K615" s="3730" t="str">
        <f>J614&amp;".1"</f>
        <v>2.20.1.1.1.1.1</v>
      </c>
      <c r="L615" s="3719" t="s">
        <v>624</v>
      </c>
      <c r="M615" s="3573"/>
      <c r="N615" s="3573"/>
      <c r="O615" s="3573"/>
      <c r="P615" s="3732"/>
      <c r="Q615" s="3732"/>
      <c r="R615" s="3740">
        <v>1</v>
      </c>
      <c r="S615" s="3724" t="str">
        <f>$K615</f>
        <v>2.20.1.1.1.1.1</v>
      </c>
      <c r="T615" s="3743" t="s">
        <v>663</v>
      </c>
      <c r="U615" s="3726"/>
      <c r="V615" s="3448"/>
      <c r="W615" s="3449"/>
      <c r="X615" s="3448"/>
      <c r="Y615" s="3450"/>
      <c r="Z615" s="3451"/>
      <c r="AA615" s="2872" t="s">
        <v>63</v>
      </c>
      <c r="AB615" s="3451"/>
      <c r="AC615" s="2872" t="s">
        <v>63</v>
      </c>
      <c r="AD615" s="3448">
        <v>42.13</v>
      </c>
      <c r="AE615" s="3449"/>
      <c r="AF615" s="3448"/>
      <c r="AG615" s="3450"/>
      <c r="AH615" s="3451">
        <v>44197</v>
      </c>
      <c r="AI615" s="2872" t="s">
        <v>63</v>
      </c>
      <c r="AJ615" s="3451">
        <v>44377</v>
      </c>
      <c r="AK615" s="2872" t="s">
        <v>63</v>
      </c>
      <c r="AL615" s="3448">
        <v>43.43</v>
      </c>
      <c r="AM615" s="3449"/>
      <c r="AN615" s="3448"/>
      <c r="AO615" s="3450"/>
      <c r="AP615" s="3451">
        <v>44378</v>
      </c>
      <c r="AQ615" s="2872" t="s">
        <v>63</v>
      </c>
      <c r="AR615" s="3451">
        <v>44561</v>
      </c>
      <c r="AS615" s="2872" t="s">
        <v>63</v>
      </c>
      <c r="AT615" s="3448">
        <v>43.43</v>
      </c>
      <c r="AU615" s="3449"/>
      <c r="AV615" s="3448"/>
      <c r="AW615" s="3450"/>
      <c r="AX615" s="3451">
        <v>44562</v>
      </c>
      <c r="AY615" s="2872" t="s">
        <v>63</v>
      </c>
      <c r="AZ615" s="3451">
        <v>44601</v>
      </c>
      <c r="BA615" s="2872" t="s">
        <v>63</v>
      </c>
      <c r="BB615" s="3448">
        <v>39.38</v>
      </c>
      <c r="BC615" s="3449"/>
      <c r="BD615" s="3448"/>
      <c r="BE615" s="3450"/>
      <c r="BF615" s="3451">
        <v>44602</v>
      </c>
      <c r="BG615" s="2872" t="s">
        <v>63</v>
      </c>
      <c r="BH615" s="3451">
        <v>44742</v>
      </c>
      <c r="BI615" s="2872" t="s">
        <v>63</v>
      </c>
      <c r="BJ615" s="3448">
        <v>39.38</v>
      </c>
      <c r="BK615" s="3449"/>
      <c r="BL615" s="3448"/>
      <c r="BM615" s="3450"/>
      <c r="BN615" s="3451">
        <v>44743</v>
      </c>
      <c r="BO615" s="2872" t="s">
        <v>63</v>
      </c>
      <c r="BP615" s="3451">
        <v>44804</v>
      </c>
      <c r="BQ615" s="2872" t="s">
        <v>63</v>
      </c>
      <c r="BR615" s="3448">
        <v>39.38</v>
      </c>
      <c r="BS615" s="3449"/>
      <c r="BT615" s="3448"/>
      <c r="BU615" s="3450"/>
      <c r="BV615" s="3451">
        <v>44805</v>
      </c>
      <c r="BW615" s="2872" t="s">
        <v>63</v>
      </c>
      <c r="BX615" s="3451">
        <v>44895</v>
      </c>
      <c r="BY615" s="2872" t="s">
        <v>63</v>
      </c>
      <c r="BZ615" s="3448">
        <v>42.38</v>
      </c>
      <c r="CA615" s="3449"/>
      <c r="CB615" s="3448"/>
      <c r="CC615" s="3450"/>
      <c r="CD615" s="3451">
        <v>44896</v>
      </c>
      <c r="CE615" s="2872" t="s">
        <v>63</v>
      </c>
      <c r="CF615" s="3451">
        <v>45174</v>
      </c>
      <c r="CG615" s="2872" t="s">
        <v>63</v>
      </c>
      <c r="CH615" s="3448">
        <v>42.38</v>
      </c>
      <c r="CI615" s="3449"/>
      <c r="CJ615" s="3448"/>
      <c r="CK615" s="3450"/>
      <c r="CL615" s="3451">
        <v>45175</v>
      </c>
      <c r="CM615" s="2872" t="s">
        <v>63</v>
      </c>
      <c r="CN615" s="3451">
        <v>45291</v>
      </c>
      <c r="CO615" s="2872" t="s">
        <v>63</v>
      </c>
      <c r="CP615" s="3449"/>
      <c r="CQ615" s="3744" t="s">
        <v>625</v>
      </c>
      <c r="CR615" s="3581">
        <f>STRCHECKDATE(V616:CP616)</f>
      </c>
      <c r="CS615" s="3728"/>
      <c r="CT615" s="3728" t="str">
        <f>IF(T615="","",T615)</f>
        <v>вода</v>
      </c>
      <c r="CU615" s="3728"/>
      <c r="CV615" s="3728"/>
    </row>
    <row s="11974" customFormat="1" customHeight="1" ht="0.75">
      <c r="A616" s="3716"/>
      <c r="B616" s="3716"/>
      <c r="C616" s="3716"/>
      <c r="D616" s="3716"/>
      <c r="E616" s="3717"/>
      <c r="F616" s="3717" t="s">
        <v>180</v>
      </c>
      <c r="G616" s="3717"/>
      <c r="H616" s="3717"/>
      <c r="I616" s="3739"/>
      <c r="J616" s="3739"/>
      <c r="K616" s="3730"/>
      <c r="L616" s="3719"/>
      <c r="M616" s="3573"/>
      <c r="N616" s="3573"/>
      <c r="O616" s="3573"/>
      <c r="P616" s="3732"/>
      <c r="Q616" s="3732"/>
      <c r="R616" s="3740"/>
      <c r="S616" s="3746"/>
      <c r="T616" s="3726"/>
      <c r="U616" s="3726"/>
      <c r="V616" s="3449"/>
      <c r="W616" s="3449"/>
      <c r="X616" s="3449"/>
      <c r="Y616" s="3452" t="str">
        <f>Z615&amp;"-"&amp;AB615</f>
        <v>-</v>
      </c>
      <c r="Z616" s="3453"/>
      <c r="AA616" s="2872"/>
      <c r="AB616" s="3453"/>
      <c r="AC616" s="2872"/>
      <c r="AD616" s="3449"/>
      <c r="AE616" s="3449"/>
      <c r="AF616" s="3449"/>
      <c r="AG616" s="3452" t="str">
        <f>AH615&amp;"-"&amp;AJ615</f>
        <v>44197-44377</v>
      </c>
      <c r="AH616" s="3453"/>
      <c r="AI616" s="2872"/>
      <c r="AJ616" s="3453"/>
      <c r="AK616" s="2872"/>
      <c r="AL616" s="3449"/>
      <c r="AM616" s="3449"/>
      <c r="AN616" s="3449"/>
      <c r="AO616" s="3452" t="str">
        <f>AP615&amp;"-"&amp;AR615</f>
        <v>44378-44561</v>
      </c>
      <c r="AP616" s="3453"/>
      <c r="AQ616" s="2872"/>
      <c r="AR616" s="3453"/>
      <c r="AS616" s="2872"/>
      <c r="AT616" s="3449"/>
      <c r="AU616" s="3449"/>
      <c r="AV616" s="3449"/>
      <c r="AW616" s="3452" t="str">
        <f>AX615&amp;"-"&amp;AZ615</f>
        <v>44562-44601</v>
      </c>
      <c r="AX616" s="3453"/>
      <c r="AY616" s="2872"/>
      <c r="AZ616" s="3453"/>
      <c r="BA616" s="2872"/>
      <c r="BB616" s="3449"/>
      <c r="BC616" s="3449"/>
      <c r="BD616" s="3449"/>
      <c r="BE616" s="3452" t="str">
        <f>BF615&amp;"-"&amp;BH615</f>
        <v>44602-44742</v>
      </c>
      <c r="BF616" s="3453"/>
      <c r="BG616" s="2872"/>
      <c r="BH616" s="3453"/>
      <c r="BI616" s="2872"/>
      <c r="BJ616" s="3449"/>
      <c r="BK616" s="3449"/>
      <c r="BL616" s="3449"/>
      <c r="BM616" s="3452" t="str">
        <f>BN615&amp;"-"&amp;BP615</f>
        <v>44743-44804</v>
      </c>
      <c r="BN616" s="3453"/>
      <c r="BO616" s="2872"/>
      <c r="BP616" s="3453"/>
      <c r="BQ616" s="2872"/>
      <c r="BR616" s="3449"/>
      <c r="BS616" s="3449"/>
      <c r="BT616" s="3449"/>
      <c r="BU616" s="3452" t="str">
        <f>BV615&amp;"-"&amp;BX615</f>
        <v>44805-44895</v>
      </c>
      <c r="BV616" s="3453"/>
      <c r="BW616" s="2872"/>
      <c r="BX616" s="3453"/>
      <c r="BY616" s="2872"/>
      <c r="BZ616" s="3449"/>
      <c r="CA616" s="3449"/>
      <c r="CB616" s="3449"/>
      <c r="CC616" s="3452" t="str">
        <f>CD615&amp;"-"&amp;CF615</f>
        <v>44896-45174</v>
      </c>
      <c r="CD616" s="3453"/>
      <c r="CE616" s="2872"/>
      <c r="CF616" s="3453"/>
      <c r="CG616" s="2872"/>
      <c r="CH616" s="3449"/>
      <c r="CI616" s="3449"/>
      <c r="CJ616" s="3449"/>
      <c r="CK616" s="3452" t="str">
        <f>CL615&amp;"-"&amp;CN615</f>
        <v>45175-45291</v>
      </c>
      <c r="CL616" s="3453"/>
      <c r="CM616" s="2872"/>
      <c r="CN616" s="3453"/>
      <c r="CO616" s="2872"/>
      <c r="CP616" s="3449"/>
      <c r="CQ616" s="3747"/>
      <c r="CR616" s="3581"/>
      <c r="CS616" s="3728"/>
      <c r="CT616" s="3728" t="str">
        <f>IF(T616="","",T616)</f>
        <v/>
      </c>
      <c r="CU616" s="3728"/>
      <c r="CV616" s="3728"/>
    </row>
    <row s="11975" customFormat="1" customHeight="1" ht="15">
      <c r="A617" s="3716"/>
      <c r="B617" s="3716"/>
      <c r="C617" s="3716"/>
      <c r="D617" s="3716"/>
      <c r="E617" s="3717"/>
      <c r="F617" s="3717" t="s">
        <v>180</v>
      </c>
      <c r="G617" s="3717"/>
      <c r="H617" s="3717"/>
      <c r="I617" s="3739"/>
      <c r="J617" s="3730"/>
      <c r="K617" s="3716"/>
      <c r="L617" s="3719"/>
      <c r="M617" s="3573"/>
      <c r="N617" s="3573"/>
      <c r="O617" s="3731"/>
      <c r="P617" s="3732"/>
      <c r="Q617" s="3732"/>
      <c r="R617" s="3733"/>
      <c r="S617" s="11976"/>
      <c r="T617" s="11977" t="s">
        <v>626</v>
      </c>
      <c r="U617" s="11978"/>
      <c r="V617" s="11979"/>
      <c r="W617" s="11980"/>
      <c r="X617" s="11981"/>
      <c r="Y617" s="11982"/>
      <c r="Z617" s="11983"/>
      <c r="AA617" s="11984"/>
      <c r="AB617" s="11985"/>
      <c r="AC617" s="11986"/>
      <c r="AD617" s="11987"/>
      <c r="AE617" s="11988"/>
      <c r="AF617" s="11989"/>
      <c r="AG617" s="11990"/>
      <c r="AH617" s="11991"/>
      <c r="AI617" s="11992"/>
      <c r="AJ617" s="11993"/>
      <c r="AK617" s="11994"/>
      <c r="AL617" s="11995"/>
      <c r="AM617" s="11996"/>
      <c r="AN617" s="11997"/>
      <c r="AO617" s="11998"/>
      <c r="AP617" s="11999"/>
      <c r="AQ617" s="12000"/>
      <c r="AR617" s="12001"/>
      <c r="AS617" s="12002"/>
      <c r="AT617" s="12003"/>
      <c r="AU617" s="12004"/>
      <c r="AV617" s="12005"/>
      <c r="AW617" s="12006"/>
      <c r="AX617" s="12007"/>
      <c r="AY617" s="12008"/>
      <c r="AZ617" s="12009"/>
      <c r="BA617" s="12010"/>
      <c r="BB617" s="12011"/>
      <c r="BC617" s="12012"/>
      <c r="BD617" s="12013"/>
      <c r="BE617" s="12014"/>
      <c r="BF617" s="12015"/>
      <c r="BG617" s="12016"/>
      <c r="BH617" s="12017"/>
      <c r="BI617" s="12018"/>
      <c r="BJ617" s="12019"/>
      <c r="BK617" s="12020"/>
      <c r="BL617" s="12021"/>
      <c r="BM617" s="12022"/>
      <c r="BN617" s="12023"/>
      <c r="BO617" s="12024"/>
      <c r="BP617" s="12025"/>
      <c r="BQ617" s="12026"/>
      <c r="BR617" s="12027"/>
      <c r="BS617" s="12028"/>
      <c r="BT617" s="12029"/>
      <c r="BU617" s="12030"/>
      <c r="BV617" s="12031"/>
      <c r="BW617" s="12032"/>
      <c r="BX617" s="12033"/>
      <c r="BY617" s="12034"/>
      <c r="BZ617" s="12035"/>
      <c r="CA617" s="12036"/>
      <c r="CB617" s="12037"/>
      <c r="CC617" s="12038"/>
      <c r="CD617" s="12039"/>
      <c r="CE617" s="12040"/>
      <c r="CF617" s="12041"/>
      <c r="CG617" s="12042"/>
      <c r="CH617" s="12043"/>
      <c r="CI617" s="12044"/>
      <c r="CJ617" s="12045"/>
      <c r="CK617" s="12046"/>
      <c r="CL617" s="12047"/>
      <c r="CM617" s="12048"/>
      <c r="CN617" s="12049"/>
      <c r="CO617" s="12050"/>
      <c r="CP617" s="12051"/>
      <c r="CQ617" s="3825"/>
      <c r="CR617" s="3581"/>
      <c r="CS617" s="3728"/>
      <c r="CT617" s="3728" t="str">
        <f>IF(T617="","",T617)</f>
        <v>Добавить вид теплоносителя (параметры теплоносителя)</v>
      </c>
      <c r="CU617" s="3728"/>
      <c r="CV617" s="3728"/>
    </row>
    <row s="12052" customFormat="1" customHeight="1" ht="15">
      <c r="A618" s="3716"/>
      <c r="B618" s="3716"/>
      <c r="C618" s="3716"/>
      <c r="D618" s="3716"/>
      <c r="E618" s="3717"/>
      <c r="F618" s="3717" t="s">
        <v>180</v>
      </c>
      <c r="G618" s="3717"/>
      <c r="H618" s="3717"/>
      <c r="I618" s="3730"/>
      <c r="J618" s="3716"/>
      <c r="K618" s="3716"/>
      <c r="L618" s="3719"/>
      <c r="M618" s="3573"/>
      <c r="N618" s="3731"/>
      <c r="O618" s="3731"/>
      <c r="P618" s="3732"/>
      <c r="Q618" s="3732"/>
      <c r="R618" s="3733"/>
      <c r="S618" s="12053"/>
      <c r="T618" s="12054" t="s">
        <v>627</v>
      </c>
      <c r="U618" s="12055"/>
      <c r="V618" s="12056"/>
      <c r="W618" s="12057"/>
      <c r="X618" s="12058"/>
      <c r="Y618" s="12059"/>
      <c r="Z618" s="12060"/>
      <c r="AA618" s="12061"/>
      <c r="AB618" s="12062"/>
      <c r="AC618" s="12063"/>
      <c r="AD618" s="12064"/>
      <c r="AE618" s="12065"/>
      <c r="AF618" s="12066"/>
      <c r="AG618" s="12067"/>
      <c r="AH618" s="12068"/>
      <c r="AI618" s="12069"/>
      <c r="AJ618" s="12070"/>
      <c r="AK618" s="12071"/>
      <c r="AL618" s="12072"/>
      <c r="AM618" s="12073"/>
      <c r="AN618" s="12074"/>
      <c r="AO618" s="12075"/>
      <c r="AP618" s="12076"/>
      <c r="AQ618" s="12077"/>
      <c r="AR618" s="12078"/>
      <c r="AS618" s="12079"/>
      <c r="AT618" s="12080"/>
      <c r="AU618" s="12081"/>
      <c r="AV618" s="12082"/>
      <c r="AW618" s="12083"/>
      <c r="AX618" s="12084"/>
      <c r="AY618" s="12085"/>
      <c r="AZ618" s="12086"/>
      <c r="BA618" s="12087"/>
      <c r="BB618" s="12088"/>
      <c r="BC618" s="12089"/>
      <c r="BD618" s="12090"/>
      <c r="BE618" s="12091"/>
      <c r="BF618" s="12092"/>
      <c r="BG618" s="12093"/>
      <c r="BH618" s="12094"/>
      <c r="BI618" s="12095"/>
      <c r="BJ618" s="12096"/>
      <c r="BK618" s="12097"/>
      <c r="BL618" s="12098"/>
      <c r="BM618" s="12099"/>
      <c r="BN618" s="12100"/>
      <c r="BO618" s="12101"/>
      <c r="BP618" s="12102"/>
      <c r="BQ618" s="12103"/>
      <c r="BR618" s="12104"/>
      <c r="BS618" s="12105"/>
      <c r="BT618" s="12106"/>
      <c r="BU618" s="12107"/>
      <c r="BV618" s="12108"/>
      <c r="BW618" s="12109"/>
      <c r="BX618" s="12110"/>
      <c r="BY618" s="12111"/>
      <c r="BZ618" s="12112"/>
      <c r="CA618" s="12113"/>
      <c r="CB618" s="12114"/>
      <c r="CC618" s="12115"/>
      <c r="CD618" s="12116"/>
      <c r="CE618" s="12117"/>
      <c r="CF618" s="12118"/>
      <c r="CG618" s="12119"/>
      <c r="CH618" s="12120"/>
      <c r="CI618" s="12121"/>
      <c r="CJ618" s="12122"/>
      <c r="CK618" s="12123"/>
      <c r="CL618" s="12124"/>
      <c r="CM618" s="12125"/>
      <c r="CN618" s="12126"/>
      <c r="CO618" s="12127"/>
      <c r="CP618" s="12128"/>
      <c r="CQ618" s="12129"/>
      <c r="CR618" s="3581"/>
      <c r="CS618" s="3728"/>
      <c r="CT618" s="3728" t="str">
        <f>IF(T618="","",T618)</f>
        <v>Добавить группу потребителей</v>
      </c>
      <c r="CU618" s="3728"/>
      <c r="CV618" s="3728"/>
    </row>
    <row s="12130" customFormat="1" customHeight="1" ht="14.25">
      <c r="A619" s="3716"/>
      <c r="B619" s="3716"/>
      <c r="C619" s="3716"/>
      <c r="D619" s="3716"/>
      <c r="E619" s="3717"/>
      <c r="F619" s="3717" t="s">
        <v>180</v>
      </c>
      <c r="G619" s="3717"/>
      <c r="H619" s="3718"/>
      <c r="I619" s="3716"/>
      <c r="J619" s="3716"/>
      <c r="K619" s="3716"/>
      <c r="L619" s="3719"/>
      <c r="M619" s="3720"/>
      <c r="N619" s="3720"/>
      <c r="O619" s="3573"/>
      <c r="P619" s="3905"/>
      <c r="Q619" s="3906"/>
      <c r="R619" s="3907"/>
      <c r="S619" s="3908"/>
      <c r="T619" s="3909"/>
      <c r="U619" s="3569"/>
      <c r="V619" s="3569"/>
      <c r="W619" s="3569"/>
      <c r="X619" s="3569"/>
      <c r="Y619" s="3569"/>
      <c r="Z619" s="3569"/>
      <c r="AA619" s="3569"/>
      <c r="AB619" s="3569"/>
      <c r="AC619" s="3569"/>
      <c r="AD619" s="3569"/>
      <c r="AE619" s="3569"/>
      <c r="AF619" s="3569"/>
      <c r="AG619" s="3569"/>
      <c r="AH619" s="3569"/>
      <c r="AI619" s="3569"/>
      <c r="AJ619" s="3569"/>
      <c r="AK619" s="3569"/>
      <c r="AL619" s="3569"/>
      <c r="AM619" s="3569"/>
      <c r="AN619" s="3569"/>
      <c r="AO619" s="3569"/>
      <c r="AP619" s="3569"/>
      <c r="AQ619" s="3569"/>
      <c r="AR619" s="3569"/>
      <c r="AS619" s="3569"/>
      <c r="AT619" s="3569"/>
      <c r="AU619" s="3569"/>
      <c r="AV619" s="3569"/>
      <c r="AW619" s="3569"/>
      <c r="AX619" s="3569"/>
      <c r="AY619" s="3569"/>
      <c r="AZ619" s="3569"/>
      <c r="BA619" s="3569"/>
      <c r="BB619" s="3569"/>
      <c r="BC619" s="3569"/>
      <c r="BD619" s="3569"/>
      <c r="BE619" s="3569"/>
      <c r="BF619" s="3569"/>
      <c r="BG619" s="3569"/>
      <c r="BH619" s="3569"/>
      <c r="BI619" s="3569"/>
      <c r="BJ619" s="3569"/>
      <c r="BK619" s="3569"/>
      <c r="BL619" s="3569"/>
      <c r="BM619" s="3569"/>
      <c r="BN619" s="3569"/>
      <c r="BO619" s="3569"/>
      <c r="BP619" s="3569"/>
      <c r="BQ619" s="3569"/>
      <c r="BR619" s="3569"/>
      <c r="BS619" s="3569"/>
      <c r="BT619" s="3569"/>
      <c r="BU619" s="3569"/>
      <c r="BV619" s="3569"/>
      <c r="BW619" s="3569"/>
      <c r="BX619" s="3569"/>
      <c r="BY619" s="3569"/>
      <c r="BZ619" s="3569"/>
      <c r="CA619" s="3569"/>
      <c r="CB619" s="3569"/>
      <c r="CC619" s="3569"/>
      <c r="CD619" s="3569"/>
      <c r="CE619" s="3569"/>
      <c r="CF619" s="3569"/>
      <c r="CG619" s="3569"/>
      <c r="CH619" s="3569"/>
      <c r="CI619" s="3569"/>
      <c r="CJ619" s="3569"/>
      <c r="CK619" s="3569"/>
      <c r="CL619" s="3569"/>
      <c r="CM619" s="3569"/>
      <c r="CN619" s="3569"/>
      <c r="CO619" s="3569"/>
      <c r="CP619" s="3569"/>
      <c r="CQ619" s="3910"/>
      <c r="CR619" s="3581"/>
      <c r="CS619" s="3728"/>
      <c r="CT619" s="3728" t="str">
        <f>IF(T619="","",T619)</f>
        <v/>
      </c>
      <c r="CU619" s="3728"/>
      <c r="CV619" s="3728"/>
    </row>
    <row s="12131" customFormat="1" customHeight="1" ht="0.75">
      <c r="A620" s="4239"/>
      <c r="B620" s="4239"/>
      <c r="C620" s="4239"/>
      <c r="D620" s="4239"/>
      <c r="E620" s="3717"/>
      <c r="F620" s="3717" t="s">
        <v>180</v>
      </c>
      <c r="G620" s="3718"/>
      <c r="H620" s="4239"/>
      <c r="I620" s="4239"/>
      <c r="J620" s="4239"/>
      <c r="K620" s="4239"/>
      <c r="L620" s="4240"/>
      <c r="M620" s="4241"/>
      <c r="N620" s="4241"/>
      <c r="O620" s="3581"/>
      <c r="P620" s="4242"/>
      <c r="Q620" s="4243"/>
      <c r="R620" s="4242"/>
      <c r="S620" s="4244"/>
      <c r="T620" s="4245" t="s">
        <v>254</v>
      </c>
      <c r="U620" s="3571"/>
      <c r="V620" s="3571"/>
      <c r="W620" s="3571"/>
      <c r="X620" s="3571"/>
      <c r="Y620" s="3571"/>
      <c r="Z620" s="3571"/>
      <c r="AA620" s="3571"/>
      <c r="AB620" s="3571"/>
      <c r="AC620" s="3571"/>
      <c r="AD620" s="3571"/>
      <c r="AE620" s="3571"/>
      <c r="AF620" s="3571"/>
      <c r="AG620" s="3571"/>
      <c r="AH620" s="3571"/>
      <c r="AI620" s="3571"/>
      <c r="AJ620" s="3571"/>
      <c r="AK620" s="3571"/>
      <c r="AL620" s="3571"/>
      <c r="AM620" s="3571"/>
      <c r="AN620" s="3571"/>
      <c r="AO620" s="3571"/>
      <c r="AP620" s="3571"/>
      <c r="AQ620" s="3571"/>
      <c r="AR620" s="3571"/>
      <c r="AS620" s="3571"/>
      <c r="AT620" s="3571"/>
      <c r="AU620" s="3571"/>
      <c r="AV620" s="3571"/>
      <c r="AW620" s="3571"/>
      <c r="AX620" s="3571"/>
      <c r="AY620" s="3571"/>
      <c r="AZ620" s="3571"/>
      <c r="BA620" s="3571"/>
      <c r="BB620" s="3571"/>
      <c r="BC620" s="3571"/>
      <c r="BD620" s="3571"/>
      <c r="BE620" s="3571"/>
      <c r="BF620" s="3571"/>
      <c r="BG620" s="3571"/>
      <c r="BH620" s="3571"/>
      <c r="BI620" s="3571"/>
      <c r="BJ620" s="3571"/>
      <c r="BK620" s="3571"/>
      <c r="BL620" s="3571"/>
      <c r="BM620" s="3571"/>
      <c r="BN620" s="3571"/>
      <c r="BO620" s="3571"/>
      <c r="BP620" s="3571"/>
      <c r="BQ620" s="3571"/>
      <c r="BR620" s="3571"/>
      <c r="BS620" s="3571"/>
      <c r="BT620" s="3571"/>
      <c r="BU620" s="3571"/>
      <c r="BV620" s="3571"/>
      <c r="BW620" s="3571"/>
      <c r="BX620" s="3571"/>
      <c r="BY620" s="3571"/>
      <c r="BZ620" s="3571"/>
      <c r="CA620" s="3571"/>
      <c r="CB620" s="3571"/>
      <c r="CC620" s="3571"/>
      <c r="CD620" s="3571"/>
      <c r="CE620" s="3571"/>
      <c r="CF620" s="3571"/>
      <c r="CG620" s="3571"/>
      <c r="CH620" s="3571"/>
      <c r="CI620" s="3571"/>
      <c r="CJ620" s="3571"/>
      <c r="CK620" s="3571"/>
      <c r="CL620" s="3571"/>
      <c r="CM620" s="3571"/>
      <c r="CN620" s="3571"/>
      <c r="CO620" s="3571"/>
      <c r="CP620" s="3571"/>
      <c r="CQ620" s="3571"/>
      <c r="CR620" s="3581"/>
      <c r="CS620" s="3728"/>
      <c r="CT620" s="3728" t="str">
        <f>IF(T620="","",T620)</f>
        <v>Добавить источник для дифференциации</v>
      </c>
      <c r="CU620" s="3728"/>
      <c r="CV620" s="3728"/>
    </row>
    <row s="12132" customFormat="1" customHeight="1" ht="0.75">
      <c r="A621" s="4239"/>
      <c r="B621" s="4239"/>
      <c r="C621" s="4239"/>
      <c r="D621" s="4239"/>
      <c r="E621" s="3717"/>
      <c r="F621" s="3718" t="s">
        <v>180</v>
      </c>
      <c r="G621" s="4239"/>
      <c r="H621" s="4239"/>
      <c r="I621" s="4239"/>
      <c r="J621" s="4239"/>
      <c r="K621" s="4239"/>
      <c r="L621" s="4240"/>
      <c r="M621" s="4247"/>
      <c r="N621" s="4247"/>
      <c r="O621" s="3581"/>
      <c r="P621" s="4242"/>
      <c r="Q621" s="4243"/>
      <c r="R621" s="4242"/>
      <c r="S621" s="4248"/>
      <c r="T621" s="4249" t="s">
        <v>255</v>
      </c>
      <c r="U621" s="3572"/>
      <c r="V621" s="3572"/>
      <c r="W621" s="3572"/>
      <c r="X621" s="3572"/>
      <c r="Y621" s="3572"/>
      <c r="Z621" s="3572"/>
      <c r="AA621" s="3572"/>
      <c r="AB621" s="3572"/>
      <c r="AC621" s="3572"/>
      <c r="AD621" s="3572"/>
      <c r="AE621" s="3572"/>
      <c r="AF621" s="3572"/>
      <c r="AG621" s="3572"/>
      <c r="AH621" s="3572"/>
      <c r="AI621" s="3572"/>
      <c r="AJ621" s="3572"/>
      <c r="AK621" s="3572"/>
      <c r="AL621" s="3572"/>
      <c r="AM621" s="3572"/>
      <c r="AN621" s="3572"/>
      <c r="AO621" s="3572"/>
      <c r="AP621" s="3572"/>
      <c r="AQ621" s="3572"/>
      <c r="AR621" s="3572"/>
      <c r="AS621" s="3572"/>
      <c r="AT621" s="3572"/>
      <c r="AU621" s="3572"/>
      <c r="AV621" s="3572"/>
      <c r="AW621" s="3572"/>
      <c r="AX621" s="3572"/>
      <c r="AY621" s="3572"/>
      <c r="AZ621" s="3572"/>
      <c r="BA621" s="3572"/>
      <c r="BB621" s="3572"/>
      <c r="BC621" s="3572"/>
      <c r="BD621" s="3572"/>
      <c r="BE621" s="3572"/>
      <c r="BF621" s="3572"/>
      <c r="BG621" s="3572"/>
      <c r="BH621" s="3572"/>
      <c r="BI621" s="3572"/>
      <c r="BJ621" s="3572"/>
      <c r="BK621" s="3572"/>
      <c r="BL621" s="3572"/>
      <c r="BM621" s="3572"/>
      <c r="BN621" s="3572"/>
      <c r="BO621" s="3572"/>
      <c r="BP621" s="3572"/>
      <c r="BQ621" s="3572"/>
      <c r="BR621" s="3572"/>
      <c r="BS621" s="3572"/>
      <c r="BT621" s="3572"/>
      <c r="BU621" s="3572"/>
      <c r="BV621" s="3572"/>
      <c r="BW621" s="3572"/>
      <c r="BX621" s="3572"/>
      <c r="BY621" s="3572"/>
      <c r="BZ621" s="3572"/>
      <c r="CA621" s="3572"/>
      <c r="CB621" s="3572"/>
      <c r="CC621" s="3572"/>
      <c r="CD621" s="3572"/>
      <c r="CE621" s="3572"/>
      <c r="CF621" s="3572"/>
      <c r="CG621" s="3572"/>
      <c r="CH621" s="3572"/>
      <c r="CI621" s="3572"/>
      <c r="CJ621" s="3572"/>
      <c r="CK621" s="3572"/>
      <c r="CL621" s="3572"/>
      <c r="CM621" s="3572"/>
      <c r="CN621" s="3572"/>
      <c r="CO621" s="3572"/>
      <c r="CP621" s="3572"/>
      <c r="CQ621" s="3572"/>
      <c r="CR621" s="3581"/>
      <c r="CS621" s="3728"/>
      <c r="CT621" s="3728" t="str">
        <f>IF(T621="","",T621)</f>
        <v>Добавить централизованную систему для дифференциации</v>
      </c>
      <c r="CU621" s="3728"/>
      <c r="CV621" s="3728"/>
    </row>
    <row s="12133" customFormat="1" customHeight="1" ht="0.75">
      <c r="A622" s="4239"/>
      <c r="B622" s="4239"/>
      <c r="C622" s="4239"/>
      <c r="D622" s="4239"/>
      <c r="E622" s="3718">
        <v>1</v>
      </c>
      <c r="F622" s="4239"/>
      <c r="G622" s="4239"/>
      <c r="H622" s="4239"/>
      <c r="I622" s="4239"/>
      <c r="J622" s="4239"/>
      <c r="K622" s="4239"/>
      <c r="L622" s="4240"/>
      <c r="M622" s="4247"/>
      <c r="N622" s="4247"/>
      <c r="O622" s="3581"/>
      <c r="P622" s="4242"/>
      <c r="Q622" s="4243"/>
      <c r="R622" s="4242"/>
      <c r="S622" s="4248"/>
      <c r="T622" s="12134" t="s">
        <v>329</v>
      </c>
      <c r="U622" s="3572"/>
      <c r="V622" s="3572"/>
      <c r="W622" s="3572"/>
      <c r="X622" s="3572"/>
      <c r="Y622" s="3572"/>
      <c r="Z622" s="3572"/>
      <c r="AA622" s="3572"/>
      <c r="AB622" s="3572"/>
      <c r="AC622" s="3572"/>
      <c r="AD622" s="3572"/>
      <c r="AE622" s="3572"/>
      <c r="AF622" s="3572"/>
      <c r="AG622" s="3572"/>
      <c r="AH622" s="3572"/>
      <c r="AI622" s="3572"/>
      <c r="AJ622" s="3572"/>
      <c r="AK622" s="3572"/>
      <c r="AL622" s="3572"/>
      <c r="AM622" s="3572"/>
      <c r="AN622" s="3572"/>
      <c r="AO622" s="3572"/>
      <c r="AP622" s="3572"/>
      <c r="AQ622" s="3572"/>
      <c r="AR622" s="3572"/>
      <c r="AS622" s="3572"/>
      <c r="AT622" s="3572"/>
      <c r="AU622" s="3572"/>
      <c r="AV622" s="3572"/>
      <c r="AW622" s="3572"/>
      <c r="AX622" s="3572"/>
      <c r="AY622" s="3572"/>
      <c r="AZ622" s="3572"/>
      <c r="BA622" s="3572"/>
      <c r="BB622" s="3572"/>
      <c r="BC622" s="3572"/>
      <c r="BD622" s="3572"/>
      <c r="BE622" s="3572"/>
      <c r="BF622" s="3572"/>
      <c r="BG622" s="3572"/>
      <c r="BH622" s="3572"/>
      <c r="BI622" s="3572"/>
      <c r="BJ622" s="3572"/>
      <c r="BK622" s="3572"/>
      <c r="BL622" s="3572"/>
      <c r="BM622" s="3572"/>
      <c r="BN622" s="3572"/>
      <c r="BO622" s="3572"/>
      <c r="BP622" s="3572"/>
      <c r="BQ622" s="3572"/>
      <c r="BR622" s="3572"/>
      <c r="BS622" s="3572"/>
      <c r="BT622" s="3572"/>
      <c r="BU622" s="3572"/>
      <c r="BV622" s="3572"/>
      <c r="BW622" s="3572"/>
      <c r="BX622" s="3572"/>
      <c r="BY622" s="3572"/>
      <c r="BZ622" s="3572"/>
      <c r="CA622" s="3572"/>
      <c r="CB622" s="3572"/>
      <c r="CC622" s="3572"/>
      <c r="CD622" s="3572"/>
      <c r="CE622" s="3572"/>
      <c r="CF622" s="3572"/>
      <c r="CG622" s="3572"/>
      <c r="CH622" s="3572"/>
      <c r="CI622" s="3572"/>
      <c r="CJ622" s="3572"/>
      <c r="CK622" s="3572"/>
      <c r="CL622" s="3572"/>
      <c r="CM622" s="3572"/>
      <c r="CN622" s="3572"/>
      <c r="CO622" s="3572"/>
      <c r="CP622" s="3572"/>
      <c r="CQ622" s="3572"/>
      <c r="CR622" s="3581"/>
      <c r="CS622" s="3728"/>
      <c r="CT622" s="3728" t="str">
        <f>IF(T622="","",T622)</f>
        <v>Добавить территорию для дифференциации</v>
      </c>
      <c r="CU622" s="3728"/>
      <c r="CV622" s="3728"/>
    </row>
    <row s="3314" customFormat="1" customHeight="1" ht="0.75">
      <c r="A623" s="1344"/>
      <c r="B623" s="1344"/>
      <c r="C623" s="1344"/>
      <c r="D623" s="1344"/>
      <c r="E623" s="1373"/>
      <c r="F623" s="1344"/>
      <c r="G623" s="1344"/>
      <c r="H623" s="1344"/>
      <c r="I623" s="1344"/>
      <c r="J623" s="1344"/>
      <c r="K623" s="1344"/>
      <c r="L623" s="1369"/>
      <c r="M623" s="1351"/>
      <c r="N623" s="1351"/>
      <c r="P623" s="1346"/>
      <c r="Q623" s="1347"/>
      <c r="R623" s="1346"/>
      <c r="S623" s="1352"/>
      <c r="T623" s="1355" t="s">
        <v>398</v>
      </c>
      <c r="U623" s="1354"/>
      <c r="V623" s="1354"/>
      <c r="W623" s="1354"/>
      <c r="X623" s="1354"/>
      <c r="Y623" s="1354"/>
      <c r="Z623" s="1354"/>
      <c r="AA623" s="1354"/>
      <c r="AB623" s="1354"/>
      <c r="AC623" s="1354"/>
      <c r="AD623" s="1354"/>
      <c r="AE623" s="1354"/>
      <c r="AF623" s="1354"/>
      <c r="AG623" s="1354"/>
      <c r="AH623" s="1354"/>
      <c r="AI623" s="1354"/>
      <c r="AJ623" s="1354"/>
      <c r="AK623" s="1354"/>
      <c r="AL623" s="3572"/>
      <c r="AM623" s="3572"/>
      <c r="AN623" s="3572"/>
      <c r="AO623" s="3572"/>
      <c r="AP623" s="3572"/>
      <c r="AQ623" s="3572"/>
      <c r="AR623" s="3572"/>
      <c r="AS623" s="3572"/>
      <c r="AT623" s="3572"/>
      <c r="AU623" s="3572"/>
      <c r="AV623" s="3572"/>
      <c r="AW623" s="3572"/>
      <c r="AX623" s="3572"/>
      <c r="AY623" s="3572"/>
      <c r="AZ623" s="3572"/>
      <c r="BA623" s="3572"/>
      <c r="BB623" s="3572"/>
      <c r="BC623" s="3572"/>
      <c r="BD623" s="3572"/>
      <c r="BE623" s="3572"/>
      <c r="BF623" s="3572"/>
      <c r="BG623" s="3572"/>
      <c r="BH623" s="3572"/>
      <c r="BI623" s="3572"/>
      <c r="BJ623" s="3572"/>
      <c r="BK623" s="3572"/>
      <c r="BL623" s="3572"/>
      <c r="BM623" s="3572"/>
      <c r="BN623" s="3572"/>
      <c r="BO623" s="3572"/>
      <c r="BP623" s="3572"/>
      <c r="BQ623" s="3572"/>
      <c r="BR623" s="3572"/>
      <c r="BS623" s="3572"/>
      <c r="BT623" s="3572"/>
      <c r="BU623" s="3572"/>
      <c r="BV623" s="3572"/>
      <c r="BW623" s="3572"/>
      <c r="BX623" s="3572"/>
      <c r="BY623" s="3572"/>
      <c r="BZ623" s="3572"/>
      <c r="CA623" s="3572"/>
      <c r="CB623" s="3572"/>
      <c r="CC623" s="3572"/>
      <c r="CD623" s="3572"/>
      <c r="CE623" s="3572"/>
      <c r="CF623" s="3572"/>
      <c r="CG623" s="3572"/>
      <c r="CH623" s="3572"/>
      <c r="CI623" s="3572"/>
      <c r="CJ623" s="3572"/>
      <c r="CK623" s="3572"/>
      <c r="CL623" s="3572"/>
      <c r="CM623" s="3572"/>
      <c r="CN623" s="3572"/>
      <c r="CO623" s="3572"/>
      <c r="CP623" s="1354"/>
      <c r="CQ623" s="1354"/>
      <c r="CS623" s="795"/>
      <c r="CT623" s="795" t="str">
        <f>IF(T623="","",T623)</f>
        <v>Добавить наименование тарифа</v>
      </c>
      <c r="CU623" s="795"/>
      <c r="CV623" s="795"/>
    </row>
    <row customHeight="1" ht="11.25">
      <c r="M624" s="1168"/>
      <c r="N624" s="1168"/>
      <c r="O624" s="543"/>
      <c r="P624" s="1163"/>
      <c r="Q624" s="1163"/>
      <c r="R624" s="1163"/>
      <c r="S624" s="1163"/>
      <c r="AL624" s="3431"/>
      <c r="AM624" s="3431"/>
      <c r="AN624" s="3431"/>
      <c r="AO624" s="3431"/>
      <c r="AP624" s="3431"/>
      <c r="AQ624" s="3431"/>
      <c r="AR624" s="3431"/>
      <c r="AS624" s="3431"/>
      <c r="AT624" s="3431"/>
      <c r="AU624" s="3431"/>
      <c r="AV624" s="3431"/>
      <c r="AW624" s="3431"/>
      <c r="AX624" s="3431"/>
      <c r="AY624" s="3431"/>
      <c r="AZ624" s="3431"/>
      <c r="BA624" s="3431"/>
      <c r="BB624" s="3431"/>
      <c r="BC624" s="3431"/>
      <c r="BD624" s="3431"/>
      <c r="BE624" s="3431"/>
      <c r="BF624" s="3431"/>
      <c r="BG624" s="3431"/>
      <c r="BH624" s="3431"/>
      <c r="BI624" s="3431"/>
      <c r="BJ624" s="3431"/>
      <c r="BK624" s="3431"/>
      <c r="BL624" s="3431"/>
      <c r="BM624" s="3431"/>
      <c r="BN624" s="3431"/>
      <c r="BO624" s="3431"/>
      <c r="BP624" s="3431"/>
      <c r="BQ624" s="3431"/>
      <c r="BR624" s="3431"/>
      <c r="BS624" s="3431"/>
      <c r="BT624" s="3431"/>
      <c r="BU624" s="3431"/>
      <c r="BV624" s="3431"/>
      <c r="BW624" s="3431"/>
      <c r="BX624" s="3431"/>
      <c r="BY624" s="3431"/>
      <c r="BZ624" s="3431"/>
      <c r="CA624" s="3431"/>
      <c r="CB624" s="3431"/>
      <c r="CC624" s="3431"/>
      <c r="CD624" s="3431"/>
      <c r="CE624" s="3431"/>
      <c r="CF624" s="3431"/>
      <c r="CG624" s="3431"/>
      <c r="CH624" s="3431"/>
      <c r="CI624" s="3431"/>
      <c r="CJ624" s="3431"/>
      <c r="CK624" s="3431"/>
      <c r="CL624" s="3431"/>
      <c r="CM624" s="3431"/>
      <c r="CN624" s="3431"/>
      <c r="CO624" s="3431"/>
      <c r="CR624" s="1163"/>
      <c r="CS624" s="1163"/>
      <c r="CT624" s="1163"/>
      <c r="CU624" s="1163"/>
      <c r="CV624" s="1163"/>
    </row>
    <row customHeight="1" ht="18.75">
      <c r="O625" s="543"/>
      <c r="S625" s="1273"/>
      <c r="T625" s="2106"/>
      <c r="U625" s="2106"/>
      <c r="V625" s="2106"/>
      <c r="W625" s="2106"/>
      <c r="X625" s="2106"/>
      <c r="Y625" s="2106"/>
      <c r="Z625" s="2106"/>
      <c r="AA625" s="2106"/>
      <c r="AB625" s="2106"/>
      <c r="AC625" s="2106"/>
      <c r="AD625" s="2106"/>
      <c r="AE625" s="2106"/>
      <c r="AF625" s="2106"/>
      <c r="AG625" s="2106"/>
      <c r="AH625" s="2106"/>
      <c r="AI625" s="2106"/>
      <c r="AJ625" s="2106"/>
      <c r="AK625" s="2106"/>
      <c r="AL625" s="12135"/>
      <c r="AM625" s="12135"/>
      <c r="AN625" s="12135"/>
      <c r="AO625" s="12135"/>
      <c r="AP625" s="12135"/>
      <c r="AQ625" s="12135"/>
      <c r="AR625" s="12135"/>
      <c r="AS625" s="12135"/>
      <c r="AT625" s="12135"/>
      <c r="AU625" s="12135"/>
      <c r="AV625" s="12135"/>
      <c r="AW625" s="12135"/>
      <c r="AX625" s="12135"/>
      <c r="AY625" s="12135"/>
      <c r="AZ625" s="12135"/>
      <c r="BA625" s="12135"/>
      <c r="BB625" s="12135"/>
      <c r="BC625" s="12135"/>
      <c r="BD625" s="12135"/>
      <c r="BE625" s="12135"/>
      <c r="BF625" s="12135"/>
      <c r="BG625" s="12135"/>
      <c r="BH625" s="12135"/>
      <c r="BI625" s="12135"/>
      <c r="BJ625" s="12135"/>
      <c r="BK625" s="12135"/>
      <c r="BL625" s="12135"/>
      <c r="BM625" s="12135"/>
      <c r="BN625" s="12135"/>
      <c r="BO625" s="12135"/>
      <c r="BP625" s="12135"/>
      <c r="BQ625" s="12135"/>
      <c r="BR625" s="12135"/>
      <c r="BS625" s="12135"/>
      <c r="BT625" s="12135"/>
      <c r="BU625" s="12135"/>
      <c r="BV625" s="12135"/>
      <c r="BW625" s="12135"/>
      <c r="BX625" s="12135"/>
      <c r="BY625" s="12135"/>
      <c r="BZ625" s="12135"/>
      <c r="CA625" s="12135"/>
      <c r="CB625" s="12135"/>
      <c r="CC625" s="12135"/>
      <c r="CD625" s="12135"/>
      <c r="CE625" s="12135"/>
      <c r="CF625" s="12135"/>
      <c r="CG625" s="12135"/>
      <c r="CH625" s="12135"/>
      <c r="CI625" s="12135"/>
      <c r="CJ625" s="12135"/>
      <c r="CK625" s="12135"/>
      <c r="CL625" s="12135"/>
      <c r="CM625" s="12135"/>
      <c r="CN625" s="12135"/>
      <c r="CO625" s="12135"/>
      <c r="CP625" s="2106"/>
      <c r="CQ625" s="2106"/>
    </row>
    <row customHeight="1" ht="27.75">
      <c r="O626" s="543"/>
      <c r="T626" s="2106"/>
      <c r="U626" s="2106"/>
      <c r="V626" s="2106"/>
      <c r="W626" s="2106"/>
      <c r="X626" s="2106"/>
      <c r="Y626" s="2106"/>
      <c r="Z626" s="2106"/>
      <c r="AA626" s="2106"/>
      <c r="AB626" s="2106"/>
      <c r="AC626" s="2106"/>
      <c r="AD626" s="2106"/>
      <c r="AE626" s="2106"/>
      <c r="AF626" s="2106"/>
      <c r="AG626" s="2106"/>
      <c r="AH626" s="2106"/>
      <c r="AI626" s="2106"/>
      <c r="AJ626" s="2106"/>
      <c r="AK626" s="2106"/>
      <c r="AL626" s="12135"/>
      <c r="AM626" s="12135"/>
      <c r="AN626" s="12135"/>
      <c r="AO626" s="12135"/>
      <c r="AP626" s="12135"/>
      <c r="AQ626" s="12135"/>
      <c r="AR626" s="12135"/>
      <c r="AS626" s="12135"/>
      <c r="AT626" s="12135"/>
      <c r="AU626" s="12135"/>
      <c r="AV626" s="12135"/>
      <c r="AW626" s="12135"/>
      <c r="AX626" s="12135"/>
      <c r="AY626" s="12135"/>
      <c r="AZ626" s="12135"/>
      <c r="BA626" s="12135"/>
      <c r="BB626" s="12135"/>
      <c r="BC626" s="12135"/>
      <c r="BD626" s="12135"/>
      <c r="BE626" s="12135"/>
      <c r="BF626" s="12135"/>
      <c r="BG626" s="12135"/>
      <c r="BH626" s="12135"/>
      <c r="BI626" s="12135"/>
      <c r="BJ626" s="12135"/>
      <c r="BK626" s="12135"/>
      <c r="BL626" s="12135"/>
      <c r="BM626" s="12135"/>
      <c r="BN626" s="12135"/>
      <c r="BO626" s="12135"/>
      <c r="BP626" s="12135"/>
      <c r="BQ626" s="12135"/>
      <c r="BR626" s="12135"/>
      <c r="BS626" s="12135"/>
      <c r="BT626" s="12135"/>
      <c r="BU626" s="12135"/>
      <c r="BV626" s="12135"/>
      <c r="BW626" s="12135"/>
      <c r="BX626" s="12135"/>
      <c r="BY626" s="12135"/>
      <c r="BZ626" s="12135"/>
      <c r="CA626" s="12135"/>
      <c r="CB626" s="12135"/>
      <c r="CC626" s="12135"/>
      <c r="CD626" s="12135"/>
      <c r="CE626" s="12135"/>
      <c r="CF626" s="12135"/>
      <c r="CG626" s="12135"/>
      <c r="CH626" s="12135"/>
      <c r="CI626" s="12135"/>
      <c r="CJ626" s="12135"/>
      <c r="CK626" s="12135"/>
      <c r="CL626" s="12135"/>
      <c r="CM626" s="12135"/>
      <c r="CN626" s="12135"/>
      <c r="CO626" s="12135"/>
      <c r="CP626" s="2106"/>
      <c r="CQ626" s="2106"/>
    </row>
    <row customHeight="1" ht="39.75">
      <c r="O627" s="543"/>
      <c r="T627" s="2106"/>
      <c r="U627" s="2106"/>
      <c r="V627" s="2106"/>
      <c r="W627" s="2106"/>
      <c r="X627" s="2106"/>
      <c r="Y627" s="2106"/>
      <c r="Z627" s="2106"/>
      <c r="AA627" s="2106"/>
      <c r="AB627" s="2106"/>
      <c r="AC627" s="2106"/>
      <c r="AD627" s="2106"/>
      <c r="AE627" s="2106"/>
      <c r="AF627" s="2106"/>
      <c r="AG627" s="2106"/>
      <c r="AH627" s="2106"/>
      <c r="AI627" s="2106"/>
      <c r="AJ627" s="2106"/>
      <c r="AK627" s="2106"/>
      <c r="AL627" s="12135"/>
      <c r="AM627" s="12135"/>
      <c r="AN627" s="12135"/>
      <c r="AO627" s="12135"/>
      <c r="AP627" s="12135"/>
      <c r="AQ627" s="12135"/>
      <c r="AR627" s="12135"/>
      <c r="AS627" s="12135"/>
      <c r="AT627" s="12135"/>
      <c r="AU627" s="12135"/>
      <c r="AV627" s="12135"/>
      <c r="AW627" s="12135"/>
      <c r="AX627" s="12135"/>
      <c r="AY627" s="12135"/>
      <c r="AZ627" s="12135"/>
      <c r="BA627" s="12135"/>
      <c r="BB627" s="12135"/>
      <c r="BC627" s="12135"/>
      <c r="BD627" s="12135"/>
      <c r="BE627" s="12135"/>
      <c r="BF627" s="12135"/>
      <c r="BG627" s="12135"/>
      <c r="BH627" s="12135"/>
      <c r="BI627" s="12135"/>
      <c r="BJ627" s="12135"/>
      <c r="BK627" s="12135"/>
      <c r="BL627" s="12135"/>
      <c r="BM627" s="12135"/>
      <c r="BN627" s="12135"/>
      <c r="BO627" s="12135"/>
      <c r="BP627" s="12135"/>
      <c r="BQ627" s="12135"/>
      <c r="BR627" s="12135"/>
      <c r="BS627" s="12135"/>
      <c r="BT627" s="12135"/>
      <c r="BU627" s="12135"/>
      <c r="BV627" s="12135"/>
      <c r="BW627" s="12135"/>
      <c r="BX627" s="12135"/>
      <c r="BY627" s="12135"/>
      <c r="BZ627" s="12135"/>
      <c r="CA627" s="12135"/>
      <c r="CB627" s="12135"/>
      <c r="CC627" s="12135"/>
      <c r="CD627" s="12135"/>
      <c r="CE627" s="12135"/>
      <c r="CF627" s="12135"/>
      <c r="CG627" s="12135"/>
      <c r="CH627" s="12135"/>
      <c r="CI627" s="12135"/>
      <c r="CJ627" s="12135"/>
      <c r="CK627" s="12135"/>
      <c r="CL627" s="12135"/>
      <c r="CM627" s="12135"/>
      <c r="CN627" s="12135"/>
      <c r="CO627" s="12135"/>
      <c r="CP627" s="2106"/>
      <c r="CQ627" s="2106"/>
    </row>
    <row customHeight="1" ht="14.25">
      <c r="O628" s="543"/>
      <c r="AL628" s="3431"/>
      <c r="AM628" s="3431"/>
      <c r="AN628" s="3431"/>
      <c r="AO628" s="3431"/>
      <c r="AP628" s="3431"/>
      <c r="AQ628" s="3431"/>
      <c r="AR628" s="3431"/>
      <c r="AS628" s="3431"/>
      <c r="AT628" s="3431"/>
      <c r="AU628" s="3431"/>
      <c r="AV628" s="3431"/>
      <c r="AW628" s="3431"/>
      <c r="AX628" s="3431"/>
      <c r="AY628" s="3431"/>
      <c r="AZ628" s="3431"/>
      <c r="BA628" s="3431"/>
      <c r="BB628" s="3431"/>
      <c r="BC628" s="3431"/>
      <c r="BD628" s="3431"/>
      <c r="BE628" s="3431"/>
      <c r="BF628" s="3431"/>
      <c r="BG628" s="3431"/>
      <c r="BH628" s="3431"/>
      <c r="BI628" s="3431"/>
      <c r="BJ628" s="3431"/>
      <c r="BK628" s="3431"/>
      <c r="BL628" s="3431"/>
      <c r="BM628" s="3431"/>
      <c r="BN628" s="3431"/>
      <c r="BO628" s="3431"/>
      <c r="BP628" s="3431"/>
      <c r="BQ628" s="3431"/>
      <c r="BR628" s="3431"/>
      <c r="BS628" s="3431"/>
      <c r="BT628" s="3431"/>
      <c r="BU628" s="3431"/>
      <c r="BV628" s="3431"/>
      <c r="BW628" s="3431"/>
      <c r="BX628" s="3431"/>
      <c r="BY628" s="3431"/>
      <c r="BZ628" s="3431"/>
      <c r="CA628" s="3431"/>
      <c r="CB628" s="3431"/>
      <c r="CC628" s="3431"/>
      <c r="CD628" s="3431"/>
      <c r="CE628" s="3431"/>
      <c r="CF628" s="3431"/>
      <c r="CG628" s="3431"/>
      <c r="CH628" s="3431"/>
      <c r="CI628" s="3431"/>
      <c r="CJ628" s="3431"/>
      <c r="CK628" s="3431"/>
      <c r="CL628" s="3431"/>
      <c r="CM628" s="3431"/>
      <c r="CN628" s="3431"/>
      <c r="CO628" s="3431"/>
    </row>
    <row customHeight="1" ht="19.5">
      <c r="O629" s="543"/>
      <c r="S629" s="1273"/>
      <c r="T629" s="2150"/>
      <c r="U629" s="2106"/>
      <c r="V629" s="2106"/>
      <c r="W629" s="2106"/>
      <c r="X629" s="2106"/>
      <c r="Y629" s="2106"/>
      <c r="Z629" s="2106"/>
      <c r="AA629" s="2106"/>
      <c r="AB629" s="2106"/>
      <c r="AC629" s="2106"/>
      <c r="AD629" s="2106"/>
      <c r="AE629" s="2106"/>
      <c r="AF629" s="2106"/>
      <c r="AG629" s="2106"/>
      <c r="AH629" s="2106"/>
      <c r="AI629" s="2106"/>
      <c r="AJ629" s="2106"/>
      <c r="AK629" s="2106"/>
      <c r="AL629" s="12135"/>
      <c r="AM629" s="12135"/>
      <c r="AN629" s="12135"/>
      <c r="AO629" s="12135"/>
      <c r="AP629" s="12135"/>
      <c r="AQ629" s="12135"/>
      <c r="AR629" s="12135"/>
      <c r="AS629" s="12135"/>
      <c r="AT629" s="12135"/>
      <c r="AU629" s="12135"/>
      <c r="AV629" s="12135"/>
      <c r="AW629" s="12135"/>
      <c r="AX629" s="12135"/>
      <c r="AY629" s="12135"/>
      <c r="AZ629" s="12135"/>
      <c r="BA629" s="12135"/>
      <c r="BB629" s="12135"/>
      <c r="BC629" s="12135"/>
      <c r="BD629" s="12135"/>
      <c r="BE629" s="12135"/>
      <c r="BF629" s="12135"/>
      <c r="BG629" s="12135"/>
      <c r="BH629" s="12135"/>
      <c r="BI629" s="12135"/>
      <c r="BJ629" s="12135"/>
      <c r="BK629" s="12135"/>
      <c r="BL629" s="12135"/>
      <c r="BM629" s="12135"/>
      <c r="BN629" s="12135"/>
      <c r="BO629" s="12135"/>
      <c r="BP629" s="12135"/>
      <c r="BQ629" s="12135"/>
      <c r="BR629" s="12135"/>
      <c r="BS629" s="12135"/>
      <c r="BT629" s="12135"/>
      <c r="BU629" s="12135"/>
      <c r="BV629" s="12135"/>
      <c r="BW629" s="12135"/>
      <c r="BX629" s="12135"/>
      <c r="BY629" s="12135"/>
      <c r="BZ629" s="12135"/>
      <c r="CA629" s="12135"/>
      <c r="CB629" s="12135"/>
      <c r="CC629" s="12135"/>
      <c r="CD629" s="12135"/>
      <c r="CE629" s="12135"/>
      <c r="CF629" s="12135"/>
      <c r="CG629" s="12135"/>
      <c r="CH629" s="12135"/>
      <c r="CI629" s="12135"/>
      <c r="CJ629" s="12135"/>
      <c r="CK629" s="12135"/>
      <c r="CL629" s="12135"/>
      <c r="CM629" s="12135"/>
      <c r="CN629" s="12135"/>
      <c r="CO629" s="12135"/>
      <c r="CP629" s="2106"/>
      <c r="CQ629" s="2106"/>
    </row>
    <row customHeight="1" ht="27.75">
      <c r="O630" s="543"/>
      <c r="T630" s="2106"/>
      <c r="U630" s="2106"/>
      <c r="V630" s="2106"/>
      <c r="W630" s="2106"/>
      <c r="X630" s="2106"/>
      <c r="Y630" s="2106"/>
      <c r="Z630" s="2106"/>
      <c r="AA630" s="2106"/>
      <c r="AB630" s="2106"/>
      <c r="AC630" s="2106"/>
      <c r="AD630" s="2106"/>
      <c r="AE630" s="2106"/>
      <c r="AF630" s="2106"/>
      <c r="AG630" s="2106"/>
      <c r="AH630" s="2106"/>
      <c r="AI630" s="2106"/>
      <c r="AJ630" s="2106"/>
      <c r="AK630" s="2106"/>
      <c r="AL630" s="12135"/>
      <c r="AM630" s="12135"/>
      <c r="AN630" s="12135"/>
      <c r="AO630" s="12135"/>
      <c r="AP630" s="12135"/>
      <c r="AQ630" s="12135"/>
      <c r="AR630" s="12135"/>
      <c r="AS630" s="12135"/>
      <c r="AT630" s="12135"/>
      <c r="AU630" s="12135"/>
      <c r="AV630" s="12135"/>
      <c r="AW630" s="12135"/>
      <c r="AX630" s="12135"/>
      <c r="AY630" s="12135"/>
      <c r="AZ630" s="12135"/>
      <c r="BA630" s="12135"/>
      <c r="BB630" s="12135"/>
      <c r="BC630" s="12135"/>
      <c r="BD630" s="12135"/>
      <c r="BE630" s="12135"/>
      <c r="BF630" s="12135"/>
      <c r="BG630" s="12135"/>
      <c r="BH630" s="12135"/>
      <c r="BI630" s="12135"/>
      <c r="BJ630" s="12135"/>
      <c r="BK630" s="12135"/>
      <c r="BL630" s="12135"/>
      <c r="BM630" s="12135"/>
      <c r="BN630" s="12135"/>
      <c r="BO630" s="12135"/>
      <c r="BP630" s="12135"/>
      <c r="BQ630" s="12135"/>
      <c r="BR630" s="12135"/>
      <c r="BS630" s="12135"/>
      <c r="BT630" s="12135"/>
      <c r="BU630" s="12135"/>
      <c r="BV630" s="12135"/>
      <c r="BW630" s="12135"/>
      <c r="BX630" s="12135"/>
      <c r="BY630" s="12135"/>
      <c r="BZ630" s="12135"/>
      <c r="CA630" s="12135"/>
      <c r="CB630" s="12135"/>
      <c r="CC630" s="12135"/>
      <c r="CD630" s="12135"/>
      <c r="CE630" s="12135"/>
      <c r="CF630" s="12135"/>
      <c r="CG630" s="12135"/>
      <c r="CH630" s="12135"/>
      <c r="CI630" s="12135"/>
      <c r="CJ630" s="12135"/>
      <c r="CK630" s="12135"/>
      <c r="CL630" s="12135"/>
      <c r="CM630" s="12135"/>
      <c r="CN630" s="12135"/>
      <c r="CO630" s="12135"/>
      <c r="CP630" s="2106"/>
      <c r="CQ630" s="2106"/>
    </row>
    <row customHeight="1" ht="33.75">
      <c r="T631" s="2106"/>
      <c r="U631" s="2106"/>
      <c r="V631" s="2106"/>
      <c r="W631" s="2106"/>
      <c r="X631" s="2106"/>
      <c r="Y631" s="2106"/>
      <c r="Z631" s="2106"/>
      <c r="AA631" s="2106"/>
      <c r="AB631" s="2106"/>
      <c r="AC631" s="2106"/>
      <c r="AD631" s="2106"/>
      <c r="AE631" s="2106"/>
      <c r="AF631" s="2106"/>
      <c r="AG631" s="2106"/>
      <c r="AH631" s="2106"/>
      <c r="AI631" s="2106"/>
      <c r="AJ631" s="2106"/>
      <c r="AK631" s="2106"/>
      <c r="AL631" s="12135"/>
      <c r="AM631" s="12135"/>
      <c r="AN631" s="12135"/>
      <c r="AO631" s="12135"/>
      <c r="AP631" s="12135"/>
      <c r="AQ631" s="12135"/>
      <c r="AR631" s="12135"/>
      <c r="AS631" s="12135"/>
      <c r="AT631" s="12135"/>
      <c r="AU631" s="12135"/>
      <c r="AV631" s="12135"/>
      <c r="AW631" s="12135"/>
      <c r="AX631" s="12135"/>
      <c r="AY631" s="12135"/>
      <c r="AZ631" s="12135"/>
      <c r="BA631" s="12135"/>
      <c r="BB631" s="12135"/>
      <c r="BC631" s="12135"/>
      <c r="BD631" s="12135"/>
      <c r="BE631" s="12135"/>
      <c r="BF631" s="12135"/>
      <c r="BG631" s="12135"/>
      <c r="BH631" s="12135"/>
      <c r="BI631" s="12135"/>
      <c r="BJ631" s="12135"/>
      <c r="BK631" s="12135"/>
      <c r="BL631" s="12135"/>
      <c r="BM631" s="12135"/>
      <c r="BN631" s="12135"/>
      <c r="BO631" s="12135"/>
      <c r="BP631" s="12135"/>
      <c r="BQ631" s="12135"/>
      <c r="BR631" s="12135"/>
      <c r="BS631" s="12135"/>
      <c r="BT631" s="12135"/>
      <c r="BU631" s="12135"/>
      <c r="BV631" s="12135"/>
      <c r="BW631" s="12135"/>
      <c r="BX631" s="12135"/>
      <c r="BY631" s="12135"/>
      <c r="BZ631" s="12135"/>
      <c r="CA631" s="12135"/>
      <c r="CB631" s="12135"/>
      <c r="CC631" s="12135"/>
      <c r="CD631" s="12135"/>
      <c r="CE631" s="12135"/>
      <c r="CF631" s="12135"/>
      <c r="CG631" s="12135"/>
      <c r="CH631" s="12135"/>
      <c r="CI631" s="12135"/>
      <c r="CJ631" s="12135"/>
      <c r="CK631" s="12135"/>
      <c r="CL631" s="12135"/>
      <c r="CM631" s="12135"/>
      <c r="CN631" s="12135"/>
      <c r="CO631" s="12135"/>
      <c r="CP631" s="2106"/>
      <c r="CQ631" s="2106"/>
    </row>
  </sheetData>
  <sheetProtection formatColumns="0" formatRows="0" autoFilter="0" sort="0" insertRows="0" insertColumns="1" deleteRows="0" deleteColumns="0"/>
  <mergeCells count="3010">
    <mergeCell ref="V47:AC47"/>
    <mergeCell ref="AD47:CP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CP38"/>
    <mergeCell ref="S26:AJ26"/>
    <mergeCell ref="S27:AJ27"/>
    <mergeCell ref="AC49:AC50"/>
    <mergeCell ref="AA49:AA50"/>
    <mergeCell ref="AB49:AB50"/>
    <mergeCell ref="AH49:AH50"/>
    <mergeCell ref="AI49:AI50"/>
    <mergeCell ref="CQ8:CQ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CQ38:CQ41"/>
    <mergeCell ref="S39:S41"/>
    <mergeCell ref="T39:T41"/>
    <mergeCell ref="V39:AB39"/>
    <mergeCell ref="AC39:AC41"/>
    <mergeCell ref="AD39:AJ39"/>
    <mergeCell ref="AK39:AK41"/>
    <mergeCell ref="CP39:CP41"/>
    <mergeCell ref="V40:V41"/>
    <mergeCell ref="W40:W41"/>
    <mergeCell ref="X40:Y40"/>
    <mergeCell ref="Z40:AB40"/>
    <mergeCell ref="AD40:AD41"/>
    <mergeCell ref="CQ49:CQ51"/>
    <mergeCell ref="T625:CQ625"/>
    <mergeCell ref="T626:CQ626"/>
    <mergeCell ref="AA42:AB42"/>
    <mergeCell ref="AI42:AJ42"/>
    <mergeCell ref="E43:E332"/>
    <mergeCell ref="V43:AC43"/>
    <mergeCell ref="AD43:CP43"/>
    <mergeCell ref="F44:F71"/>
    <mergeCell ref="V44:AC44"/>
    <mergeCell ref="AD44:CP44"/>
    <mergeCell ref="G45:G70"/>
    <mergeCell ref="V45:AC45"/>
    <mergeCell ref="AD45:CP45"/>
    <mergeCell ref="H46:H53"/>
    <mergeCell ref="V46:AC46"/>
    <mergeCell ref="AD46:CP46"/>
    <mergeCell ref="P47:P52"/>
    <mergeCell ref="J48:J51"/>
    <mergeCell ref="Q48:Q51"/>
    <mergeCell ref="V48:AC48"/>
    <mergeCell ref="AD48:CP48"/>
    <mergeCell ref="K49:K50"/>
    <mergeCell ref="Z49:Z50"/>
    <mergeCell ref="T630:CQ630"/>
    <mergeCell ref="T631:CQ631"/>
    <mergeCell ref="S35:T35"/>
    <mergeCell ref="V35:AB35"/>
    <mergeCell ref="AD35:AJ35"/>
    <mergeCell ref="S34:T34"/>
    <mergeCell ref="V34:AB34"/>
    <mergeCell ref="AD34:AJ34"/>
    <mergeCell ref="V2:AC2"/>
    <mergeCell ref="AD2:CP2"/>
    <mergeCell ref="V3:AC3"/>
    <mergeCell ref="AD3:CP3"/>
    <mergeCell ref="V4:AC4"/>
    <mergeCell ref="AD4:CP4"/>
    <mergeCell ref="V5:AC5"/>
    <mergeCell ref="AD5:CP5"/>
    <mergeCell ref="V6:AC6"/>
    <mergeCell ref="AD6:CP6"/>
    <mergeCell ref="V7:AC7"/>
    <mergeCell ref="AD7:CP7"/>
    <mergeCell ref="T629:CQ629"/>
    <mergeCell ref="T627:CQ627"/>
    <mergeCell ref="AJ49:AJ50"/>
    <mergeCell ref="AK49:AK50"/>
    <mergeCell ref="F72:F83"/>
    <mergeCell ref="G73:G82"/>
    <mergeCell ref="H74:H81"/>
    <mergeCell ref="I75:I80"/>
    <mergeCell ref="P75:P80"/>
    <mergeCell ref="J76:J79"/>
    <mergeCell ref="Q76:Q79"/>
    <mergeCell ref="K77:K78"/>
    <mergeCell ref="CQ77:CQ79"/>
    <mergeCell ref="Z77:Z78"/>
    <mergeCell ref="AA77:AA78"/>
    <mergeCell ref="AH77:AH78"/>
    <mergeCell ref="AI77:AI78"/>
    <mergeCell ref="AJ77:AJ78"/>
    <mergeCell ref="AK77:AK78"/>
    <mergeCell ref="AB77:AB78"/>
    <mergeCell ref="AC77:AC78"/>
    <mergeCell ref="V72:AC72"/>
    <mergeCell ref="AD72:CP72"/>
    <mergeCell ref="V73:AC73"/>
    <mergeCell ref="AD73:CP73"/>
    <mergeCell ref="V74:AC74"/>
    <mergeCell ref="AD74:CP74"/>
    <mergeCell ref="V75:AC75"/>
    <mergeCell ref="AD75:CP75"/>
    <mergeCell ref="V76:AC76"/>
    <mergeCell ref="AD76:CP76"/>
    <mergeCell ref="F84:F95"/>
    <mergeCell ref="G85:G94"/>
    <mergeCell ref="H86:H93"/>
    <mergeCell ref="I87:I92"/>
    <mergeCell ref="P87:P92"/>
    <mergeCell ref="J88:J91"/>
    <mergeCell ref="Q88:Q91"/>
    <mergeCell ref="K89:K90"/>
    <mergeCell ref="CQ89:CQ91"/>
    <mergeCell ref="Z89:Z90"/>
    <mergeCell ref="AA89:AA90"/>
    <mergeCell ref="AH89:AH90"/>
    <mergeCell ref="AI89:AI90"/>
    <mergeCell ref="AJ89:AJ90"/>
    <mergeCell ref="AK89:AK90"/>
    <mergeCell ref="AB89:AB90"/>
    <mergeCell ref="AC89:AC90"/>
    <mergeCell ref="V84:AC84"/>
    <mergeCell ref="AD84:CP84"/>
    <mergeCell ref="V85:AC85"/>
    <mergeCell ref="AD85:CP85"/>
    <mergeCell ref="V86:AC86"/>
    <mergeCell ref="AD86:CP86"/>
    <mergeCell ref="V87:AC87"/>
    <mergeCell ref="AD87:CP87"/>
    <mergeCell ref="V88:AC88"/>
    <mergeCell ref="AD88:CP88"/>
    <mergeCell ref="F96:F107"/>
    <mergeCell ref="G97:G106"/>
    <mergeCell ref="H98:H105"/>
    <mergeCell ref="I99:I104"/>
    <mergeCell ref="P99:P104"/>
    <mergeCell ref="J100:J103"/>
    <mergeCell ref="Q100:Q103"/>
    <mergeCell ref="K101:K102"/>
    <mergeCell ref="CQ101:CQ103"/>
    <mergeCell ref="Z101:Z102"/>
    <mergeCell ref="AA101:AA102"/>
    <mergeCell ref="AH101:AH102"/>
    <mergeCell ref="AI101:AI102"/>
    <mergeCell ref="AJ101:AJ102"/>
    <mergeCell ref="AK101:AK102"/>
    <mergeCell ref="AB101:AB102"/>
    <mergeCell ref="AC101:AC102"/>
    <mergeCell ref="V96:AC96"/>
    <mergeCell ref="AD96:CP96"/>
    <mergeCell ref="V97:AC97"/>
    <mergeCell ref="AD97:CP97"/>
    <mergeCell ref="V98:AC98"/>
    <mergeCell ref="AD98:CP98"/>
    <mergeCell ref="V99:AC99"/>
    <mergeCell ref="AD99:CP99"/>
    <mergeCell ref="V100:AC100"/>
    <mergeCell ref="AD100:CP100"/>
    <mergeCell ref="F108:F119"/>
    <mergeCell ref="G109:G118"/>
    <mergeCell ref="H110:H117"/>
    <mergeCell ref="I111:I116"/>
    <mergeCell ref="P111:P116"/>
    <mergeCell ref="J112:J115"/>
    <mergeCell ref="Q112:Q115"/>
    <mergeCell ref="K113:K114"/>
    <mergeCell ref="CQ113:CQ115"/>
    <mergeCell ref="Z113:Z114"/>
    <mergeCell ref="AA113:AA114"/>
    <mergeCell ref="AH113:AH114"/>
    <mergeCell ref="AI113:AI114"/>
    <mergeCell ref="AJ113:AJ114"/>
    <mergeCell ref="AK113:AK114"/>
    <mergeCell ref="AB113:AB114"/>
    <mergeCell ref="AC113:AC114"/>
    <mergeCell ref="V108:AC108"/>
    <mergeCell ref="AD108:CP108"/>
    <mergeCell ref="V109:AC109"/>
    <mergeCell ref="AD109:CP109"/>
    <mergeCell ref="V110:AC110"/>
    <mergeCell ref="AD110:CP110"/>
    <mergeCell ref="V111:AC111"/>
    <mergeCell ref="AD111:CP111"/>
    <mergeCell ref="V112:AC112"/>
    <mergeCell ref="AD112:CP112"/>
    <mergeCell ref="F120:F131"/>
    <mergeCell ref="G121:G130"/>
    <mergeCell ref="H122:H129"/>
    <mergeCell ref="I123:I128"/>
    <mergeCell ref="P123:P128"/>
    <mergeCell ref="J124:J127"/>
    <mergeCell ref="Q124:Q127"/>
    <mergeCell ref="K125:K126"/>
    <mergeCell ref="CQ125:CQ127"/>
    <mergeCell ref="Z125:Z126"/>
    <mergeCell ref="AA125:AA126"/>
    <mergeCell ref="AH125:AH126"/>
    <mergeCell ref="AI125:AI126"/>
    <mergeCell ref="AJ125:AJ126"/>
    <mergeCell ref="AK125:AK126"/>
    <mergeCell ref="AB125:AB126"/>
    <mergeCell ref="AC125:AC126"/>
    <mergeCell ref="V120:AC120"/>
    <mergeCell ref="AD120:CP120"/>
    <mergeCell ref="V121:AC121"/>
    <mergeCell ref="AD121:CP121"/>
    <mergeCell ref="V122:AC122"/>
    <mergeCell ref="AD122:CP122"/>
    <mergeCell ref="V123:AC123"/>
    <mergeCell ref="AD123:CP123"/>
    <mergeCell ref="V124:AC124"/>
    <mergeCell ref="AD124:CP124"/>
    <mergeCell ref="F132:F143"/>
    <mergeCell ref="G133:G142"/>
    <mergeCell ref="H134:H141"/>
    <mergeCell ref="I135:I140"/>
    <mergeCell ref="P135:P140"/>
    <mergeCell ref="J136:J139"/>
    <mergeCell ref="Q136:Q139"/>
    <mergeCell ref="K137:K138"/>
    <mergeCell ref="CQ137:CQ139"/>
    <mergeCell ref="Z137:Z138"/>
    <mergeCell ref="AA137:AA138"/>
    <mergeCell ref="AH137:AH138"/>
    <mergeCell ref="AI137:AI138"/>
    <mergeCell ref="AJ137:AJ138"/>
    <mergeCell ref="AK137:AK138"/>
    <mergeCell ref="AB137:AB138"/>
    <mergeCell ref="AC137:AC138"/>
    <mergeCell ref="V132:AC132"/>
    <mergeCell ref="AD132:CP132"/>
    <mergeCell ref="V133:AC133"/>
    <mergeCell ref="AD133:CP133"/>
    <mergeCell ref="V134:AC134"/>
    <mergeCell ref="AD134:CP134"/>
    <mergeCell ref="V135:AC135"/>
    <mergeCell ref="AD135:CP135"/>
    <mergeCell ref="V136:AC136"/>
    <mergeCell ref="AD136:CP136"/>
    <mergeCell ref="F144:F155"/>
    <mergeCell ref="G145:G154"/>
    <mergeCell ref="H146:H153"/>
    <mergeCell ref="I147:I152"/>
    <mergeCell ref="P147:P152"/>
    <mergeCell ref="J148:J151"/>
    <mergeCell ref="Q148:Q151"/>
    <mergeCell ref="K149:K150"/>
    <mergeCell ref="CQ149:CQ151"/>
    <mergeCell ref="Z149:Z150"/>
    <mergeCell ref="AA149:AA150"/>
    <mergeCell ref="AH149:AH150"/>
    <mergeCell ref="AI149:AI150"/>
    <mergeCell ref="AJ149:AJ150"/>
    <mergeCell ref="AK149:AK150"/>
    <mergeCell ref="AB149:AB150"/>
    <mergeCell ref="AC149:AC150"/>
    <mergeCell ref="V144:AC144"/>
    <mergeCell ref="AD144:CP144"/>
    <mergeCell ref="V145:AC145"/>
    <mergeCell ref="AD145:CP145"/>
    <mergeCell ref="V146:AC146"/>
    <mergeCell ref="AD146:CP146"/>
    <mergeCell ref="V147:AC147"/>
    <mergeCell ref="AD147:CP147"/>
    <mergeCell ref="V148:AC148"/>
    <mergeCell ref="AD148:CP148"/>
    <mergeCell ref="F156:F167"/>
    <mergeCell ref="G157:G166"/>
    <mergeCell ref="H158:H165"/>
    <mergeCell ref="I159:I164"/>
    <mergeCell ref="P159:P164"/>
    <mergeCell ref="J160:J163"/>
    <mergeCell ref="Q160:Q163"/>
    <mergeCell ref="K161:K162"/>
    <mergeCell ref="CQ161:CQ163"/>
    <mergeCell ref="Z161:Z162"/>
    <mergeCell ref="AA161:AA162"/>
    <mergeCell ref="AH161:AH162"/>
    <mergeCell ref="AI161:AI162"/>
    <mergeCell ref="AJ161:AJ162"/>
    <mergeCell ref="AK161:AK162"/>
    <mergeCell ref="AB161:AB162"/>
    <mergeCell ref="AC161:AC162"/>
    <mergeCell ref="V156:AC156"/>
    <mergeCell ref="AD156:CP156"/>
    <mergeCell ref="V157:AC157"/>
    <mergeCell ref="AD157:CP157"/>
    <mergeCell ref="V158:AC158"/>
    <mergeCell ref="AD158:CP158"/>
    <mergeCell ref="V159:AC159"/>
    <mergeCell ref="AD159:CP159"/>
    <mergeCell ref="V160:AC160"/>
    <mergeCell ref="AD160:CP160"/>
    <mergeCell ref="F168:F187"/>
    <mergeCell ref="G169:G186"/>
    <mergeCell ref="H170:H177"/>
    <mergeCell ref="I171:I176"/>
    <mergeCell ref="P171:P176"/>
    <mergeCell ref="J172:J175"/>
    <mergeCell ref="Q172:Q175"/>
    <mergeCell ref="K173:K174"/>
    <mergeCell ref="CQ173:CQ175"/>
    <mergeCell ref="Z173:Z174"/>
    <mergeCell ref="AA173:AA174"/>
    <mergeCell ref="AH173:AH174"/>
    <mergeCell ref="AI173:AI174"/>
    <mergeCell ref="AJ173:AJ174"/>
    <mergeCell ref="AK173:AK174"/>
    <mergeCell ref="AB173:AB174"/>
    <mergeCell ref="AC173:AC174"/>
    <mergeCell ref="V168:AC168"/>
    <mergeCell ref="AD168:CP168"/>
    <mergeCell ref="V169:AC169"/>
    <mergeCell ref="AD169:CP169"/>
    <mergeCell ref="V170:AC170"/>
    <mergeCell ref="AD170:CP170"/>
    <mergeCell ref="V171:AC171"/>
    <mergeCell ref="AD171:CP171"/>
    <mergeCell ref="V172:AC172"/>
    <mergeCell ref="AD172:CP172"/>
    <mergeCell ref="F188:F207"/>
    <mergeCell ref="G189:G206"/>
    <mergeCell ref="H190:H197"/>
    <mergeCell ref="I191:I196"/>
    <mergeCell ref="P191:P196"/>
    <mergeCell ref="J192:J195"/>
    <mergeCell ref="Q192:Q195"/>
    <mergeCell ref="K193:K194"/>
    <mergeCell ref="CQ193:CQ195"/>
    <mergeCell ref="Z193:Z194"/>
    <mergeCell ref="AA193:AA194"/>
    <mergeCell ref="AH193:AH194"/>
    <mergeCell ref="AI193:AI194"/>
    <mergeCell ref="AJ193:AJ194"/>
    <mergeCell ref="AK193:AK194"/>
    <mergeCell ref="AB193:AB194"/>
    <mergeCell ref="AC193:AC194"/>
    <mergeCell ref="V188:AC188"/>
    <mergeCell ref="AD188:CP188"/>
    <mergeCell ref="V189:AC189"/>
    <mergeCell ref="AD189:CP189"/>
    <mergeCell ref="V190:AC190"/>
    <mergeCell ref="AD190:CP190"/>
    <mergeCell ref="V191:AC191"/>
    <mergeCell ref="AD191:CP191"/>
    <mergeCell ref="V192:AC192"/>
    <mergeCell ref="AD192:CP192"/>
    <mergeCell ref="F208:F219"/>
    <mergeCell ref="G209:G218"/>
    <mergeCell ref="H210:H217"/>
    <mergeCell ref="I211:I216"/>
    <mergeCell ref="P211:P216"/>
    <mergeCell ref="J212:J215"/>
    <mergeCell ref="Q212:Q215"/>
    <mergeCell ref="K213:K214"/>
    <mergeCell ref="CQ213:CQ215"/>
    <mergeCell ref="Z213:Z214"/>
    <mergeCell ref="AA213:AA214"/>
    <mergeCell ref="AH213:AH214"/>
    <mergeCell ref="AI213:AI214"/>
    <mergeCell ref="AJ213:AJ214"/>
    <mergeCell ref="AK213:AK214"/>
    <mergeCell ref="AB213:AB214"/>
    <mergeCell ref="AC213:AC214"/>
    <mergeCell ref="V208:AC208"/>
    <mergeCell ref="AD208:CP208"/>
    <mergeCell ref="V209:AC209"/>
    <mergeCell ref="AD209:CP209"/>
    <mergeCell ref="V210:AC210"/>
    <mergeCell ref="AD210:CP210"/>
    <mergeCell ref="V211:AC211"/>
    <mergeCell ref="AD211:CP211"/>
    <mergeCell ref="V212:AC212"/>
    <mergeCell ref="AD212:CP212"/>
    <mergeCell ref="F220:F239"/>
    <mergeCell ref="G221:G238"/>
    <mergeCell ref="H222:H229"/>
    <mergeCell ref="I223:I228"/>
    <mergeCell ref="P223:P228"/>
    <mergeCell ref="J224:J227"/>
    <mergeCell ref="Q224:Q227"/>
    <mergeCell ref="K225:K226"/>
    <mergeCell ref="CQ225:CQ227"/>
    <mergeCell ref="Z225:Z226"/>
    <mergeCell ref="AA225:AA226"/>
    <mergeCell ref="AH225:AH226"/>
    <mergeCell ref="AI225:AI226"/>
    <mergeCell ref="AJ225:AJ226"/>
    <mergeCell ref="AK225:AK226"/>
    <mergeCell ref="AB225:AB226"/>
    <mergeCell ref="AC225:AC226"/>
    <mergeCell ref="V220:AC220"/>
    <mergeCell ref="AD220:CP220"/>
    <mergeCell ref="V221:AC221"/>
    <mergeCell ref="AD221:CP221"/>
    <mergeCell ref="V222:AC222"/>
    <mergeCell ref="AD222:CP222"/>
    <mergeCell ref="V223:AC223"/>
    <mergeCell ref="AD223:CP223"/>
    <mergeCell ref="V224:AC224"/>
    <mergeCell ref="AD224:CP224"/>
    <mergeCell ref="F240:F251"/>
    <mergeCell ref="G241:G250"/>
    <mergeCell ref="H242:H249"/>
    <mergeCell ref="I243:I248"/>
    <mergeCell ref="P243:P248"/>
    <mergeCell ref="J244:J247"/>
    <mergeCell ref="Q244:Q247"/>
    <mergeCell ref="K245:K246"/>
    <mergeCell ref="CQ245:CQ247"/>
    <mergeCell ref="Z245:Z246"/>
    <mergeCell ref="AA245:AA246"/>
    <mergeCell ref="AH245:AH246"/>
    <mergeCell ref="AI245:AI246"/>
    <mergeCell ref="AJ245:AJ246"/>
    <mergeCell ref="AK245:AK246"/>
    <mergeCell ref="AB245:AB246"/>
    <mergeCell ref="AC245:AC246"/>
    <mergeCell ref="V240:AC240"/>
    <mergeCell ref="AD240:CP240"/>
    <mergeCell ref="V241:AC241"/>
    <mergeCell ref="AD241:CP241"/>
    <mergeCell ref="V242:AC242"/>
    <mergeCell ref="AD242:CP242"/>
    <mergeCell ref="V243:AC243"/>
    <mergeCell ref="AD243:CP243"/>
    <mergeCell ref="V244:AC244"/>
    <mergeCell ref="AD244:CP244"/>
    <mergeCell ref="F252:F263"/>
    <mergeCell ref="G253:G262"/>
    <mergeCell ref="H254:H261"/>
    <mergeCell ref="I255:I260"/>
    <mergeCell ref="P255:P260"/>
    <mergeCell ref="J256:J259"/>
    <mergeCell ref="Q256:Q259"/>
    <mergeCell ref="K257:K258"/>
    <mergeCell ref="CQ257:CQ259"/>
    <mergeCell ref="Z257:Z258"/>
    <mergeCell ref="AA257:AA258"/>
    <mergeCell ref="AH257:AH258"/>
    <mergeCell ref="AI257:AI258"/>
    <mergeCell ref="AJ257:AJ258"/>
    <mergeCell ref="AK257:AK258"/>
    <mergeCell ref="AB257:AB258"/>
    <mergeCell ref="AC257:AC258"/>
    <mergeCell ref="V252:AC252"/>
    <mergeCell ref="AD252:CP252"/>
    <mergeCell ref="V253:AC253"/>
    <mergeCell ref="AD253:CP253"/>
    <mergeCell ref="V254:AC254"/>
    <mergeCell ref="AD254:CP254"/>
    <mergeCell ref="V255:AC255"/>
    <mergeCell ref="AD255:CP255"/>
    <mergeCell ref="V256:AC256"/>
    <mergeCell ref="AD256:CP256"/>
    <mergeCell ref="F264:F283"/>
    <mergeCell ref="G265:G282"/>
    <mergeCell ref="H266:H273"/>
    <mergeCell ref="I267:I272"/>
    <mergeCell ref="P267:P272"/>
    <mergeCell ref="J268:J271"/>
    <mergeCell ref="Q268:Q271"/>
    <mergeCell ref="K269:K270"/>
    <mergeCell ref="CQ269:CQ271"/>
    <mergeCell ref="Z269:Z270"/>
    <mergeCell ref="AA269:AA270"/>
    <mergeCell ref="AH269:AH270"/>
    <mergeCell ref="AI269:AI270"/>
    <mergeCell ref="AJ269:AJ270"/>
    <mergeCell ref="AK269:AK270"/>
    <mergeCell ref="AB269:AB270"/>
    <mergeCell ref="AC269:AC270"/>
    <mergeCell ref="V264:AC264"/>
    <mergeCell ref="AD264:CP264"/>
    <mergeCell ref="V265:AC265"/>
    <mergeCell ref="AD265:CP265"/>
    <mergeCell ref="V266:AC266"/>
    <mergeCell ref="AD266:CP266"/>
    <mergeCell ref="V267:AC267"/>
    <mergeCell ref="AD267:CP267"/>
    <mergeCell ref="V268:AC268"/>
    <mergeCell ref="AD268:CP268"/>
    <mergeCell ref="F284:F295"/>
    <mergeCell ref="G285:G294"/>
    <mergeCell ref="H286:H293"/>
    <mergeCell ref="I287:I292"/>
    <mergeCell ref="P287:P292"/>
    <mergeCell ref="J288:J291"/>
    <mergeCell ref="Q288:Q291"/>
    <mergeCell ref="K289:K290"/>
    <mergeCell ref="CQ289:CQ291"/>
    <mergeCell ref="Z289:Z290"/>
    <mergeCell ref="AA289:AA290"/>
    <mergeCell ref="AH289:AH290"/>
    <mergeCell ref="AI289:AI290"/>
    <mergeCell ref="AJ289:AJ290"/>
    <mergeCell ref="AK289:AK290"/>
    <mergeCell ref="AB289:AB290"/>
    <mergeCell ref="AC289:AC290"/>
    <mergeCell ref="V284:AC284"/>
    <mergeCell ref="AD284:CP284"/>
    <mergeCell ref="V285:AC285"/>
    <mergeCell ref="AD285:CP285"/>
    <mergeCell ref="V286:AC286"/>
    <mergeCell ref="AD286:CP286"/>
    <mergeCell ref="V287:AC287"/>
    <mergeCell ref="AD287:CP287"/>
    <mergeCell ref="V288:AC288"/>
    <mergeCell ref="AD288:CP288"/>
    <mergeCell ref="F296:F307"/>
    <mergeCell ref="G297:G306"/>
    <mergeCell ref="H298:H305"/>
    <mergeCell ref="I299:I304"/>
    <mergeCell ref="P299:P304"/>
    <mergeCell ref="J300:J303"/>
    <mergeCell ref="Q300:Q303"/>
    <mergeCell ref="K301:K302"/>
    <mergeCell ref="CQ301:CQ303"/>
    <mergeCell ref="Z301:Z302"/>
    <mergeCell ref="AA301:AA302"/>
    <mergeCell ref="AH301:AH302"/>
    <mergeCell ref="AI301:AI302"/>
    <mergeCell ref="AJ301:AJ302"/>
    <mergeCell ref="AK301:AK302"/>
    <mergeCell ref="AB301:AB302"/>
    <mergeCell ref="AC301:AC302"/>
    <mergeCell ref="V296:AC296"/>
    <mergeCell ref="AD296:CP296"/>
    <mergeCell ref="V297:AC297"/>
    <mergeCell ref="AD297:CP297"/>
    <mergeCell ref="V298:AC298"/>
    <mergeCell ref="AD298:CP298"/>
    <mergeCell ref="V299:AC299"/>
    <mergeCell ref="AD299:CP299"/>
    <mergeCell ref="V300:AC300"/>
    <mergeCell ref="AD300:CP300"/>
    <mergeCell ref="F308:F319"/>
    <mergeCell ref="G309:G318"/>
    <mergeCell ref="H310:H317"/>
    <mergeCell ref="I311:I316"/>
    <mergeCell ref="P311:P316"/>
    <mergeCell ref="J312:J315"/>
    <mergeCell ref="Q312:Q315"/>
    <mergeCell ref="K313:K314"/>
    <mergeCell ref="CQ313:CQ315"/>
    <mergeCell ref="Z313:Z314"/>
    <mergeCell ref="AA313:AA314"/>
    <mergeCell ref="AH313:AH314"/>
    <mergeCell ref="AI313:AI314"/>
    <mergeCell ref="AJ313:AJ314"/>
    <mergeCell ref="AK313:AK314"/>
    <mergeCell ref="AB313:AB314"/>
    <mergeCell ref="AC313:AC314"/>
    <mergeCell ref="V308:AC308"/>
    <mergeCell ref="AD308:CP308"/>
    <mergeCell ref="V309:AC309"/>
    <mergeCell ref="AD309:CP309"/>
    <mergeCell ref="V310:AC310"/>
    <mergeCell ref="AD310:CP310"/>
    <mergeCell ref="V311:AC311"/>
    <mergeCell ref="AD311:CP311"/>
    <mergeCell ref="V312:AC312"/>
    <mergeCell ref="AD312:CP312"/>
    <mergeCell ref="F320:F331"/>
    <mergeCell ref="G321:G330"/>
    <mergeCell ref="H322:H329"/>
    <mergeCell ref="I323:I328"/>
    <mergeCell ref="P323:P328"/>
    <mergeCell ref="J324:J327"/>
    <mergeCell ref="Q324:Q327"/>
    <mergeCell ref="K325:K326"/>
    <mergeCell ref="CQ325:CQ327"/>
    <mergeCell ref="Z325:Z326"/>
    <mergeCell ref="AA325:AA326"/>
    <mergeCell ref="AH325:AH326"/>
    <mergeCell ref="AI325:AI326"/>
    <mergeCell ref="AJ325:AJ326"/>
    <mergeCell ref="AK325:AK326"/>
    <mergeCell ref="AB325:AB326"/>
    <mergeCell ref="AC325:AC326"/>
    <mergeCell ref="V320:AC320"/>
    <mergeCell ref="AD320:CP320"/>
    <mergeCell ref="V321:AC321"/>
    <mergeCell ref="AD321:CP321"/>
    <mergeCell ref="V322:AC322"/>
    <mergeCell ref="AD322:CP322"/>
    <mergeCell ref="V323:AC323"/>
    <mergeCell ref="AD323:CP323"/>
    <mergeCell ref="V324:AC324"/>
    <mergeCell ref="AD324:CP324"/>
    <mergeCell ref="H54:H61"/>
    <mergeCell ref="I55:I60"/>
    <mergeCell ref="P55:P60"/>
    <mergeCell ref="J56:J59"/>
    <mergeCell ref="Q56:Q59"/>
    <mergeCell ref="K57:K58"/>
    <mergeCell ref="CQ57:CQ59"/>
    <mergeCell ref="Z57:Z58"/>
    <mergeCell ref="AA57:AA58"/>
    <mergeCell ref="AH57:AH58"/>
    <mergeCell ref="AI57:AI58"/>
    <mergeCell ref="AJ57:AJ58"/>
    <mergeCell ref="AK57:AK58"/>
    <mergeCell ref="AB57:AB58"/>
    <mergeCell ref="AC57:AC58"/>
    <mergeCell ref="V54:AC54"/>
    <mergeCell ref="AD54:CP54"/>
    <mergeCell ref="V55:AC55"/>
    <mergeCell ref="AD55:CP55"/>
    <mergeCell ref="V56:AC56"/>
    <mergeCell ref="AD56:CP56"/>
    <mergeCell ref="H62:H69"/>
    <mergeCell ref="I63:I68"/>
    <mergeCell ref="P63:P68"/>
    <mergeCell ref="J64:J67"/>
    <mergeCell ref="Q64:Q67"/>
    <mergeCell ref="K65:K66"/>
    <mergeCell ref="CQ65:CQ67"/>
    <mergeCell ref="Z65:Z66"/>
    <mergeCell ref="AA65:AA66"/>
    <mergeCell ref="AH65:AH66"/>
    <mergeCell ref="AI65:AI66"/>
    <mergeCell ref="AJ65:AJ66"/>
    <mergeCell ref="AK65:AK66"/>
    <mergeCell ref="AB65:AB66"/>
    <mergeCell ref="AC65:AC66"/>
    <mergeCell ref="V62:AC62"/>
    <mergeCell ref="AD62:CP62"/>
    <mergeCell ref="V63:AC63"/>
    <mergeCell ref="AD63:CP63"/>
    <mergeCell ref="V64:AC64"/>
    <mergeCell ref="AD64:CP64"/>
    <mergeCell ref="H178:H185"/>
    <mergeCell ref="I179:I184"/>
    <mergeCell ref="P179:P184"/>
    <mergeCell ref="J180:J183"/>
    <mergeCell ref="Q180:Q183"/>
    <mergeCell ref="K181:K182"/>
    <mergeCell ref="CQ181:CQ183"/>
    <mergeCell ref="Z181:Z182"/>
    <mergeCell ref="AA181:AA182"/>
    <mergeCell ref="AH181:AH182"/>
    <mergeCell ref="AI181:AI182"/>
    <mergeCell ref="AJ181:AJ182"/>
    <mergeCell ref="AK181:AK182"/>
    <mergeCell ref="AB181:AB182"/>
    <mergeCell ref="AC181:AC182"/>
    <mergeCell ref="V178:AC178"/>
    <mergeCell ref="AD178:CP178"/>
    <mergeCell ref="V179:AC179"/>
    <mergeCell ref="AD179:CP179"/>
    <mergeCell ref="V180:AC180"/>
    <mergeCell ref="AD180:CP180"/>
    <mergeCell ref="H198:H205"/>
    <mergeCell ref="I199:I204"/>
    <mergeCell ref="P199:P204"/>
    <mergeCell ref="J200:J203"/>
    <mergeCell ref="Q200:Q203"/>
    <mergeCell ref="K201:K202"/>
    <mergeCell ref="CQ201:CQ203"/>
    <mergeCell ref="Z201:Z202"/>
    <mergeCell ref="AA201:AA202"/>
    <mergeCell ref="AH201:AH202"/>
    <mergeCell ref="AI201:AI202"/>
    <mergeCell ref="AJ201:AJ202"/>
    <mergeCell ref="AK201:AK202"/>
    <mergeCell ref="AB201:AB202"/>
    <mergeCell ref="AC201:AC202"/>
    <mergeCell ref="V198:AC198"/>
    <mergeCell ref="AD198:CP198"/>
    <mergeCell ref="V199:AC199"/>
    <mergeCell ref="AD199:CP199"/>
    <mergeCell ref="V200:AC200"/>
    <mergeCell ref="AD200:CP200"/>
    <mergeCell ref="H230:H237"/>
    <mergeCell ref="I231:I236"/>
    <mergeCell ref="P231:P236"/>
    <mergeCell ref="J232:J235"/>
    <mergeCell ref="Q232:Q235"/>
    <mergeCell ref="K233:K234"/>
    <mergeCell ref="CQ233:CQ235"/>
    <mergeCell ref="Z233:Z234"/>
    <mergeCell ref="AA233:AA234"/>
    <mergeCell ref="AH233:AH234"/>
    <mergeCell ref="AI233:AI234"/>
    <mergeCell ref="AJ233:AJ234"/>
    <mergeCell ref="AK233:AK234"/>
    <mergeCell ref="AB233:AB234"/>
    <mergeCell ref="AC233:AC234"/>
    <mergeCell ref="V230:AC230"/>
    <mergeCell ref="AD230:CP230"/>
    <mergeCell ref="V231:AC231"/>
    <mergeCell ref="AD231:CP231"/>
    <mergeCell ref="V232:AC232"/>
    <mergeCell ref="AD232:CP232"/>
    <mergeCell ref="H274:H281"/>
    <mergeCell ref="I275:I280"/>
    <mergeCell ref="P275:P280"/>
    <mergeCell ref="J276:J279"/>
    <mergeCell ref="Q276:Q279"/>
    <mergeCell ref="K277:K278"/>
    <mergeCell ref="CQ277:CQ279"/>
    <mergeCell ref="Z277:Z278"/>
    <mergeCell ref="AA277:AA278"/>
    <mergeCell ref="AH277:AH278"/>
    <mergeCell ref="AI277:AI278"/>
    <mergeCell ref="AJ277:AJ278"/>
    <mergeCell ref="AK277:AK278"/>
    <mergeCell ref="AB277:AB278"/>
    <mergeCell ref="AC277:AC278"/>
    <mergeCell ref="V274:AC274"/>
    <mergeCell ref="AD274:CP274"/>
    <mergeCell ref="V275:AC275"/>
    <mergeCell ref="AD275:CP275"/>
    <mergeCell ref="V276:AC276"/>
    <mergeCell ref="AD276:CP276"/>
    <mergeCell ref="E333:E622"/>
    <mergeCell ref="F334:F361"/>
    <mergeCell ref="G335:G360"/>
    <mergeCell ref="H336:H343"/>
    <mergeCell ref="I337:I342"/>
    <mergeCell ref="P337:P342"/>
    <mergeCell ref="J338:J341"/>
    <mergeCell ref="Q338:Q341"/>
    <mergeCell ref="K339:K340"/>
    <mergeCell ref="CQ339:CQ341"/>
    <mergeCell ref="Z339:Z340"/>
    <mergeCell ref="AA339:AA340"/>
    <mergeCell ref="AH339:AH340"/>
    <mergeCell ref="AI339:AI340"/>
    <mergeCell ref="AJ339:AJ340"/>
    <mergeCell ref="AK339:AK340"/>
    <mergeCell ref="AB339:AB340"/>
    <mergeCell ref="AC339:AC340"/>
    <mergeCell ref="V333:AC333"/>
    <mergeCell ref="AD333:CP333"/>
    <mergeCell ref="V334:AC334"/>
    <mergeCell ref="AD334:CP334"/>
    <mergeCell ref="V335:AC335"/>
    <mergeCell ref="AD335:CP335"/>
    <mergeCell ref="V336:AC336"/>
    <mergeCell ref="AD336:CP336"/>
    <mergeCell ref="V337:AC337"/>
    <mergeCell ref="AD337:CP337"/>
    <mergeCell ref="V338:AC338"/>
    <mergeCell ref="AD338:CP338"/>
    <mergeCell ref="F362:F373"/>
    <mergeCell ref="G363:G372"/>
    <mergeCell ref="H364:H371"/>
    <mergeCell ref="I365:I370"/>
    <mergeCell ref="P365:P370"/>
    <mergeCell ref="J366:J369"/>
    <mergeCell ref="Q366:Q369"/>
    <mergeCell ref="K367:K368"/>
    <mergeCell ref="CQ367:CQ369"/>
    <mergeCell ref="Z367:Z368"/>
    <mergeCell ref="AA367:AA368"/>
    <mergeCell ref="AH367:AH368"/>
    <mergeCell ref="AI367:AI368"/>
    <mergeCell ref="AJ367:AJ368"/>
    <mergeCell ref="AK367:AK368"/>
    <mergeCell ref="AB367:AB368"/>
    <mergeCell ref="AC367:AC368"/>
    <mergeCell ref="V362:AC362"/>
    <mergeCell ref="AD362:CP362"/>
    <mergeCell ref="V363:AC363"/>
    <mergeCell ref="AD363:CP363"/>
    <mergeCell ref="V364:AC364"/>
    <mergeCell ref="AD364:CP364"/>
    <mergeCell ref="V365:AC365"/>
    <mergeCell ref="AD365:CP365"/>
    <mergeCell ref="V366:AC366"/>
    <mergeCell ref="AD366:CP366"/>
    <mergeCell ref="F374:F385"/>
    <mergeCell ref="G375:G384"/>
    <mergeCell ref="H376:H383"/>
    <mergeCell ref="I377:I382"/>
    <mergeCell ref="P377:P382"/>
    <mergeCell ref="J378:J381"/>
    <mergeCell ref="Q378:Q381"/>
    <mergeCell ref="K379:K380"/>
    <mergeCell ref="CQ379:CQ381"/>
    <mergeCell ref="Z379:Z380"/>
    <mergeCell ref="AA379:AA380"/>
    <mergeCell ref="AH379:AH380"/>
    <mergeCell ref="AI379:AI380"/>
    <mergeCell ref="AJ379:AJ380"/>
    <mergeCell ref="AK379:AK380"/>
    <mergeCell ref="AB379:AB380"/>
    <mergeCell ref="AC379:AC380"/>
    <mergeCell ref="V374:AC374"/>
    <mergeCell ref="AD374:CP374"/>
    <mergeCell ref="V375:AC375"/>
    <mergeCell ref="AD375:CP375"/>
    <mergeCell ref="V376:AC376"/>
    <mergeCell ref="AD376:CP376"/>
    <mergeCell ref="V377:AC377"/>
    <mergeCell ref="AD377:CP377"/>
    <mergeCell ref="V378:AC378"/>
    <mergeCell ref="AD378:CP378"/>
    <mergeCell ref="F386:F397"/>
    <mergeCell ref="G387:G396"/>
    <mergeCell ref="H388:H395"/>
    <mergeCell ref="I389:I394"/>
    <mergeCell ref="P389:P394"/>
    <mergeCell ref="J390:J393"/>
    <mergeCell ref="Q390:Q393"/>
    <mergeCell ref="K391:K392"/>
    <mergeCell ref="CQ391:CQ393"/>
    <mergeCell ref="Z391:Z392"/>
    <mergeCell ref="AA391:AA392"/>
    <mergeCell ref="AH391:AH392"/>
    <mergeCell ref="AI391:AI392"/>
    <mergeCell ref="AJ391:AJ392"/>
    <mergeCell ref="AK391:AK392"/>
    <mergeCell ref="AB391:AB392"/>
    <mergeCell ref="AC391:AC392"/>
    <mergeCell ref="V386:AC386"/>
    <mergeCell ref="AD386:CP386"/>
    <mergeCell ref="V387:AC387"/>
    <mergeCell ref="AD387:CP387"/>
    <mergeCell ref="V388:AC388"/>
    <mergeCell ref="AD388:CP388"/>
    <mergeCell ref="V389:AC389"/>
    <mergeCell ref="AD389:CP389"/>
    <mergeCell ref="V390:AC390"/>
    <mergeCell ref="AD390:CP390"/>
    <mergeCell ref="F398:F409"/>
    <mergeCell ref="G399:G408"/>
    <mergeCell ref="H400:H407"/>
    <mergeCell ref="I401:I406"/>
    <mergeCell ref="P401:P406"/>
    <mergeCell ref="J402:J405"/>
    <mergeCell ref="Q402:Q405"/>
    <mergeCell ref="K403:K404"/>
    <mergeCell ref="CQ403:CQ405"/>
    <mergeCell ref="Z403:Z404"/>
    <mergeCell ref="AA403:AA404"/>
    <mergeCell ref="AH403:AH404"/>
    <mergeCell ref="AI403:AI404"/>
    <mergeCell ref="AJ403:AJ404"/>
    <mergeCell ref="AK403:AK404"/>
    <mergeCell ref="AB403:AB404"/>
    <mergeCell ref="AC403:AC404"/>
    <mergeCell ref="V398:AC398"/>
    <mergeCell ref="AD398:CP398"/>
    <mergeCell ref="V399:AC399"/>
    <mergeCell ref="AD399:CP399"/>
    <mergeCell ref="V400:AC400"/>
    <mergeCell ref="AD400:CP400"/>
    <mergeCell ref="V401:AC401"/>
    <mergeCell ref="AD401:CP401"/>
    <mergeCell ref="V402:AC402"/>
    <mergeCell ref="AD402:CP402"/>
    <mergeCell ref="F410:F421"/>
    <mergeCell ref="G411:G420"/>
    <mergeCell ref="H412:H419"/>
    <mergeCell ref="I413:I418"/>
    <mergeCell ref="P413:P418"/>
    <mergeCell ref="J414:J417"/>
    <mergeCell ref="Q414:Q417"/>
    <mergeCell ref="K415:K416"/>
    <mergeCell ref="CQ415:CQ417"/>
    <mergeCell ref="Z415:Z416"/>
    <mergeCell ref="AA415:AA416"/>
    <mergeCell ref="AH415:AH416"/>
    <mergeCell ref="AI415:AI416"/>
    <mergeCell ref="AJ415:AJ416"/>
    <mergeCell ref="AK415:AK416"/>
    <mergeCell ref="AB415:AB416"/>
    <mergeCell ref="AC415:AC416"/>
    <mergeCell ref="V410:AC410"/>
    <mergeCell ref="AD410:CP410"/>
    <mergeCell ref="V411:AC411"/>
    <mergeCell ref="AD411:CP411"/>
    <mergeCell ref="V412:AC412"/>
    <mergeCell ref="AD412:CP412"/>
    <mergeCell ref="V413:AC413"/>
    <mergeCell ref="AD413:CP413"/>
    <mergeCell ref="V414:AC414"/>
    <mergeCell ref="AD414:CP414"/>
    <mergeCell ref="F422:F433"/>
    <mergeCell ref="G423:G432"/>
    <mergeCell ref="H424:H431"/>
    <mergeCell ref="I425:I430"/>
    <mergeCell ref="P425:P430"/>
    <mergeCell ref="J426:J429"/>
    <mergeCell ref="Q426:Q429"/>
    <mergeCell ref="K427:K428"/>
    <mergeCell ref="CQ427:CQ429"/>
    <mergeCell ref="Z427:Z428"/>
    <mergeCell ref="AA427:AA428"/>
    <mergeCell ref="AH427:AH428"/>
    <mergeCell ref="AI427:AI428"/>
    <mergeCell ref="AJ427:AJ428"/>
    <mergeCell ref="AK427:AK428"/>
    <mergeCell ref="AB427:AB428"/>
    <mergeCell ref="AC427:AC428"/>
    <mergeCell ref="V422:AC422"/>
    <mergeCell ref="AD422:CP422"/>
    <mergeCell ref="V423:AC423"/>
    <mergeCell ref="AD423:CP423"/>
    <mergeCell ref="V424:AC424"/>
    <mergeCell ref="AD424:CP424"/>
    <mergeCell ref="V425:AC425"/>
    <mergeCell ref="AD425:CP425"/>
    <mergeCell ref="V426:AC426"/>
    <mergeCell ref="AD426:CP426"/>
    <mergeCell ref="F434:F445"/>
    <mergeCell ref="G435:G444"/>
    <mergeCell ref="H436:H443"/>
    <mergeCell ref="I437:I442"/>
    <mergeCell ref="P437:P442"/>
    <mergeCell ref="J438:J441"/>
    <mergeCell ref="Q438:Q441"/>
    <mergeCell ref="K439:K440"/>
    <mergeCell ref="CQ439:CQ441"/>
    <mergeCell ref="Z439:Z440"/>
    <mergeCell ref="AA439:AA440"/>
    <mergeCell ref="AH439:AH440"/>
    <mergeCell ref="AI439:AI440"/>
    <mergeCell ref="AJ439:AJ440"/>
    <mergeCell ref="AK439:AK440"/>
    <mergeCell ref="AB439:AB440"/>
    <mergeCell ref="AC439:AC440"/>
    <mergeCell ref="V434:AC434"/>
    <mergeCell ref="AD434:CP434"/>
    <mergeCell ref="V435:AC435"/>
    <mergeCell ref="AD435:CP435"/>
    <mergeCell ref="V436:AC436"/>
    <mergeCell ref="AD436:CP436"/>
    <mergeCell ref="V437:AC437"/>
    <mergeCell ref="AD437:CP437"/>
    <mergeCell ref="V438:AC438"/>
    <mergeCell ref="AD438:CP438"/>
    <mergeCell ref="F446:F457"/>
    <mergeCell ref="G447:G456"/>
    <mergeCell ref="H448:H455"/>
    <mergeCell ref="I449:I454"/>
    <mergeCell ref="P449:P454"/>
    <mergeCell ref="J450:J453"/>
    <mergeCell ref="Q450:Q453"/>
    <mergeCell ref="K451:K452"/>
    <mergeCell ref="CQ451:CQ453"/>
    <mergeCell ref="Z451:Z452"/>
    <mergeCell ref="AA451:AA452"/>
    <mergeCell ref="AH451:AH452"/>
    <mergeCell ref="AI451:AI452"/>
    <mergeCell ref="AJ451:AJ452"/>
    <mergeCell ref="AK451:AK452"/>
    <mergeCell ref="AB451:AB452"/>
    <mergeCell ref="AC451:AC452"/>
    <mergeCell ref="V446:AC446"/>
    <mergeCell ref="AD446:CP446"/>
    <mergeCell ref="V447:AC447"/>
    <mergeCell ref="AD447:CP447"/>
    <mergeCell ref="V448:AC448"/>
    <mergeCell ref="AD448:CP448"/>
    <mergeCell ref="V449:AC449"/>
    <mergeCell ref="AD449:CP449"/>
    <mergeCell ref="V450:AC450"/>
    <mergeCell ref="AD450:CP450"/>
    <mergeCell ref="F458:F477"/>
    <mergeCell ref="G459:G476"/>
    <mergeCell ref="H460:H467"/>
    <mergeCell ref="I461:I466"/>
    <mergeCell ref="P461:P466"/>
    <mergeCell ref="J462:J465"/>
    <mergeCell ref="Q462:Q465"/>
    <mergeCell ref="K463:K464"/>
    <mergeCell ref="CQ463:CQ465"/>
    <mergeCell ref="Z463:Z464"/>
    <mergeCell ref="AA463:AA464"/>
    <mergeCell ref="AH463:AH464"/>
    <mergeCell ref="AI463:AI464"/>
    <mergeCell ref="AJ463:AJ464"/>
    <mergeCell ref="AK463:AK464"/>
    <mergeCell ref="AB463:AB464"/>
    <mergeCell ref="AC463:AC464"/>
    <mergeCell ref="V458:AC458"/>
    <mergeCell ref="AD458:CP458"/>
    <mergeCell ref="V459:AC459"/>
    <mergeCell ref="AD459:CP459"/>
    <mergeCell ref="V460:AC460"/>
    <mergeCell ref="AD460:CP460"/>
    <mergeCell ref="V461:AC461"/>
    <mergeCell ref="AD461:CP461"/>
    <mergeCell ref="V462:AC462"/>
    <mergeCell ref="AD462:CP462"/>
    <mergeCell ref="F478:F497"/>
    <mergeCell ref="G479:G496"/>
    <mergeCell ref="H480:H487"/>
    <mergeCell ref="I481:I486"/>
    <mergeCell ref="P481:P486"/>
    <mergeCell ref="J482:J485"/>
    <mergeCell ref="Q482:Q485"/>
    <mergeCell ref="K483:K484"/>
    <mergeCell ref="CQ483:CQ485"/>
    <mergeCell ref="Z483:Z484"/>
    <mergeCell ref="AA483:AA484"/>
    <mergeCell ref="AH483:AH484"/>
    <mergeCell ref="AI483:AI484"/>
    <mergeCell ref="AJ483:AJ484"/>
    <mergeCell ref="AK483:AK484"/>
    <mergeCell ref="AB483:AB484"/>
    <mergeCell ref="AC483:AC484"/>
    <mergeCell ref="V478:AC478"/>
    <mergeCell ref="AD478:CP478"/>
    <mergeCell ref="V479:AC479"/>
    <mergeCell ref="AD479:CP479"/>
    <mergeCell ref="V480:AC480"/>
    <mergeCell ref="AD480:CP480"/>
    <mergeCell ref="V481:AC481"/>
    <mergeCell ref="AD481:CP481"/>
    <mergeCell ref="V482:AC482"/>
    <mergeCell ref="AD482:CP482"/>
    <mergeCell ref="F498:F509"/>
    <mergeCell ref="G499:G508"/>
    <mergeCell ref="H500:H507"/>
    <mergeCell ref="I501:I506"/>
    <mergeCell ref="P501:P506"/>
    <mergeCell ref="J502:J505"/>
    <mergeCell ref="Q502:Q505"/>
    <mergeCell ref="K503:K504"/>
    <mergeCell ref="CQ503:CQ505"/>
    <mergeCell ref="Z503:Z504"/>
    <mergeCell ref="AA503:AA504"/>
    <mergeCell ref="AH503:AH504"/>
    <mergeCell ref="AI503:AI504"/>
    <mergeCell ref="AJ503:AJ504"/>
    <mergeCell ref="AK503:AK504"/>
    <mergeCell ref="AB503:AB504"/>
    <mergeCell ref="AC503:AC504"/>
    <mergeCell ref="V498:AC498"/>
    <mergeCell ref="AD498:CP498"/>
    <mergeCell ref="V499:AC499"/>
    <mergeCell ref="AD499:CP499"/>
    <mergeCell ref="V500:AC500"/>
    <mergeCell ref="AD500:CP500"/>
    <mergeCell ref="V501:AC501"/>
    <mergeCell ref="AD501:CP501"/>
    <mergeCell ref="V502:AC502"/>
    <mergeCell ref="AD502:CP502"/>
    <mergeCell ref="F510:F529"/>
    <mergeCell ref="G511:G528"/>
    <mergeCell ref="H512:H519"/>
    <mergeCell ref="I513:I518"/>
    <mergeCell ref="P513:P518"/>
    <mergeCell ref="J514:J517"/>
    <mergeCell ref="Q514:Q517"/>
    <mergeCell ref="K515:K516"/>
    <mergeCell ref="CQ515:CQ517"/>
    <mergeCell ref="Z515:Z516"/>
    <mergeCell ref="AA515:AA516"/>
    <mergeCell ref="AH515:AH516"/>
    <mergeCell ref="AI515:AI516"/>
    <mergeCell ref="AJ515:AJ516"/>
    <mergeCell ref="AK515:AK516"/>
    <mergeCell ref="AB515:AB516"/>
    <mergeCell ref="AC515:AC516"/>
    <mergeCell ref="V510:AC510"/>
    <mergeCell ref="AD510:CP510"/>
    <mergeCell ref="V511:AC511"/>
    <mergeCell ref="AD511:CP511"/>
    <mergeCell ref="V512:AC512"/>
    <mergeCell ref="AD512:CP512"/>
    <mergeCell ref="V513:AC513"/>
    <mergeCell ref="AD513:CP513"/>
    <mergeCell ref="V514:AC514"/>
    <mergeCell ref="AD514:CP514"/>
    <mergeCell ref="F530:F541"/>
    <mergeCell ref="G531:G540"/>
    <mergeCell ref="H532:H539"/>
    <mergeCell ref="I533:I538"/>
    <mergeCell ref="P533:P538"/>
    <mergeCell ref="J534:J537"/>
    <mergeCell ref="Q534:Q537"/>
    <mergeCell ref="K535:K536"/>
    <mergeCell ref="CQ535:CQ537"/>
    <mergeCell ref="Z535:Z536"/>
    <mergeCell ref="AA535:AA536"/>
    <mergeCell ref="AH535:AH536"/>
    <mergeCell ref="AI535:AI536"/>
    <mergeCell ref="AJ535:AJ536"/>
    <mergeCell ref="AK535:AK536"/>
    <mergeCell ref="AB535:AB536"/>
    <mergeCell ref="AC535:AC536"/>
    <mergeCell ref="V530:AC530"/>
    <mergeCell ref="AD530:CP530"/>
    <mergeCell ref="V531:AC531"/>
    <mergeCell ref="AD531:CP531"/>
    <mergeCell ref="V532:AC532"/>
    <mergeCell ref="AD532:CP532"/>
    <mergeCell ref="V533:AC533"/>
    <mergeCell ref="AD533:CP533"/>
    <mergeCell ref="V534:AC534"/>
    <mergeCell ref="AD534:CP534"/>
    <mergeCell ref="F542:F553"/>
    <mergeCell ref="G543:G552"/>
    <mergeCell ref="H544:H551"/>
    <mergeCell ref="I545:I550"/>
    <mergeCell ref="P545:P550"/>
    <mergeCell ref="J546:J549"/>
    <mergeCell ref="Q546:Q549"/>
    <mergeCell ref="K547:K548"/>
    <mergeCell ref="CQ547:CQ549"/>
    <mergeCell ref="Z547:Z548"/>
    <mergeCell ref="AA547:AA548"/>
    <mergeCell ref="AH547:AH548"/>
    <mergeCell ref="AI547:AI548"/>
    <mergeCell ref="AJ547:AJ548"/>
    <mergeCell ref="AK547:AK548"/>
    <mergeCell ref="AB547:AB548"/>
    <mergeCell ref="AC547:AC548"/>
    <mergeCell ref="V542:AC542"/>
    <mergeCell ref="AD542:CP542"/>
    <mergeCell ref="V543:AC543"/>
    <mergeCell ref="AD543:CP543"/>
    <mergeCell ref="V544:AC544"/>
    <mergeCell ref="AD544:CP544"/>
    <mergeCell ref="V545:AC545"/>
    <mergeCell ref="AD545:CP545"/>
    <mergeCell ref="V546:AC546"/>
    <mergeCell ref="AD546:CP546"/>
    <mergeCell ref="F554:F573"/>
    <mergeCell ref="G555:G572"/>
    <mergeCell ref="H556:H563"/>
    <mergeCell ref="I557:I562"/>
    <mergeCell ref="P557:P562"/>
    <mergeCell ref="J558:J561"/>
    <mergeCell ref="Q558:Q561"/>
    <mergeCell ref="K559:K560"/>
    <mergeCell ref="CQ559:CQ561"/>
    <mergeCell ref="Z559:Z560"/>
    <mergeCell ref="AA559:AA560"/>
    <mergeCell ref="AH559:AH560"/>
    <mergeCell ref="AI559:AI560"/>
    <mergeCell ref="AJ559:AJ560"/>
    <mergeCell ref="AK559:AK560"/>
    <mergeCell ref="AB559:AB560"/>
    <mergeCell ref="AC559:AC560"/>
    <mergeCell ref="V554:AC554"/>
    <mergeCell ref="AD554:CP554"/>
    <mergeCell ref="V555:AC555"/>
    <mergeCell ref="AD555:CP555"/>
    <mergeCell ref="V556:AC556"/>
    <mergeCell ref="AD556:CP556"/>
    <mergeCell ref="V557:AC557"/>
    <mergeCell ref="AD557:CP557"/>
    <mergeCell ref="V558:AC558"/>
    <mergeCell ref="AD558:CP558"/>
    <mergeCell ref="F574:F585"/>
    <mergeCell ref="G575:G584"/>
    <mergeCell ref="H576:H583"/>
    <mergeCell ref="I577:I582"/>
    <mergeCell ref="P577:P582"/>
    <mergeCell ref="J578:J581"/>
    <mergeCell ref="Q578:Q581"/>
    <mergeCell ref="K579:K580"/>
    <mergeCell ref="CQ579:CQ581"/>
    <mergeCell ref="Z579:Z580"/>
    <mergeCell ref="AA579:AA580"/>
    <mergeCell ref="AH579:AH580"/>
    <mergeCell ref="AI579:AI580"/>
    <mergeCell ref="AJ579:AJ580"/>
    <mergeCell ref="AK579:AK580"/>
    <mergeCell ref="AB579:AB580"/>
    <mergeCell ref="AC579:AC580"/>
    <mergeCell ref="V574:AC574"/>
    <mergeCell ref="AD574:CP574"/>
    <mergeCell ref="V575:AC575"/>
    <mergeCell ref="AD575:CP575"/>
    <mergeCell ref="V576:AC576"/>
    <mergeCell ref="AD576:CP576"/>
    <mergeCell ref="V577:AC577"/>
    <mergeCell ref="AD577:CP577"/>
    <mergeCell ref="V578:AC578"/>
    <mergeCell ref="AD578:CP578"/>
    <mergeCell ref="F586:F597"/>
    <mergeCell ref="G587:G596"/>
    <mergeCell ref="H588:H595"/>
    <mergeCell ref="I589:I594"/>
    <mergeCell ref="P589:P594"/>
    <mergeCell ref="J590:J593"/>
    <mergeCell ref="Q590:Q593"/>
    <mergeCell ref="K591:K592"/>
    <mergeCell ref="CQ591:CQ593"/>
    <mergeCell ref="Z591:Z592"/>
    <mergeCell ref="AA591:AA592"/>
    <mergeCell ref="AH591:AH592"/>
    <mergeCell ref="AI591:AI592"/>
    <mergeCell ref="AJ591:AJ592"/>
    <mergeCell ref="AK591:AK592"/>
    <mergeCell ref="AB591:AB592"/>
    <mergeCell ref="AC591:AC592"/>
    <mergeCell ref="V586:AC586"/>
    <mergeCell ref="AD586:CP586"/>
    <mergeCell ref="V587:AC587"/>
    <mergeCell ref="AD587:CP587"/>
    <mergeCell ref="V588:AC588"/>
    <mergeCell ref="AD588:CP588"/>
    <mergeCell ref="V589:AC589"/>
    <mergeCell ref="AD589:CP589"/>
    <mergeCell ref="V590:AC590"/>
    <mergeCell ref="AD590:CP590"/>
    <mergeCell ref="F598:F609"/>
    <mergeCell ref="G599:G608"/>
    <mergeCell ref="H600:H607"/>
    <mergeCell ref="I601:I606"/>
    <mergeCell ref="P601:P606"/>
    <mergeCell ref="J602:J605"/>
    <mergeCell ref="Q602:Q605"/>
    <mergeCell ref="K603:K604"/>
    <mergeCell ref="CQ603:CQ605"/>
    <mergeCell ref="Z603:Z604"/>
    <mergeCell ref="AA603:AA604"/>
    <mergeCell ref="AH603:AH604"/>
    <mergeCell ref="AI603:AI604"/>
    <mergeCell ref="AJ603:AJ604"/>
    <mergeCell ref="AK603:AK604"/>
    <mergeCell ref="AB603:AB604"/>
    <mergeCell ref="AC603:AC604"/>
    <mergeCell ref="V598:AC598"/>
    <mergeCell ref="AD598:CP598"/>
    <mergeCell ref="V599:AC599"/>
    <mergeCell ref="AD599:CP599"/>
    <mergeCell ref="V600:AC600"/>
    <mergeCell ref="AD600:CP600"/>
    <mergeCell ref="V601:AC601"/>
    <mergeCell ref="AD601:CP601"/>
    <mergeCell ref="V602:AC602"/>
    <mergeCell ref="AD602:CP602"/>
    <mergeCell ref="F610:F621"/>
    <mergeCell ref="G611:G620"/>
    <mergeCell ref="H612:H619"/>
    <mergeCell ref="I613:I618"/>
    <mergeCell ref="P613:P618"/>
    <mergeCell ref="J614:J617"/>
    <mergeCell ref="Q614:Q617"/>
    <mergeCell ref="K615:K616"/>
    <mergeCell ref="CQ615:CQ617"/>
    <mergeCell ref="Z615:Z616"/>
    <mergeCell ref="AA615:AA616"/>
    <mergeCell ref="AH615:AH616"/>
    <mergeCell ref="AI615:AI616"/>
    <mergeCell ref="AJ615:AJ616"/>
    <mergeCell ref="AK615:AK616"/>
    <mergeCell ref="AB615:AB616"/>
    <mergeCell ref="AC615:AC616"/>
    <mergeCell ref="V610:AC610"/>
    <mergeCell ref="AD610:CP610"/>
    <mergeCell ref="V611:AC611"/>
    <mergeCell ref="AD611:CP611"/>
    <mergeCell ref="V612:AC612"/>
    <mergeCell ref="AD612:CP612"/>
    <mergeCell ref="V613:AC613"/>
    <mergeCell ref="AD613:CP613"/>
    <mergeCell ref="V614:AC614"/>
    <mergeCell ref="AD614:CP614"/>
    <mergeCell ref="H344:H351"/>
    <mergeCell ref="I345:I350"/>
    <mergeCell ref="P345:P350"/>
    <mergeCell ref="J346:J349"/>
    <mergeCell ref="Q346:Q349"/>
    <mergeCell ref="K347:K348"/>
    <mergeCell ref="CQ347:CQ349"/>
    <mergeCell ref="Z347:Z348"/>
    <mergeCell ref="AA347:AA348"/>
    <mergeCell ref="AH347:AH348"/>
    <mergeCell ref="AI347:AI348"/>
    <mergeCell ref="AJ347:AJ348"/>
    <mergeCell ref="AK347:AK348"/>
    <mergeCell ref="AB347:AB348"/>
    <mergeCell ref="AC347:AC348"/>
    <mergeCell ref="V344:AC344"/>
    <mergeCell ref="AD344:CP344"/>
    <mergeCell ref="V345:AC345"/>
    <mergeCell ref="AD345:CP345"/>
    <mergeCell ref="V346:AC346"/>
    <mergeCell ref="AD346:CP346"/>
    <mergeCell ref="H352:H359"/>
    <mergeCell ref="I353:I358"/>
    <mergeCell ref="P353:P358"/>
    <mergeCell ref="J354:J357"/>
    <mergeCell ref="Q354:Q357"/>
    <mergeCell ref="K355:K356"/>
    <mergeCell ref="CQ355:CQ357"/>
    <mergeCell ref="Z355:Z356"/>
    <mergeCell ref="AA355:AA356"/>
    <mergeCell ref="AH355:AH356"/>
    <mergeCell ref="AI355:AI356"/>
    <mergeCell ref="AJ355:AJ356"/>
    <mergeCell ref="AK355:AK356"/>
    <mergeCell ref="AB355:AB356"/>
    <mergeCell ref="AC355:AC356"/>
    <mergeCell ref="V352:AC352"/>
    <mergeCell ref="AD352:CP352"/>
    <mergeCell ref="V353:AC353"/>
    <mergeCell ref="AD353:CP353"/>
    <mergeCell ref="V354:AC354"/>
    <mergeCell ref="AD354:CP354"/>
    <mergeCell ref="H468:H475"/>
    <mergeCell ref="I469:I474"/>
    <mergeCell ref="P469:P474"/>
    <mergeCell ref="J470:J473"/>
    <mergeCell ref="Q470:Q473"/>
    <mergeCell ref="K471:K472"/>
    <mergeCell ref="CQ471:CQ473"/>
    <mergeCell ref="Z471:Z472"/>
    <mergeCell ref="AA471:AA472"/>
    <mergeCell ref="AH471:AH472"/>
    <mergeCell ref="AI471:AI472"/>
    <mergeCell ref="AJ471:AJ472"/>
    <mergeCell ref="AK471:AK472"/>
    <mergeCell ref="AB471:AB472"/>
    <mergeCell ref="AC471:AC472"/>
    <mergeCell ref="V468:AC468"/>
    <mergeCell ref="AD468:CP468"/>
    <mergeCell ref="V469:AC469"/>
    <mergeCell ref="AD469:CP469"/>
    <mergeCell ref="V470:AC470"/>
    <mergeCell ref="AD470:CP470"/>
    <mergeCell ref="H488:H495"/>
    <mergeCell ref="I489:I494"/>
    <mergeCell ref="P489:P494"/>
    <mergeCell ref="J490:J493"/>
    <mergeCell ref="Q490:Q493"/>
    <mergeCell ref="K491:K492"/>
    <mergeCell ref="CQ491:CQ493"/>
    <mergeCell ref="Z491:Z492"/>
    <mergeCell ref="AA491:AA492"/>
    <mergeCell ref="AH491:AH492"/>
    <mergeCell ref="AI491:AI492"/>
    <mergeCell ref="AJ491:AJ492"/>
    <mergeCell ref="AK491:AK492"/>
    <mergeCell ref="AB491:AB492"/>
    <mergeCell ref="AC491:AC492"/>
    <mergeCell ref="V488:AC488"/>
    <mergeCell ref="AD488:CP488"/>
    <mergeCell ref="V489:AC489"/>
    <mergeCell ref="AD489:CP489"/>
    <mergeCell ref="V490:AC490"/>
    <mergeCell ref="AD490:CP490"/>
    <mergeCell ref="H520:H527"/>
    <mergeCell ref="I521:I526"/>
    <mergeCell ref="P521:P526"/>
    <mergeCell ref="J522:J525"/>
    <mergeCell ref="Q522:Q525"/>
    <mergeCell ref="K523:K524"/>
    <mergeCell ref="CQ523:CQ525"/>
    <mergeCell ref="Z523:Z524"/>
    <mergeCell ref="AA523:AA524"/>
    <mergeCell ref="AH523:AH524"/>
    <mergeCell ref="AI523:AI524"/>
    <mergeCell ref="AJ523:AJ524"/>
    <mergeCell ref="AK523:AK524"/>
    <mergeCell ref="AB523:AB524"/>
    <mergeCell ref="AC523:AC524"/>
    <mergeCell ref="V520:AC520"/>
    <mergeCell ref="AD520:CP520"/>
    <mergeCell ref="V521:AC521"/>
    <mergeCell ref="AD521:CP521"/>
    <mergeCell ref="V522:AC522"/>
    <mergeCell ref="AD522:CP522"/>
    <mergeCell ref="H564:H571"/>
    <mergeCell ref="I565:I570"/>
    <mergeCell ref="P565:P570"/>
    <mergeCell ref="J566:J569"/>
    <mergeCell ref="Q566:Q569"/>
    <mergeCell ref="K567:K568"/>
    <mergeCell ref="CQ567:CQ569"/>
    <mergeCell ref="Z567:Z568"/>
    <mergeCell ref="AA567:AA568"/>
    <mergeCell ref="AH567:AH568"/>
    <mergeCell ref="AI567:AI568"/>
    <mergeCell ref="AJ567:AJ568"/>
    <mergeCell ref="AK567:AK568"/>
    <mergeCell ref="AB567:AB568"/>
    <mergeCell ref="AC567:AC568"/>
    <mergeCell ref="V564:AC564"/>
    <mergeCell ref="AD564:CP564"/>
    <mergeCell ref="V565:AC565"/>
    <mergeCell ref="AD565:CP565"/>
    <mergeCell ref="V566:AC566"/>
    <mergeCell ref="AD566:CP566"/>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AP57:AP58"/>
    <mergeCell ref="AQ57:AQ58"/>
    <mergeCell ref="AR57:AR58"/>
    <mergeCell ref="AS57:AS58"/>
    <mergeCell ref="AP65:AP66"/>
    <mergeCell ref="AQ65:AQ66"/>
    <mergeCell ref="AR65:AR66"/>
    <mergeCell ref="AS65:AS66"/>
    <mergeCell ref="AP77:AP78"/>
    <mergeCell ref="AQ77:AQ78"/>
    <mergeCell ref="AR77:AR78"/>
    <mergeCell ref="AS77:AS78"/>
    <mergeCell ref="AP89:AP90"/>
    <mergeCell ref="AQ89:AQ90"/>
    <mergeCell ref="AR89:AR90"/>
    <mergeCell ref="AS89:AS90"/>
    <mergeCell ref="AP101:AP102"/>
    <mergeCell ref="AQ101:AQ102"/>
    <mergeCell ref="AR101:AR102"/>
    <mergeCell ref="AS101:AS102"/>
    <mergeCell ref="AP113:AP114"/>
    <mergeCell ref="AQ113:AQ114"/>
    <mergeCell ref="AR113:AR114"/>
    <mergeCell ref="AS113:AS114"/>
    <mergeCell ref="AP125:AP126"/>
    <mergeCell ref="AQ125:AQ126"/>
    <mergeCell ref="AR125:AR126"/>
    <mergeCell ref="AS125:AS126"/>
    <mergeCell ref="AP137:AP138"/>
    <mergeCell ref="AQ137:AQ138"/>
    <mergeCell ref="AR137:AR138"/>
    <mergeCell ref="AS137:AS138"/>
    <mergeCell ref="AP149:AP150"/>
    <mergeCell ref="AQ149:AQ150"/>
    <mergeCell ref="AR149:AR150"/>
    <mergeCell ref="AS149:AS150"/>
    <mergeCell ref="AP161:AP162"/>
    <mergeCell ref="AQ161:AQ162"/>
    <mergeCell ref="AR161:AR162"/>
    <mergeCell ref="AS161:AS162"/>
    <mergeCell ref="AP173:AP174"/>
    <mergeCell ref="AQ173:AQ174"/>
    <mergeCell ref="AR173:AR174"/>
    <mergeCell ref="AS173:AS174"/>
    <mergeCell ref="AP181:AP182"/>
    <mergeCell ref="AQ181:AQ182"/>
    <mergeCell ref="AR181:AR182"/>
    <mergeCell ref="AS181:AS182"/>
    <mergeCell ref="AP193:AP194"/>
    <mergeCell ref="AQ193:AQ194"/>
    <mergeCell ref="AR193:AR194"/>
    <mergeCell ref="AS193:AS194"/>
    <mergeCell ref="AP201:AP202"/>
    <mergeCell ref="AQ201:AQ202"/>
    <mergeCell ref="AR201:AR202"/>
    <mergeCell ref="AS201:AS202"/>
    <mergeCell ref="AP213:AP214"/>
    <mergeCell ref="AQ213:AQ214"/>
    <mergeCell ref="AR213:AR214"/>
    <mergeCell ref="AS213:AS214"/>
    <mergeCell ref="AP225:AP226"/>
    <mergeCell ref="AQ225:AQ226"/>
    <mergeCell ref="AR225:AR226"/>
    <mergeCell ref="AS225:AS226"/>
    <mergeCell ref="AP233:AP234"/>
    <mergeCell ref="AQ233:AQ234"/>
    <mergeCell ref="AR233:AR234"/>
    <mergeCell ref="AS233:AS234"/>
    <mergeCell ref="AP245:AP246"/>
    <mergeCell ref="AQ245:AQ246"/>
    <mergeCell ref="AR245:AR246"/>
    <mergeCell ref="AS245:AS246"/>
    <mergeCell ref="AP257:AP258"/>
    <mergeCell ref="AQ257:AQ258"/>
    <mergeCell ref="AR257:AR258"/>
    <mergeCell ref="AS257:AS258"/>
    <mergeCell ref="AP269:AP270"/>
    <mergeCell ref="AQ269:AQ270"/>
    <mergeCell ref="AR269:AR270"/>
    <mergeCell ref="AS269:AS270"/>
    <mergeCell ref="AP277:AP278"/>
    <mergeCell ref="AQ277:AQ278"/>
    <mergeCell ref="AR277:AR278"/>
    <mergeCell ref="AS277:AS278"/>
    <mergeCell ref="AP289:AP290"/>
    <mergeCell ref="AQ289:AQ290"/>
    <mergeCell ref="AR289:AR290"/>
    <mergeCell ref="AS289:AS290"/>
    <mergeCell ref="AP301:AP302"/>
    <mergeCell ref="AQ301:AQ302"/>
    <mergeCell ref="AR301:AR302"/>
    <mergeCell ref="AS301:AS302"/>
    <mergeCell ref="AP313:AP314"/>
    <mergeCell ref="AQ313:AQ314"/>
    <mergeCell ref="AR313:AR314"/>
    <mergeCell ref="AS313:AS314"/>
    <mergeCell ref="AP325:AP326"/>
    <mergeCell ref="AQ325:AQ326"/>
    <mergeCell ref="AR325:AR326"/>
    <mergeCell ref="AS325:AS326"/>
    <mergeCell ref="AP339:AP340"/>
    <mergeCell ref="AQ339:AQ340"/>
    <mergeCell ref="AR339:AR340"/>
    <mergeCell ref="AS339:AS340"/>
    <mergeCell ref="AP347:AP348"/>
    <mergeCell ref="AQ347:AQ348"/>
    <mergeCell ref="AR347:AR348"/>
    <mergeCell ref="AS347:AS348"/>
    <mergeCell ref="AP355:AP356"/>
    <mergeCell ref="AQ355:AQ356"/>
    <mergeCell ref="AR355:AR356"/>
    <mergeCell ref="AS355:AS356"/>
    <mergeCell ref="AP367:AP368"/>
    <mergeCell ref="AQ367:AQ368"/>
    <mergeCell ref="AR367:AR368"/>
    <mergeCell ref="AS367:AS368"/>
    <mergeCell ref="AP379:AP380"/>
    <mergeCell ref="AQ379:AQ380"/>
    <mergeCell ref="AR379:AR380"/>
    <mergeCell ref="AS379:AS380"/>
    <mergeCell ref="AP391:AP392"/>
    <mergeCell ref="AQ391:AQ392"/>
    <mergeCell ref="AR391:AR392"/>
    <mergeCell ref="AS391:AS392"/>
    <mergeCell ref="AP403:AP404"/>
    <mergeCell ref="AQ403:AQ404"/>
    <mergeCell ref="AR403:AR404"/>
    <mergeCell ref="AS403:AS404"/>
    <mergeCell ref="AP415:AP416"/>
    <mergeCell ref="AQ415:AQ416"/>
    <mergeCell ref="AR415:AR416"/>
    <mergeCell ref="AS415:AS416"/>
    <mergeCell ref="AP427:AP428"/>
    <mergeCell ref="AQ427:AQ428"/>
    <mergeCell ref="AR427:AR428"/>
    <mergeCell ref="AS427:AS428"/>
    <mergeCell ref="AP439:AP440"/>
    <mergeCell ref="AQ439:AQ440"/>
    <mergeCell ref="AR439:AR440"/>
    <mergeCell ref="AS439:AS440"/>
    <mergeCell ref="AP451:AP452"/>
    <mergeCell ref="AQ451:AQ452"/>
    <mergeCell ref="AR451:AR452"/>
    <mergeCell ref="AS451:AS452"/>
    <mergeCell ref="AP463:AP464"/>
    <mergeCell ref="AQ463:AQ464"/>
    <mergeCell ref="AR463:AR464"/>
    <mergeCell ref="AS463:AS464"/>
    <mergeCell ref="AP471:AP472"/>
    <mergeCell ref="AQ471:AQ472"/>
    <mergeCell ref="AR471:AR472"/>
    <mergeCell ref="AS471:AS472"/>
    <mergeCell ref="AP483:AP484"/>
    <mergeCell ref="AQ483:AQ484"/>
    <mergeCell ref="AR483:AR484"/>
    <mergeCell ref="AS483:AS484"/>
    <mergeCell ref="AP491:AP492"/>
    <mergeCell ref="AQ491:AQ492"/>
    <mergeCell ref="AR491:AR492"/>
    <mergeCell ref="AS491:AS492"/>
    <mergeCell ref="AP503:AP504"/>
    <mergeCell ref="AQ503:AQ504"/>
    <mergeCell ref="AR503:AR504"/>
    <mergeCell ref="AS503:AS504"/>
    <mergeCell ref="AP515:AP516"/>
    <mergeCell ref="AQ515:AQ516"/>
    <mergeCell ref="AR515:AR516"/>
    <mergeCell ref="AS515:AS516"/>
    <mergeCell ref="AP523:AP524"/>
    <mergeCell ref="AQ523:AQ524"/>
    <mergeCell ref="AR523:AR524"/>
    <mergeCell ref="AS523:AS524"/>
    <mergeCell ref="AP535:AP536"/>
    <mergeCell ref="AQ535:AQ536"/>
    <mergeCell ref="AR535:AR536"/>
    <mergeCell ref="AS535:AS536"/>
    <mergeCell ref="AP547:AP548"/>
    <mergeCell ref="AQ547:AQ548"/>
    <mergeCell ref="AR547:AR548"/>
    <mergeCell ref="AS547:AS548"/>
    <mergeCell ref="AP559:AP560"/>
    <mergeCell ref="AQ559:AQ560"/>
    <mergeCell ref="AR559:AR560"/>
    <mergeCell ref="AS559:AS560"/>
    <mergeCell ref="AP567:AP568"/>
    <mergeCell ref="AQ567:AQ568"/>
    <mergeCell ref="AR567:AR568"/>
    <mergeCell ref="AS567:AS568"/>
    <mergeCell ref="AP579:AP580"/>
    <mergeCell ref="AQ579:AQ580"/>
    <mergeCell ref="AR579:AR580"/>
    <mergeCell ref="AS579:AS580"/>
    <mergeCell ref="AP591:AP592"/>
    <mergeCell ref="AQ591:AQ592"/>
    <mergeCell ref="AR591:AR592"/>
    <mergeCell ref="AS591:AS592"/>
    <mergeCell ref="AP603:AP604"/>
    <mergeCell ref="AQ603:AQ604"/>
    <mergeCell ref="AR603:AR604"/>
    <mergeCell ref="AS603:AS604"/>
    <mergeCell ref="AP615:AP616"/>
    <mergeCell ref="AQ615:AQ616"/>
    <mergeCell ref="AR615:AR616"/>
    <mergeCell ref="AS615:AS616"/>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AX57:AX58"/>
    <mergeCell ref="AY57:AY58"/>
    <mergeCell ref="AZ57:AZ58"/>
    <mergeCell ref="BA57:BA58"/>
    <mergeCell ref="AX65:AX66"/>
    <mergeCell ref="AY65:AY66"/>
    <mergeCell ref="AZ65:AZ66"/>
    <mergeCell ref="BA65:BA66"/>
    <mergeCell ref="AX77:AX78"/>
    <mergeCell ref="AY77:AY78"/>
    <mergeCell ref="AZ77:AZ78"/>
    <mergeCell ref="BA77:BA78"/>
    <mergeCell ref="AX89:AX90"/>
    <mergeCell ref="AY89:AY90"/>
    <mergeCell ref="AZ89:AZ90"/>
    <mergeCell ref="BA89:BA90"/>
    <mergeCell ref="AX101:AX102"/>
    <mergeCell ref="AY101:AY102"/>
    <mergeCell ref="AZ101:AZ102"/>
    <mergeCell ref="BA101:BA102"/>
    <mergeCell ref="AX113:AX114"/>
    <mergeCell ref="AY113:AY114"/>
    <mergeCell ref="AZ113:AZ114"/>
    <mergeCell ref="BA113:BA114"/>
    <mergeCell ref="AX125:AX126"/>
    <mergeCell ref="AY125:AY126"/>
    <mergeCell ref="AZ125:AZ126"/>
    <mergeCell ref="BA125:BA126"/>
    <mergeCell ref="AX137:AX138"/>
    <mergeCell ref="AY137:AY138"/>
    <mergeCell ref="AZ137:AZ138"/>
    <mergeCell ref="BA137:BA138"/>
    <mergeCell ref="AX149:AX150"/>
    <mergeCell ref="AY149:AY150"/>
    <mergeCell ref="AZ149:AZ150"/>
    <mergeCell ref="BA149:BA150"/>
    <mergeCell ref="AX161:AX162"/>
    <mergeCell ref="AY161:AY162"/>
    <mergeCell ref="AZ161:AZ162"/>
    <mergeCell ref="BA161:BA162"/>
    <mergeCell ref="AX173:AX174"/>
    <mergeCell ref="AY173:AY174"/>
    <mergeCell ref="AZ173:AZ174"/>
    <mergeCell ref="BA173:BA174"/>
    <mergeCell ref="AX181:AX182"/>
    <mergeCell ref="AY181:AY182"/>
    <mergeCell ref="AZ181:AZ182"/>
    <mergeCell ref="BA181:BA182"/>
    <mergeCell ref="AX193:AX194"/>
    <mergeCell ref="AY193:AY194"/>
    <mergeCell ref="AZ193:AZ194"/>
    <mergeCell ref="BA193:BA194"/>
    <mergeCell ref="AX201:AX202"/>
    <mergeCell ref="AY201:AY202"/>
    <mergeCell ref="AZ201:AZ202"/>
    <mergeCell ref="BA201:BA202"/>
    <mergeCell ref="AX213:AX214"/>
    <mergeCell ref="AY213:AY214"/>
    <mergeCell ref="AZ213:AZ214"/>
    <mergeCell ref="BA213:BA214"/>
    <mergeCell ref="AX225:AX226"/>
    <mergeCell ref="AY225:AY226"/>
    <mergeCell ref="AZ225:AZ226"/>
    <mergeCell ref="BA225:BA226"/>
    <mergeCell ref="AX233:AX234"/>
    <mergeCell ref="AY233:AY234"/>
    <mergeCell ref="AZ233:AZ234"/>
    <mergeCell ref="BA233:BA234"/>
    <mergeCell ref="AX245:AX246"/>
    <mergeCell ref="AY245:AY246"/>
    <mergeCell ref="AZ245:AZ246"/>
    <mergeCell ref="BA245:BA246"/>
    <mergeCell ref="AX257:AX258"/>
    <mergeCell ref="AY257:AY258"/>
    <mergeCell ref="AZ257:AZ258"/>
    <mergeCell ref="BA257:BA258"/>
    <mergeCell ref="AX269:AX270"/>
    <mergeCell ref="AY269:AY270"/>
    <mergeCell ref="AZ269:AZ270"/>
    <mergeCell ref="BA269:BA270"/>
    <mergeCell ref="AX277:AX278"/>
    <mergeCell ref="AY277:AY278"/>
    <mergeCell ref="AZ277:AZ278"/>
    <mergeCell ref="BA277:BA278"/>
    <mergeCell ref="AX289:AX290"/>
    <mergeCell ref="AY289:AY290"/>
    <mergeCell ref="AZ289:AZ290"/>
    <mergeCell ref="BA289:BA290"/>
    <mergeCell ref="AX301:AX302"/>
    <mergeCell ref="AY301:AY302"/>
    <mergeCell ref="AZ301:AZ302"/>
    <mergeCell ref="BA301:BA302"/>
    <mergeCell ref="AX313:AX314"/>
    <mergeCell ref="AY313:AY314"/>
    <mergeCell ref="AZ313:AZ314"/>
    <mergeCell ref="BA313:BA314"/>
    <mergeCell ref="AX325:AX326"/>
    <mergeCell ref="AY325:AY326"/>
    <mergeCell ref="AZ325:AZ326"/>
    <mergeCell ref="BA325:BA326"/>
    <mergeCell ref="AX339:AX340"/>
    <mergeCell ref="AY339:AY340"/>
    <mergeCell ref="AZ339:AZ340"/>
    <mergeCell ref="BA339:BA340"/>
    <mergeCell ref="AX347:AX348"/>
    <mergeCell ref="AY347:AY348"/>
    <mergeCell ref="AZ347:AZ348"/>
    <mergeCell ref="BA347:BA348"/>
    <mergeCell ref="AX355:AX356"/>
    <mergeCell ref="AY355:AY356"/>
    <mergeCell ref="AZ355:AZ356"/>
    <mergeCell ref="BA355:BA356"/>
    <mergeCell ref="AX367:AX368"/>
    <mergeCell ref="AY367:AY368"/>
    <mergeCell ref="AZ367:AZ368"/>
    <mergeCell ref="BA367:BA368"/>
    <mergeCell ref="AX379:AX380"/>
    <mergeCell ref="AY379:AY380"/>
    <mergeCell ref="AZ379:AZ380"/>
    <mergeCell ref="BA379:BA380"/>
    <mergeCell ref="AX391:AX392"/>
    <mergeCell ref="AY391:AY392"/>
    <mergeCell ref="AZ391:AZ392"/>
    <mergeCell ref="BA391:BA392"/>
    <mergeCell ref="AX403:AX404"/>
    <mergeCell ref="AY403:AY404"/>
    <mergeCell ref="AZ403:AZ404"/>
    <mergeCell ref="BA403:BA404"/>
    <mergeCell ref="AX415:AX416"/>
    <mergeCell ref="AY415:AY416"/>
    <mergeCell ref="AZ415:AZ416"/>
    <mergeCell ref="BA415:BA416"/>
    <mergeCell ref="AX427:AX428"/>
    <mergeCell ref="AY427:AY428"/>
    <mergeCell ref="AZ427:AZ428"/>
    <mergeCell ref="BA427:BA428"/>
    <mergeCell ref="AX439:AX440"/>
    <mergeCell ref="AY439:AY440"/>
    <mergeCell ref="AZ439:AZ440"/>
    <mergeCell ref="BA439:BA440"/>
    <mergeCell ref="AX451:AX452"/>
    <mergeCell ref="AY451:AY452"/>
    <mergeCell ref="AZ451:AZ452"/>
    <mergeCell ref="BA451:BA452"/>
    <mergeCell ref="AX463:AX464"/>
    <mergeCell ref="AY463:AY464"/>
    <mergeCell ref="AZ463:AZ464"/>
    <mergeCell ref="BA463:BA464"/>
    <mergeCell ref="AX471:AX472"/>
    <mergeCell ref="AY471:AY472"/>
    <mergeCell ref="AZ471:AZ472"/>
    <mergeCell ref="BA471:BA472"/>
    <mergeCell ref="AX483:AX484"/>
    <mergeCell ref="AY483:AY484"/>
    <mergeCell ref="AZ483:AZ484"/>
    <mergeCell ref="BA483:BA484"/>
    <mergeCell ref="AX491:AX492"/>
    <mergeCell ref="AY491:AY492"/>
    <mergeCell ref="AZ491:AZ492"/>
    <mergeCell ref="BA491:BA492"/>
    <mergeCell ref="AX503:AX504"/>
    <mergeCell ref="AY503:AY504"/>
    <mergeCell ref="AZ503:AZ504"/>
    <mergeCell ref="BA503:BA504"/>
    <mergeCell ref="AX515:AX516"/>
    <mergeCell ref="AY515:AY516"/>
    <mergeCell ref="AZ515:AZ516"/>
    <mergeCell ref="BA515:BA516"/>
    <mergeCell ref="AX523:AX524"/>
    <mergeCell ref="AY523:AY524"/>
    <mergeCell ref="AZ523:AZ524"/>
    <mergeCell ref="BA523:BA524"/>
    <mergeCell ref="AX535:AX536"/>
    <mergeCell ref="AY535:AY536"/>
    <mergeCell ref="AZ535:AZ536"/>
    <mergeCell ref="BA535:BA536"/>
    <mergeCell ref="AX547:AX548"/>
    <mergeCell ref="AY547:AY548"/>
    <mergeCell ref="AZ547:AZ548"/>
    <mergeCell ref="BA547:BA548"/>
    <mergeCell ref="AX559:AX560"/>
    <mergeCell ref="AY559:AY560"/>
    <mergeCell ref="AZ559:AZ560"/>
    <mergeCell ref="BA559:BA560"/>
    <mergeCell ref="AX567:AX568"/>
    <mergeCell ref="AY567:AY568"/>
    <mergeCell ref="AZ567:AZ568"/>
    <mergeCell ref="BA567:BA568"/>
    <mergeCell ref="AX579:AX580"/>
    <mergeCell ref="AY579:AY580"/>
    <mergeCell ref="AZ579:AZ580"/>
    <mergeCell ref="BA579:BA580"/>
    <mergeCell ref="AX591:AX592"/>
    <mergeCell ref="AY591:AY592"/>
    <mergeCell ref="AZ591:AZ592"/>
    <mergeCell ref="BA591:BA592"/>
    <mergeCell ref="AX603:AX604"/>
    <mergeCell ref="AY603:AY604"/>
    <mergeCell ref="AZ603:AZ604"/>
    <mergeCell ref="BA603:BA604"/>
    <mergeCell ref="AX615:AX616"/>
    <mergeCell ref="AY615:AY616"/>
    <mergeCell ref="AZ615:AZ616"/>
    <mergeCell ref="BA615:BA616"/>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F57:BF58"/>
    <mergeCell ref="BG57:BG58"/>
    <mergeCell ref="BH57:BH58"/>
    <mergeCell ref="BI57:BI58"/>
    <mergeCell ref="BF65:BF66"/>
    <mergeCell ref="BG65:BG66"/>
    <mergeCell ref="BH65:BH66"/>
    <mergeCell ref="BI65:BI66"/>
    <mergeCell ref="BF77:BF78"/>
    <mergeCell ref="BG77:BG78"/>
    <mergeCell ref="BH77:BH78"/>
    <mergeCell ref="BI77:BI78"/>
    <mergeCell ref="BF89:BF90"/>
    <mergeCell ref="BG89:BG90"/>
    <mergeCell ref="BH89:BH90"/>
    <mergeCell ref="BI89:BI90"/>
    <mergeCell ref="BF101:BF102"/>
    <mergeCell ref="BG101:BG102"/>
    <mergeCell ref="BH101:BH102"/>
    <mergeCell ref="BI101:BI102"/>
    <mergeCell ref="BF113:BF114"/>
    <mergeCell ref="BG113:BG114"/>
    <mergeCell ref="BH113:BH114"/>
    <mergeCell ref="BI113:BI114"/>
    <mergeCell ref="BF125:BF126"/>
    <mergeCell ref="BG125:BG126"/>
    <mergeCell ref="BH125:BH126"/>
    <mergeCell ref="BI125:BI126"/>
    <mergeCell ref="BF137:BF138"/>
    <mergeCell ref="BG137:BG138"/>
    <mergeCell ref="BH137:BH138"/>
    <mergeCell ref="BI137:BI138"/>
    <mergeCell ref="BF149:BF150"/>
    <mergeCell ref="BG149:BG150"/>
    <mergeCell ref="BH149:BH150"/>
    <mergeCell ref="BI149:BI150"/>
    <mergeCell ref="BF161:BF162"/>
    <mergeCell ref="BG161:BG162"/>
    <mergeCell ref="BH161:BH162"/>
    <mergeCell ref="BI161:BI162"/>
    <mergeCell ref="BF173:BF174"/>
    <mergeCell ref="BG173:BG174"/>
    <mergeCell ref="BH173:BH174"/>
    <mergeCell ref="BI173:BI174"/>
    <mergeCell ref="BF181:BF182"/>
    <mergeCell ref="BG181:BG182"/>
    <mergeCell ref="BH181:BH182"/>
    <mergeCell ref="BI181:BI182"/>
    <mergeCell ref="BF193:BF194"/>
    <mergeCell ref="BG193:BG194"/>
    <mergeCell ref="BH193:BH194"/>
    <mergeCell ref="BI193:BI194"/>
    <mergeCell ref="BF201:BF202"/>
    <mergeCell ref="BG201:BG202"/>
    <mergeCell ref="BH201:BH202"/>
    <mergeCell ref="BI201:BI202"/>
    <mergeCell ref="BF213:BF214"/>
    <mergeCell ref="BG213:BG214"/>
    <mergeCell ref="BH213:BH214"/>
    <mergeCell ref="BI213:BI214"/>
    <mergeCell ref="BF225:BF226"/>
    <mergeCell ref="BG225:BG226"/>
    <mergeCell ref="BH225:BH226"/>
    <mergeCell ref="BI225:BI226"/>
    <mergeCell ref="BF233:BF234"/>
    <mergeCell ref="BG233:BG234"/>
    <mergeCell ref="BH233:BH234"/>
    <mergeCell ref="BI233:BI234"/>
    <mergeCell ref="BF245:BF246"/>
    <mergeCell ref="BG245:BG246"/>
    <mergeCell ref="BH245:BH246"/>
    <mergeCell ref="BI245:BI246"/>
    <mergeCell ref="BF257:BF258"/>
    <mergeCell ref="BG257:BG258"/>
    <mergeCell ref="BH257:BH258"/>
    <mergeCell ref="BI257:BI258"/>
    <mergeCell ref="BF269:BF270"/>
    <mergeCell ref="BG269:BG270"/>
    <mergeCell ref="BH269:BH270"/>
    <mergeCell ref="BI269:BI270"/>
    <mergeCell ref="BF277:BF278"/>
    <mergeCell ref="BG277:BG278"/>
    <mergeCell ref="BH277:BH278"/>
    <mergeCell ref="BI277:BI278"/>
    <mergeCell ref="BF289:BF290"/>
    <mergeCell ref="BG289:BG290"/>
    <mergeCell ref="BH289:BH290"/>
    <mergeCell ref="BI289:BI290"/>
    <mergeCell ref="BF301:BF302"/>
    <mergeCell ref="BG301:BG302"/>
    <mergeCell ref="BH301:BH302"/>
    <mergeCell ref="BI301:BI302"/>
    <mergeCell ref="BF313:BF314"/>
    <mergeCell ref="BG313:BG314"/>
    <mergeCell ref="BH313:BH314"/>
    <mergeCell ref="BI313:BI314"/>
    <mergeCell ref="BF325:BF326"/>
    <mergeCell ref="BG325:BG326"/>
    <mergeCell ref="BH325:BH326"/>
    <mergeCell ref="BI325:BI326"/>
    <mergeCell ref="BF339:BF340"/>
    <mergeCell ref="BG339:BG340"/>
    <mergeCell ref="BH339:BH340"/>
    <mergeCell ref="BI339:BI340"/>
    <mergeCell ref="BF347:BF348"/>
    <mergeCell ref="BG347:BG348"/>
    <mergeCell ref="BH347:BH348"/>
    <mergeCell ref="BI347:BI348"/>
    <mergeCell ref="BF355:BF356"/>
    <mergeCell ref="BG355:BG356"/>
    <mergeCell ref="BH355:BH356"/>
    <mergeCell ref="BI355:BI356"/>
    <mergeCell ref="BF367:BF368"/>
    <mergeCell ref="BG367:BG368"/>
    <mergeCell ref="BH367:BH368"/>
    <mergeCell ref="BI367:BI368"/>
    <mergeCell ref="BF379:BF380"/>
    <mergeCell ref="BG379:BG380"/>
    <mergeCell ref="BH379:BH380"/>
    <mergeCell ref="BI379:BI380"/>
    <mergeCell ref="BF391:BF392"/>
    <mergeCell ref="BG391:BG392"/>
    <mergeCell ref="BH391:BH392"/>
    <mergeCell ref="BI391:BI392"/>
    <mergeCell ref="BF403:BF404"/>
    <mergeCell ref="BG403:BG404"/>
    <mergeCell ref="BH403:BH404"/>
    <mergeCell ref="BI403:BI404"/>
    <mergeCell ref="BF415:BF416"/>
    <mergeCell ref="BG415:BG416"/>
    <mergeCell ref="BH415:BH416"/>
    <mergeCell ref="BI415:BI416"/>
    <mergeCell ref="BF427:BF428"/>
    <mergeCell ref="BG427:BG428"/>
    <mergeCell ref="BH427:BH428"/>
    <mergeCell ref="BI427:BI428"/>
    <mergeCell ref="BF439:BF440"/>
    <mergeCell ref="BG439:BG440"/>
    <mergeCell ref="BH439:BH440"/>
    <mergeCell ref="BI439:BI440"/>
    <mergeCell ref="BF451:BF452"/>
    <mergeCell ref="BG451:BG452"/>
    <mergeCell ref="BH451:BH452"/>
    <mergeCell ref="BI451:BI452"/>
    <mergeCell ref="BF463:BF464"/>
    <mergeCell ref="BG463:BG464"/>
    <mergeCell ref="BH463:BH464"/>
    <mergeCell ref="BI463:BI464"/>
    <mergeCell ref="BF471:BF472"/>
    <mergeCell ref="BG471:BG472"/>
    <mergeCell ref="BH471:BH472"/>
    <mergeCell ref="BI471:BI472"/>
    <mergeCell ref="BF483:BF484"/>
    <mergeCell ref="BG483:BG484"/>
    <mergeCell ref="BH483:BH484"/>
    <mergeCell ref="BI483:BI484"/>
    <mergeCell ref="BF491:BF492"/>
    <mergeCell ref="BG491:BG492"/>
    <mergeCell ref="BH491:BH492"/>
    <mergeCell ref="BI491:BI492"/>
    <mergeCell ref="BF503:BF504"/>
    <mergeCell ref="BG503:BG504"/>
    <mergeCell ref="BH503:BH504"/>
    <mergeCell ref="BI503:BI504"/>
    <mergeCell ref="BF515:BF516"/>
    <mergeCell ref="BG515:BG516"/>
    <mergeCell ref="BH515:BH516"/>
    <mergeCell ref="BI515:BI516"/>
    <mergeCell ref="BF523:BF524"/>
    <mergeCell ref="BG523:BG524"/>
    <mergeCell ref="BH523:BH524"/>
    <mergeCell ref="BI523:BI524"/>
    <mergeCell ref="BF535:BF536"/>
    <mergeCell ref="BG535:BG536"/>
    <mergeCell ref="BH535:BH536"/>
    <mergeCell ref="BI535:BI536"/>
    <mergeCell ref="BF547:BF548"/>
    <mergeCell ref="BG547:BG548"/>
    <mergeCell ref="BH547:BH548"/>
    <mergeCell ref="BI547:BI548"/>
    <mergeCell ref="BF559:BF560"/>
    <mergeCell ref="BG559:BG560"/>
    <mergeCell ref="BH559:BH560"/>
    <mergeCell ref="BI559:BI560"/>
    <mergeCell ref="BF567:BF568"/>
    <mergeCell ref="BG567:BG568"/>
    <mergeCell ref="BH567:BH568"/>
    <mergeCell ref="BI567:BI568"/>
    <mergeCell ref="BF579:BF580"/>
    <mergeCell ref="BG579:BG580"/>
    <mergeCell ref="BH579:BH580"/>
    <mergeCell ref="BI579:BI580"/>
    <mergeCell ref="BF591:BF592"/>
    <mergeCell ref="BG591:BG592"/>
    <mergeCell ref="BH591:BH592"/>
    <mergeCell ref="BI591:BI592"/>
    <mergeCell ref="BF603:BF604"/>
    <mergeCell ref="BG603:BG604"/>
    <mergeCell ref="BH603:BH604"/>
    <mergeCell ref="BI603:BI604"/>
    <mergeCell ref="BF615:BF616"/>
    <mergeCell ref="BG615:BG616"/>
    <mergeCell ref="BH615:BH616"/>
    <mergeCell ref="BI615:BI616"/>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 ref="BN57:BN58"/>
    <mergeCell ref="BO57:BO58"/>
    <mergeCell ref="BP57:BP58"/>
    <mergeCell ref="BQ57:BQ58"/>
    <mergeCell ref="BN65:BN66"/>
    <mergeCell ref="BO65:BO66"/>
    <mergeCell ref="BP65:BP66"/>
    <mergeCell ref="BQ65:BQ66"/>
    <mergeCell ref="BN77:BN78"/>
    <mergeCell ref="BO77:BO78"/>
    <mergeCell ref="BP77:BP78"/>
    <mergeCell ref="BQ77:BQ78"/>
    <mergeCell ref="BN89:BN90"/>
    <mergeCell ref="BO89:BO90"/>
    <mergeCell ref="BP89:BP90"/>
    <mergeCell ref="BQ89:BQ90"/>
    <mergeCell ref="BN101:BN102"/>
    <mergeCell ref="BO101:BO102"/>
    <mergeCell ref="BP101:BP102"/>
    <mergeCell ref="BQ101:BQ102"/>
    <mergeCell ref="BN113:BN114"/>
    <mergeCell ref="BO113:BO114"/>
    <mergeCell ref="BP113:BP114"/>
    <mergeCell ref="BQ113:BQ114"/>
    <mergeCell ref="BN125:BN126"/>
    <mergeCell ref="BO125:BO126"/>
    <mergeCell ref="BP125:BP126"/>
    <mergeCell ref="BQ125:BQ126"/>
    <mergeCell ref="BN137:BN138"/>
    <mergeCell ref="BO137:BO138"/>
    <mergeCell ref="BP137:BP138"/>
    <mergeCell ref="BQ137:BQ138"/>
    <mergeCell ref="BN149:BN150"/>
    <mergeCell ref="BO149:BO150"/>
    <mergeCell ref="BP149:BP150"/>
    <mergeCell ref="BQ149:BQ150"/>
    <mergeCell ref="BN161:BN162"/>
    <mergeCell ref="BO161:BO162"/>
    <mergeCell ref="BP161:BP162"/>
    <mergeCell ref="BQ161:BQ162"/>
    <mergeCell ref="BN173:BN174"/>
    <mergeCell ref="BO173:BO174"/>
    <mergeCell ref="BP173:BP174"/>
    <mergeCell ref="BQ173:BQ174"/>
    <mergeCell ref="BN181:BN182"/>
    <mergeCell ref="BO181:BO182"/>
    <mergeCell ref="BP181:BP182"/>
    <mergeCell ref="BQ181:BQ182"/>
    <mergeCell ref="BN193:BN194"/>
    <mergeCell ref="BO193:BO194"/>
    <mergeCell ref="BP193:BP194"/>
    <mergeCell ref="BQ193:BQ194"/>
    <mergeCell ref="BN201:BN202"/>
    <mergeCell ref="BO201:BO202"/>
    <mergeCell ref="BP201:BP202"/>
    <mergeCell ref="BQ201:BQ202"/>
    <mergeCell ref="BN213:BN214"/>
    <mergeCell ref="BO213:BO214"/>
    <mergeCell ref="BP213:BP214"/>
    <mergeCell ref="BQ213:BQ214"/>
    <mergeCell ref="BN225:BN226"/>
    <mergeCell ref="BO225:BO226"/>
    <mergeCell ref="BP225:BP226"/>
    <mergeCell ref="BQ225:BQ226"/>
    <mergeCell ref="BN233:BN234"/>
    <mergeCell ref="BO233:BO234"/>
    <mergeCell ref="BP233:BP234"/>
    <mergeCell ref="BQ233:BQ234"/>
    <mergeCell ref="BN245:BN246"/>
    <mergeCell ref="BO245:BO246"/>
    <mergeCell ref="BP245:BP246"/>
    <mergeCell ref="BQ245:BQ246"/>
    <mergeCell ref="BN257:BN258"/>
    <mergeCell ref="BO257:BO258"/>
    <mergeCell ref="BP257:BP258"/>
    <mergeCell ref="BQ257:BQ258"/>
    <mergeCell ref="BN269:BN270"/>
    <mergeCell ref="BO269:BO270"/>
    <mergeCell ref="BP269:BP270"/>
    <mergeCell ref="BQ269:BQ270"/>
    <mergeCell ref="BN277:BN278"/>
    <mergeCell ref="BO277:BO278"/>
    <mergeCell ref="BP277:BP278"/>
    <mergeCell ref="BQ277:BQ278"/>
    <mergeCell ref="BN289:BN290"/>
    <mergeCell ref="BO289:BO290"/>
    <mergeCell ref="BP289:BP290"/>
    <mergeCell ref="BQ289:BQ290"/>
    <mergeCell ref="BN301:BN302"/>
    <mergeCell ref="BO301:BO302"/>
    <mergeCell ref="BP301:BP302"/>
    <mergeCell ref="BQ301:BQ302"/>
    <mergeCell ref="BN313:BN314"/>
    <mergeCell ref="BO313:BO314"/>
    <mergeCell ref="BP313:BP314"/>
    <mergeCell ref="BQ313:BQ314"/>
    <mergeCell ref="BN325:BN326"/>
    <mergeCell ref="BO325:BO326"/>
    <mergeCell ref="BP325:BP326"/>
    <mergeCell ref="BQ325:BQ326"/>
    <mergeCell ref="BN339:BN340"/>
    <mergeCell ref="BO339:BO340"/>
    <mergeCell ref="BP339:BP340"/>
    <mergeCell ref="BQ339:BQ340"/>
    <mergeCell ref="BN347:BN348"/>
    <mergeCell ref="BO347:BO348"/>
    <mergeCell ref="BP347:BP348"/>
    <mergeCell ref="BQ347:BQ348"/>
    <mergeCell ref="BN355:BN356"/>
    <mergeCell ref="BO355:BO356"/>
    <mergeCell ref="BP355:BP356"/>
    <mergeCell ref="BQ355:BQ356"/>
    <mergeCell ref="BN367:BN368"/>
    <mergeCell ref="BO367:BO368"/>
    <mergeCell ref="BP367:BP368"/>
    <mergeCell ref="BQ367:BQ368"/>
    <mergeCell ref="BN379:BN380"/>
    <mergeCell ref="BO379:BO380"/>
    <mergeCell ref="BP379:BP380"/>
    <mergeCell ref="BQ379:BQ380"/>
    <mergeCell ref="BN391:BN392"/>
    <mergeCell ref="BO391:BO392"/>
    <mergeCell ref="BP391:BP392"/>
    <mergeCell ref="BQ391:BQ392"/>
    <mergeCell ref="BN403:BN404"/>
    <mergeCell ref="BO403:BO404"/>
    <mergeCell ref="BP403:BP404"/>
    <mergeCell ref="BQ403:BQ404"/>
    <mergeCell ref="BN415:BN416"/>
    <mergeCell ref="BO415:BO416"/>
    <mergeCell ref="BP415:BP416"/>
    <mergeCell ref="BQ415:BQ416"/>
    <mergeCell ref="BN427:BN428"/>
    <mergeCell ref="BO427:BO428"/>
    <mergeCell ref="BP427:BP428"/>
    <mergeCell ref="BQ427:BQ428"/>
    <mergeCell ref="BN439:BN440"/>
    <mergeCell ref="BO439:BO440"/>
    <mergeCell ref="BP439:BP440"/>
    <mergeCell ref="BQ439:BQ440"/>
    <mergeCell ref="BN451:BN452"/>
    <mergeCell ref="BO451:BO452"/>
    <mergeCell ref="BP451:BP452"/>
    <mergeCell ref="BQ451:BQ452"/>
    <mergeCell ref="BN463:BN464"/>
    <mergeCell ref="BO463:BO464"/>
    <mergeCell ref="BP463:BP464"/>
    <mergeCell ref="BQ463:BQ464"/>
    <mergeCell ref="BN471:BN472"/>
    <mergeCell ref="BO471:BO472"/>
    <mergeCell ref="BP471:BP472"/>
    <mergeCell ref="BQ471:BQ472"/>
    <mergeCell ref="BN483:BN484"/>
    <mergeCell ref="BO483:BO484"/>
    <mergeCell ref="BP483:BP484"/>
    <mergeCell ref="BQ483:BQ484"/>
    <mergeCell ref="BN491:BN492"/>
    <mergeCell ref="BO491:BO492"/>
    <mergeCell ref="BP491:BP492"/>
    <mergeCell ref="BQ491:BQ492"/>
    <mergeCell ref="BN503:BN504"/>
    <mergeCell ref="BO503:BO504"/>
    <mergeCell ref="BP503:BP504"/>
    <mergeCell ref="BQ503:BQ504"/>
    <mergeCell ref="BN515:BN516"/>
    <mergeCell ref="BO515:BO516"/>
    <mergeCell ref="BP515:BP516"/>
    <mergeCell ref="BQ515:BQ516"/>
    <mergeCell ref="BN523:BN524"/>
    <mergeCell ref="BO523:BO524"/>
    <mergeCell ref="BP523:BP524"/>
    <mergeCell ref="BQ523:BQ524"/>
    <mergeCell ref="BN535:BN536"/>
    <mergeCell ref="BO535:BO536"/>
    <mergeCell ref="BP535:BP536"/>
    <mergeCell ref="BQ535:BQ536"/>
    <mergeCell ref="BN547:BN548"/>
    <mergeCell ref="BO547:BO548"/>
    <mergeCell ref="BP547:BP548"/>
    <mergeCell ref="BQ547:BQ548"/>
    <mergeCell ref="BN559:BN560"/>
    <mergeCell ref="BO559:BO560"/>
    <mergeCell ref="BP559:BP560"/>
    <mergeCell ref="BQ559:BQ560"/>
    <mergeCell ref="BN567:BN568"/>
    <mergeCell ref="BO567:BO568"/>
    <mergeCell ref="BP567:BP568"/>
    <mergeCell ref="BQ567:BQ568"/>
    <mergeCell ref="BN579:BN580"/>
    <mergeCell ref="BO579:BO580"/>
    <mergeCell ref="BP579:BP580"/>
    <mergeCell ref="BQ579:BQ580"/>
    <mergeCell ref="BN591:BN592"/>
    <mergeCell ref="BO591:BO592"/>
    <mergeCell ref="BP591:BP592"/>
    <mergeCell ref="BQ591:BQ592"/>
    <mergeCell ref="BN603:BN604"/>
    <mergeCell ref="BO603:BO604"/>
    <mergeCell ref="BP603:BP604"/>
    <mergeCell ref="BQ603:BQ604"/>
    <mergeCell ref="BN615:BN616"/>
    <mergeCell ref="BO615:BO616"/>
    <mergeCell ref="BP615:BP616"/>
    <mergeCell ref="BQ615:BQ616"/>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W49:BW50"/>
    <mergeCell ref="BX49:BX50"/>
    <mergeCell ref="BY49:BY50"/>
    <mergeCell ref="BV57:BV58"/>
    <mergeCell ref="BW57:BW58"/>
    <mergeCell ref="BX57:BX58"/>
    <mergeCell ref="BY57:BY58"/>
    <mergeCell ref="BV65:BV66"/>
    <mergeCell ref="BW65:BW66"/>
    <mergeCell ref="BX65:BX66"/>
    <mergeCell ref="BY65:BY66"/>
    <mergeCell ref="BV77:BV78"/>
    <mergeCell ref="BW77:BW78"/>
    <mergeCell ref="BX77:BX78"/>
    <mergeCell ref="BY77:BY78"/>
    <mergeCell ref="BV89:BV90"/>
    <mergeCell ref="BW89:BW90"/>
    <mergeCell ref="BX89:BX90"/>
    <mergeCell ref="BY89:BY90"/>
    <mergeCell ref="BV101:BV102"/>
    <mergeCell ref="BW101:BW102"/>
    <mergeCell ref="BX101:BX102"/>
    <mergeCell ref="BY101:BY102"/>
    <mergeCell ref="BV113:BV114"/>
    <mergeCell ref="BW113:BW114"/>
    <mergeCell ref="BX113:BX114"/>
    <mergeCell ref="BY113:BY114"/>
    <mergeCell ref="BV125:BV126"/>
    <mergeCell ref="BW125:BW126"/>
    <mergeCell ref="BX125:BX126"/>
    <mergeCell ref="BY125:BY126"/>
    <mergeCell ref="BV137:BV138"/>
    <mergeCell ref="BW137:BW138"/>
    <mergeCell ref="BX137:BX138"/>
    <mergeCell ref="BY137:BY138"/>
    <mergeCell ref="BV149:BV150"/>
    <mergeCell ref="BW149:BW150"/>
    <mergeCell ref="BX149:BX150"/>
    <mergeCell ref="BY149:BY150"/>
    <mergeCell ref="BV161:BV162"/>
    <mergeCell ref="BW161:BW162"/>
    <mergeCell ref="BX161:BX162"/>
    <mergeCell ref="BY161:BY162"/>
    <mergeCell ref="BV173:BV174"/>
    <mergeCell ref="BW173:BW174"/>
    <mergeCell ref="BX173:BX174"/>
    <mergeCell ref="BY173:BY174"/>
    <mergeCell ref="BV181:BV182"/>
    <mergeCell ref="BW181:BW182"/>
    <mergeCell ref="BX181:BX182"/>
    <mergeCell ref="BY181:BY182"/>
    <mergeCell ref="BV193:BV194"/>
    <mergeCell ref="BW193:BW194"/>
    <mergeCell ref="BX193:BX194"/>
    <mergeCell ref="BY193:BY194"/>
    <mergeCell ref="BV201:BV202"/>
    <mergeCell ref="BW201:BW202"/>
    <mergeCell ref="BX201:BX202"/>
    <mergeCell ref="BY201:BY202"/>
    <mergeCell ref="BV213:BV214"/>
    <mergeCell ref="BW213:BW214"/>
    <mergeCell ref="BX213:BX214"/>
    <mergeCell ref="BY213:BY214"/>
    <mergeCell ref="BV225:BV226"/>
    <mergeCell ref="BW225:BW226"/>
    <mergeCell ref="BX225:BX226"/>
    <mergeCell ref="BY225:BY226"/>
    <mergeCell ref="BV233:BV234"/>
    <mergeCell ref="BW233:BW234"/>
    <mergeCell ref="BX233:BX234"/>
    <mergeCell ref="BY233:BY234"/>
    <mergeCell ref="BV245:BV246"/>
    <mergeCell ref="BW245:BW246"/>
    <mergeCell ref="BX245:BX246"/>
    <mergeCell ref="BY245:BY246"/>
    <mergeCell ref="BV257:BV258"/>
    <mergeCell ref="BW257:BW258"/>
    <mergeCell ref="BX257:BX258"/>
    <mergeCell ref="BY257:BY258"/>
    <mergeCell ref="BV269:BV270"/>
    <mergeCell ref="BW269:BW270"/>
    <mergeCell ref="BX269:BX270"/>
    <mergeCell ref="BY269:BY270"/>
    <mergeCell ref="BV277:BV278"/>
    <mergeCell ref="BW277:BW278"/>
    <mergeCell ref="BX277:BX278"/>
    <mergeCell ref="BY277:BY278"/>
    <mergeCell ref="BV289:BV290"/>
    <mergeCell ref="BW289:BW290"/>
    <mergeCell ref="BX289:BX290"/>
    <mergeCell ref="BY289:BY290"/>
    <mergeCell ref="BV301:BV302"/>
    <mergeCell ref="BW301:BW302"/>
    <mergeCell ref="BX301:BX302"/>
    <mergeCell ref="BY301:BY302"/>
    <mergeCell ref="BV313:BV314"/>
    <mergeCell ref="BW313:BW314"/>
    <mergeCell ref="BX313:BX314"/>
    <mergeCell ref="BY313:BY314"/>
    <mergeCell ref="BV325:BV326"/>
    <mergeCell ref="BW325:BW326"/>
    <mergeCell ref="BX325:BX326"/>
    <mergeCell ref="BY325:BY326"/>
    <mergeCell ref="BV339:BV340"/>
    <mergeCell ref="BW339:BW340"/>
    <mergeCell ref="BX339:BX340"/>
    <mergeCell ref="BY339:BY340"/>
    <mergeCell ref="BV347:BV348"/>
    <mergeCell ref="BW347:BW348"/>
    <mergeCell ref="BX347:BX348"/>
    <mergeCell ref="BY347:BY348"/>
    <mergeCell ref="BV355:BV356"/>
    <mergeCell ref="BW355:BW356"/>
    <mergeCell ref="BX355:BX356"/>
    <mergeCell ref="BY355:BY356"/>
    <mergeCell ref="BV367:BV368"/>
    <mergeCell ref="BW367:BW368"/>
    <mergeCell ref="BX367:BX368"/>
    <mergeCell ref="BY367:BY368"/>
    <mergeCell ref="BV379:BV380"/>
    <mergeCell ref="BW379:BW380"/>
    <mergeCell ref="BX379:BX380"/>
    <mergeCell ref="BY379:BY380"/>
    <mergeCell ref="BV391:BV392"/>
    <mergeCell ref="BW391:BW392"/>
    <mergeCell ref="BX391:BX392"/>
    <mergeCell ref="BY391:BY392"/>
    <mergeCell ref="BV403:BV404"/>
    <mergeCell ref="BW403:BW404"/>
    <mergeCell ref="BX403:BX404"/>
    <mergeCell ref="BY403:BY404"/>
    <mergeCell ref="BV415:BV416"/>
    <mergeCell ref="BW415:BW416"/>
    <mergeCell ref="BX415:BX416"/>
    <mergeCell ref="BY415:BY416"/>
    <mergeCell ref="BV427:BV428"/>
    <mergeCell ref="BW427:BW428"/>
    <mergeCell ref="BX427:BX428"/>
    <mergeCell ref="BY427:BY428"/>
    <mergeCell ref="BV439:BV440"/>
    <mergeCell ref="BW439:BW440"/>
    <mergeCell ref="BX439:BX440"/>
    <mergeCell ref="BY439:BY440"/>
    <mergeCell ref="BV451:BV452"/>
    <mergeCell ref="BW451:BW452"/>
    <mergeCell ref="BX451:BX452"/>
    <mergeCell ref="BY451:BY452"/>
    <mergeCell ref="BV463:BV464"/>
    <mergeCell ref="BW463:BW464"/>
    <mergeCell ref="BX463:BX464"/>
    <mergeCell ref="BY463:BY464"/>
    <mergeCell ref="BV471:BV472"/>
    <mergeCell ref="BW471:BW472"/>
    <mergeCell ref="BX471:BX472"/>
    <mergeCell ref="BY471:BY472"/>
    <mergeCell ref="BV483:BV484"/>
    <mergeCell ref="BW483:BW484"/>
    <mergeCell ref="BX483:BX484"/>
    <mergeCell ref="BY483:BY484"/>
    <mergeCell ref="BV491:BV492"/>
    <mergeCell ref="BW491:BW492"/>
    <mergeCell ref="BX491:BX492"/>
    <mergeCell ref="BY491:BY492"/>
    <mergeCell ref="BV503:BV504"/>
    <mergeCell ref="BW503:BW504"/>
    <mergeCell ref="BX503:BX504"/>
    <mergeCell ref="BY503:BY504"/>
    <mergeCell ref="BV515:BV516"/>
    <mergeCell ref="BW515:BW516"/>
    <mergeCell ref="BX515:BX516"/>
    <mergeCell ref="BY515:BY516"/>
    <mergeCell ref="BV523:BV524"/>
    <mergeCell ref="BW523:BW524"/>
    <mergeCell ref="BX523:BX524"/>
    <mergeCell ref="BY523:BY524"/>
    <mergeCell ref="BV535:BV536"/>
    <mergeCell ref="BW535:BW536"/>
    <mergeCell ref="BX535:BX536"/>
    <mergeCell ref="BY535:BY536"/>
    <mergeCell ref="BV547:BV548"/>
    <mergeCell ref="BW547:BW548"/>
    <mergeCell ref="BX547:BX548"/>
    <mergeCell ref="BY547:BY548"/>
    <mergeCell ref="BV559:BV560"/>
    <mergeCell ref="BW559:BW560"/>
    <mergeCell ref="BX559:BX560"/>
    <mergeCell ref="BY559:BY560"/>
    <mergeCell ref="BV567:BV568"/>
    <mergeCell ref="BW567:BW568"/>
    <mergeCell ref="BX567:BX568"/>
    <mergeCell ref="BY567:BY568"/>
    <mergeCell ref="BV579:BV580"/>
    <mergeCell ref="BW579:BW580"/>
    <mergeCell ref="BX579:BX580"/>
    <mergeCell ref="BY579:BY580"/>
    <mergeCell ref="BV591:BV592"/>
    <mergeCell ref="BW591:BW592"/>
    <mergeCell ref="BX591:BX592"/>
    <mergeCell ref="BY591:BY592"/>
    <mergeCell ref="BV603:BV604"/>
    <mergeCell ref="BW603:BW604"/>
    <mergeCell ref="BX603:BX604"/>
    <mergeCell ref="BY603:BY604"/>
    <mergeCell ref="BV615:BV616"/>
    <mergeCell ref="BW615:BW616"/>
    <mergeCell ref="BX615:BX616"/>
    <mergeCell ref="BY615:BY616"/>
    <mergeCell ref="CD8:CD9"/>
    <mergeCell ref="CE8:CE9"/>
    <mergeCell ref="CF8:CF9"/>
    <mergeCell ref="CG8:CG9"/>
    <mergeCell ref="BZ29:CF29"/>
    <mergeCell ref="BZ30:CF30"/>
    <mergeCell ref="BZ31:CF31"/>
    <mergeCell ref="BZ32:CF32"/>
    <mergeCell ref="BZ34:CF34"/>
    <mergeCell ref="BZ35:CF35"/>
    <mergeCell ref="BZ37:CG37"/>
    <mergeCell ref="BZ39:CF39"/>
    <mergeCell ref="CG39:CG41"/>
    <mergeCell ref="BZ40:BZ41"/>
    <mergeCell ref="CA40:CA41"/>
    <mergeCell ref="CB40:CC40"/>
    <mergeCell ref="CD40:CF40"/>
    <mergeCell ref="CE41:CF41"/>
    <mergeCell ref="CE42:CF42"/>
    <mergeCell ref="CD49:CD50"/>
    <mergeCell ref="CE49:CE50"/>
    <mergeCell ref="CF49:CF50"/>
    <mergeCell ref="CG49:CG50"/>
    <mergeCell ref="CD57:CD58"/>
    <mergeCell ref="CE57:CE58"/>
    <mergeCell ref="CF57:CF58"/>
    <mergeCell ref="CG57:CG58"/>
    <mergeCell ref="CD65:CD66"/>
    <mergeCell ref="CE65:CE66"/>
    <mergeCell ref="CF65:CF66"/>
    <mergeCell ref="CG65:CG66"/>
    <mergeCell ref="CD77:CD78"/>
    <mergeCell ref="CE77:CE78"/>
    <mergeCell ref="CF77:CF78"/>
    <mergeCell ref="CG77:CG78"/>
    <mergeCell ref="CD89:CD90"/>
    <mergeCell ref="CE89:CE90"/>
    <mergeCell ref="CF89:CF90"/>
    <mergeCell ref="CG89:CG90"/>
    <mergeCell ref="CD101:CD102"/>
    <mergeCell ref="CE101:CE102"/>
    <mergeCell ref="CF101:CF102"/>
    <mergeCell ref="CG101:CG102"/>
    <mergeCell ref="CD113:CD114"/>
    <mergeCell ref="CE113:CE114"/>
    <mergeCell ref="CF113:CF114"/>
    <mergeCell ref="CG113:CG114"/>
    <mergeCell ref="CD125:CD126"/>
    <mergeCell ref="CE125:CE126"/>
    <mergeCell ref="CF125:CF126"/>
    <mergeCell ref="CG125:CG126"/>
    <mergeCell ref="CD137:CD138"/>
    <mergeCell ref="CE137:CE138"/>
    <mergeCell ref="CF137:CF138"/>
    <mergeCell ref="CG137:CG138"/>
    <mergeCell ref="CD149:CD150"/>
    <mergeCell ref="CE149:CE150"/>
    <mergeCell ref="CF149:CF150"/>
    <mergeCell ref="CG149:CG150"/>
    <mergeCell ref="CD161:CD162"/>
    <mergeCell ref="CE161:CE162"/>
    <mergeCell ref="CF161:CF162"/>
    <mergeCell ref="CG161:CG162"/>
    <mergeCell ref="CD173:CD174"/>
    <mergeCell ref="CE173:CE174"/>
    <mergeCell ref="CF173:CF174"/>
    <mergeCell ref="CG173:CG174"/>
    <mergeCell ref="CD181:CD182"/>
    <mergeCell ref="CE181:CE182"/>
    <mergeCell ref="CF181:CF182"/>
    <mergeCell ref="CG181:CG182"/>
    <mergeCell ref="CD193:CD194"/>
    <mergeCell ref="CE193:CE194"/>
    <mergeCell ref="CF193:CF194"/>
    <mergeCell ref="CG193:CG194"/>
    <mergeCell ref="CD201:CD202"/>
    <mergeCell ref="CE201:CE202"/>
    <mergeCell ref="CF201:CF202"/>
    <mergeCell ref="CG201:CG202"/>
    <mergeCell ref="CD213:CD214"/>
    <mergeCell ref="CE213:CE214"/>
    <mergeCell ref="CF213:CF214"/>
    <mergeCell ref="CG213:CG214"/>
    <mergeCell ref="CD225:CD226"/>
    <mergeCell ref="CE225:CE226"/>
    <mergeCell ref="CF225:CF226"/>
    <mergeCell ref="CG225:CG226"/>
    <mergeCell ref="CD233:CD234"/>
    <mergeCell ref="CE233:CE234"/>
    <mergeCell ref="CF233:CF234"/>
    <mergeCell ref="CG233:CG234"/>
    <mergeCell ref="CD245:CD246"/>
    <mergeCell ref="CE245:CE246"/>
    <mergeCell ref="CF245:CF246"/>
    <mergeCell ref="CG245:CG246"/>
    <mergeCell ref="CD257:CD258"/>
    <mergeCell ref="CE257:CE258"/>
    <mergeCell ref="CF257:CF258"/>
    <mergeCell ref="CG257:CG258"/>
    <mergeCell ref="CD269:CD270"/>
    <mergeCell ref="CE269:CE270"/>
    <mergeCell ref="CF269:CF270"/>
    <mergeCell ref="CG269:CG270"/>
    <mergeCell ref="CD277:CD278"/>
    <mergeCell ref="CE277:CE278"/>
    <mergeCell ref="CF277:CF278"/>
    <mergeCell ref="CG277:CG278"/>
    <mergeCell ref="CD289:CD290"/>
    <mergeCell ref="CE289:CE290"/>
    <mergeCell ref="CF289:CF290"/>
    <mergeCell ref="CG289:CG290"/>
    <mergeCell ref="CD301:CD302"/>
    <mergeCell ref="CE301:CE302"/>
    <mergeCell ref="CF301:CF302"/>
    <mergeCell ref="CG301:CG302"/>
    <mergeCell ref="CD313:CD314"/>
    <mergeCell ref="CE313:CE314"/>
    <mergeCell ref="CF313:CF314"/>
    <mergeCell ref="CG313:CG314"/>
    <mergeCell ref="CD325:CD326"/>
    <mergeCell ref="CE325:CE326"/>
    <mergeCell ref="CF325:CF326"/>
    <mergeCell ref="CG325:CG326"/>
    <mergeCell ref="CD339:CD340"/>
    <mergeCell ref="CE339:CE340"/>
    <mergeCell ref="CF339:CF340"/>
    <mergeCell ref="CG339:CG340"/>
    <mergeCell ref="CD347:CD348"/>
    <mergeCell ref="CE347:CE348"/>
    <mergeCell ref="CF347:CF348"/>
    <mergeCell ref="CG347:CG348"/>
    <mergeCell ref="CD355:CD356"/>
    <mergeCell ref="CE355:CE356"/>
    <mergeCell ref="CF355:CF356"/>
    <mergeCell ref="CG355:CG356"/>
    <mergeCell ref="CD367:CD368"/>
    <mergeCell ref="CE367:CE368"/>
    <mergeCell ref="CF367:CF368"/>
    <mergeCell ref="CG367:CG368"/>
    <mergeCell ref="CD379:CD380"/>
    <mergeCell ref="CE379:CE380"/>
    <mergeCell ref="CF379:CF380"/>
    <mergeCell ref="CG379:CG380"/>
    <mergeCell ref="CD391:CD392"/>
    <mergeCell ref="CE391:CE392"/>
    <mergeCell ref="CF391:CF392"/>
    <mergeCell ref="CG391:CG392"/>
    <mergeCell ref="CD403:CD404"/>
    <mergeCell ref="CE403:CE404"/>
    <mergeCell ref="CF403:CF404"/>
    <mergeCell ref="CG403:CG404"/>
    <mergeCell ref="CD415:CD416"/>
    <mergeCell ref="CE415:CE416"/>
    <mergeCell ref="CF415:CF416"/>
    <mergeCell ref="CG415:CG416"/>
    <mergeCell ref="CD427:CD428"/>
    <mergeCell ref="CE427:CE428"/>
    <mergeCell ref="CF427:CF428"/>
    <mergeCell ref="CG427:CG428"/>
    <mergeCell ref="CD439:CD440"/>
    <mergeCell ref="CE439:CE440"/>
    <mergeCell ref="CF439:CF440"/>
    <mergeCell ref="CG439:CG440"/>
    <mergeCell ref="CD451:CD452"/>
    <mergeCell ref="CE451:CE452"/>
    <mergeCell ref="CF451:CF452"/>
    <mergeCell ref="CG451:CG452"/>
    <mergeCell ref="CD463:CD464"/>
    <mergeCell ref="CE463:CE464"/>
    <mergeCell ref="CF463:CF464"/>
    <mergeCell ref="CG463:CG464"/>
    <mergeCell ref="CD471:CD472"/>
    <mergeCell ref="CE471:CE472"/>
    <mergeCell ref="CF471:CF472"/>
    <mergeCell ref="CG471:CG472"/>
    <mergeCell ref="CD483:CD484"/>
    <mergeCell ref="CE483:CE484"/>
    <mergeCell ref="CF483:CF484"/>
    <mergeCell ref="CG483:CG484"/>
    <mergeCell ref="CD491:CD492"/>
    <mergeCell ref="CE491:CE492"/>
    <mergeCell ref="CF491:CF492"/>
    <mergeCell ref="CG491:CG492"/>
    <mergeCell ref="CD503:CD504"/>
    <mergeCell ref="CE503:CE504"/>
    <mergeCell ref="CF503:CF504"/>
    <mergeCell ref="CG503:CG504"/>
    <mergeCell ref="CD515:CD516"/>
    <mergeCell ref="CE515:CE516"/>
    <mergeCell ref="CF515:CF516"/>
    <mergeCell ref="CG515:CG516"/>
    <mergeCell ref="CD523:CD524"/>
    <mergeCell ref="CE523:CE524"/>
    <mergeCell ref="CF523:CF524"/>
    <mergeCell ref="CG523:CG524"/>
    <mergeCell ref="CD535:CD536"/>
    <mergeCell ref="CE535:CE536"/>
    <mergeCell ref="CF535:CF536"/>
    <mergeCell ref="CG535:CG536"/>
    <mergeCell ref="CD547:CD548"/>
    <mergeCell ref="CE547:CE548"/>
    <mergeCell ref="CF547:CF548"/>
    <mergeCell ref="CG547:CG548"/>
    <mergeCell ref="CD559:CD560"/>
    <mergeCell ref="CE559:CE560"/>
    <mergeCell ref="CF559:CF560"/>
    <mergeCell ref="CG559:CG560"/>
    <mergeCell ref="CD567:CD568"/>
    <mergeCell ref="CE567:CE568"/>
    <mergeCell ref="CF567:CF568"/>
    <mergeCell ref="CG567:CG568"/>
    <mergeCell ref="CD579:CD580"/>
    <mergeCell ref="CE579:CE580"/>
    <mergeCell ref="CF579:CF580"/>
    <mergeCell ref="CG579:CG580"/>
    <mergeCell ref="CD591:CD592"/>
    <mergeCell ref="CE591:CE592"/>
    <mergeCell ref="CF591:CF592"/>
    <mergeCell ref="CG591:CG592"/>
    <mergeCell ref="CD603:CD604"/>
    <mergeCell ref="CE603:CE604"/>
    <mergeCell ref="CF603:CF604"/>
    <mergeCell ref="CG603:CG604"/>
    <mergeCell ref="CD615:CD616"/>
    <mergeCell ref="CE615:CE616"/>
    <mergeCell ref="CF615:CF616"/>
    <mergeCell ref="CG615:CG616"/>
    <mergeCell ref="CL8:CL9"/>
    <mergeCell ref="CM8:CM9"/>
    <mergeCell ref="CN8:CN9"/>
    <mergeCell ref="CO8:CO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CL49:CL50"/>
    <mergeCell ref="CM49:CM50"/>
    <mergeCell ref="CN49:CN50"/>
    <mergeCell ref="CO49:CO50"/>
    <mergeCell ref="CL57:CL58"/>
    <mergeCell ref="CM57:CM58"/>
    <mergeCell ref="CN57:CN58"/>
    <mergeCell ref="CO57:CO58"/>
    <mergeCell ref="CL65:CL66"/>
    <mergeCell ref="CM65:CM66"/>
    <mergeCell ref="CN65:CN66"/>
    <mergeCell ref="CO65:CO66"/>
    <mergeCell ref="CL77:CL78"/>
    <mergeCell ref="CM77:CM78"/>
    <mergeCell ref="CN77:CN78"/>
    <mergeCell ref="CO77:CO78"/>
    <mergeCell ref="CL89:CL90"/>
    <mergeCell ref="CM89:CM90"/>
    <mergeCell ref="CN89:CN90"/>
    <mergeCell ref="CO89:CO90"/>
    <mergeCell ref="CL101:CL102"/>
    <mergeCell ref="CM101:CM102"/>
    <mergeCell ref="CN101:CN102"/>
    <mergeCell ref="CO101:CO102"/>
    <mergeCell ref="CL113:CL114"/>
    <mergeCell ref="CM113:CM114"/>
    <mergeCell ref="CN113:CN114"/>
    <mergeCell ref="CO113:CO114"/>
    <mergeCell ref="CL125:CL126"/>
    <mergeCell ref="CM125:CM126"/>
    <mergeCell ref="CN125:CN126"/>
    <mergeCell ref="CO125:CO126"/>
    <mergeCell ref="CL137:CL138"/>
    <mergeCell ref="CM137:CM138"/>
    <mergeCell ref="CN137:CN138"/>
    <mergeCell ref="CO137:CO138"/>
    <mergeCell ref="CL149:CL150"/>
    <mergeCell ref="CM149:CM150"/>
    <mergeCell ref="CN149:CN150"/>
    <mergeCell ref="CO149:CO150"/>
    <mergeCell ref="CL161:CL162"/>
    <mergeCell ref="CM161:CM162"/>
    <mergeCell ref="CN161:CN162"/>
    <mergeCell ref="CO161:CO162"/>
    <mergeCell ref="CL173:CL174"/>
    <mergeCell ref="CM173:CM174"/>
    <mergeCell ref="CN173:CN174"/>
    <mergeCell ref="CO173:CO174"/>
    <mergeCell ref="CL181:CL182"/>
    <mergeCell ref="CM181:CM182"/>
    <mergeCell ref="CN181:CN182"/>
    <mergeCell ref="CO181:CO182"/>
    <mergeCell ref="CL193:CL194"/>
    <mergeCell ref="CM193:CM194"/>
    <mergeCell ref="CN193:CN194"/>
    <mergeCell ref="CO193:CO194"/>
    <mergeCell ref="CL201:CL202"/>
    <mergeCell ref="CM201:CM202"/>
    <mergeCell ref="CN201:CN202"/>
    <mergeCell ref="CO201:CO202"/>
    <mergeCell ref="CL213:CL214"/>
    <mergeCell ref="CM213:CM214"/>
    <mergeCell ref="CN213:CN214"/>
    <mergeCell ref="CO213:CO214"/>
    <mergeCell ref="CL225:CL226"/>
    <mergeCell ref="CM225:CM226"/>
    <mergeCell ref="CN225:CN226"/>
    <mergeCell ref="CO225:CO226"/>
    <mergeCell ref="CL233:CL234"/>
    <mergeCell ref="CM233:CM234"/>
    <mergeCell ref="CN233:CN234"/>
    <mergeCell ref="CO233:CO234"/>
    <mergeCell ref="CL245:CL246"/>
    <mergeCell ref="CM245:CM246"/>
    <mergeCell ref="CN245:CN246"/>
    <mergeCell ref="CO245:CO246"/>
    <mergeCell ref="CL257:CL258"/>
    <mergeCell ref="CM257:CM258"/>
    <mergeCell ref="CN257:CN258"/>
    <mergeCell ref="CO257:CO258"/>
    <mergeCell ref="CL269:CL270"/>
    <mergeCell ref="CM269:CM270"/>
    <mergeCell ref="CN269:CN270"/>
    <mergeCell ref="CO269:CO270"/>
    <mergeCell ref="CL277:CL278"/>
    <mergeCell ref="CM277:CM278"/>
    <mergeCell ref="CN277:CN278"/>
    <mergeCell ref="CO277:CO278"/>
    <mergeCell ref="CL289:CL290"/>
    <mergeCell ref="CM289:CM290"/>
    <mergeCell ref="CN289:CN290"/>
    <mergeCell ref="CO289:CO290"/>
    <mergeCell ref="CL301:CL302"/>
    <mergeCell ref="CM301:CM302"/>
    <mergeCell ref="CN301:CN302"/>
    <mergeCell ref="CO301:CO302"/>
    <mergeCell ref="CL313:CL314"/>
    <mergeCell ref="CM313:CM314"/>
    <mergeCell ref="CN313:CN314"/>
    <mergeCell ref="CO313:CO314"/>
    <mergeCell ref="CL325:CL326"/>
    <mergeCell ref="CM325:CM326"/>
    <mergeCell ref="CN325:CN326"/>
    <mergeCell ref="CO325:CO326"/>
    <mergeCell ref="CL339:CL340"/>
    <mergeCell ref="CM339:CM340"/>
    <mergeCell ref="CN339:CN340"/>
    <mergeCell ref="CO339:CO340"/>
    <mergeCell ref="CL347:CL348"/>
    <mergeCell ref="CM347:CM348"/>
    <mergeCell ref="CN347:CN348"/>
    <mergeCell ref="CO347:CO348"/>
    <mergeCell ref="CL355:CL356"/>
    <mergeCell ref="CM355:CM356"/>
    <mergeCell ref="CN355:CN356"/>
    <mergeCell ref="CO355:CO356"/>
    <mergeCell ref="CL367:CL368"/>
    <mergeCell ref="CM367:CM368"/>
    <mergeCell ref="CN367:CN368"/>
    <mergeCell ref="CO367:CO368"/>
    <mergeCell ref="CL379:CL380"/>
    <mergeCell ref="CM379:CM380"/>
    <mergeCell ref="CN379:CN380"/>
    <mergeCell ref="CO379:CO380"/>
    <mergeCell ref="CL391:CL392"/>
    <mergeCell ref="CM391:CM392"/>
    <mergeCell ref="CN391:CN392"/>
    <mergeCell ref="CO391:CO392"/>
    <mergeCell ref="CL403:CL404"/>
    <mergeCell ref="CM403:CM404"/>
    <mergeCell ref="CN403:CN404"/>
    <mergeCell ref="CO403:CO404"/>
    <mergeCell ref="CL415:CL416"/>
    <mergeCell ref="CM415:CM416"/>
    <mergeCell ref="CN415:CN416"/>
    <mergeCell ref="CO415:CO416"/>
    <mergeCell ref="CL427:CL428"/>
    <mergeCell ref="CM427:CM428"/>
    <mergeCell ref="CN427:CN428"/>
    <mergeCell ref="CO427:CO428"/>
    <mergeCell ref="CL439:CL440"/>
    <mergeCell ref="CM439:CM440"/>
    <mergeCell ref="CN439:CN440"/>
    <mergeCell ref="CO439:CO440"/>
    <mergeCell ref="CL451:CL452"/>
    <mergeCell ref="CM451:CM452"/>
    <mergeCell ref="CN451:CN452"/>
    <mergeCell ref="CO451:CO452"/>
    <mergeCell ref="CL463:CL464"/>
    <mergeCell ref="CM463:CM464"/>
    <mergeCell ref="CN463:CN464"/>
    <mergeCell ref="CO463:CO464"/>
    <mergeCell ref="CL471:CL472"/>
    <mergeCell ref="CM471:CM472"/>
    <mergeCell ref="CN471:CN472"/>
    <mergeCell ref="CO471:CO472"/>
    <mergeCell ref="CL483:CL484"/>
    <mergeCell ref="CM483:CM484"/>
    <mergeCell ref="CN483:CN484"/>
    <mergeCell ref="CO483:CO484"/>
    <mergeCell ref="CL491:CL492"/>
    <mergeCell ref="CM491:CM492"/>
    <mergeCell ref="CN491:CN492"/>
    <mergeCell ref="CO491:CO492"/>
    <mergeCell ref="CL503:CL504"/>
    <mergeCell ref="CM503:CM504"/>
    <mergeCell ref="CN503:CN504"/>
    <mergeCell ref="CO503:CO504"/>
    <mergeCell ref="CL515:CL516"/>
    <mergeCell ref="CM515:CM516"/>
    <mergeCell ref="CN515:CN516"/>
    <mergeCell ref="CO515:CO516"/>
    <mergeCell ref="CL523:CL524"/>
    <mergeCell ref="CM523:CM524"/>
    <mergeCell ref="CN523:CN524"/>
    <mergeCell ref="CO523:CO524"/>
    <mergeCell ref="CL535:CL536"/>
    <mergeCell ref="CM535:CM536"/>
    <mergeCell ref="CN535:CN536"/>
    <mergeCell ref="CO535:CO536"/>
    <mergeCell ref="CL547:CL548"/>
    <mergeCell ref="CM547:CM548"/>
    <mergeCell ref="CN547:CN548"/>
    <mergeCell ref="CO547:CO548"/>
    <mergeCell ref="CL559:CL560"/>
    <mergeCell ref="CM559:CM560"/>
    <mergeCell ref="CN559:CN560"/>
    <mergeCell ref="CO559:CO560"/>
    <mergeCell ref="CL567:CL568"/>
    <mergeCell ref="CM567:CM568"/>
    <mergeCell ref="CN567:CN568"/>
    <mergeCell ref="CO567:CO568"/>
    <mergeCell ref="CL579:CL580"/>
    <mergeCell ref="CM579:CM580"/>
    <mergeCell ref="CN579:CN580"/>
    <mergeCell ref="CO579:CO580"/>
    <mergeCell ref="CL591:CL592"/>
    <mergeCell ref="CM591:CM592"/>
    <mergeCell ref="CN591:CN592"/>
    <mergeCell ref="CO591:CO592"/>
    <mergeCell ref="CL603:CL604"/>
    <mergeCell ref="CM603:CM604"/>
    <mergeCell ref="CN603:CN604"/>
    <mergeCell ref="CO603:CO604"/>
    <mergeCell ref="CL615:CL616"/>
    <mergeCell ref="CM615:CM616"/>
    <mergeCell ref="CN615:CN616"/>
    <mergeCell ref="CO615:CO616"/>
  </mergeCells>
  <dataValidations count="8">
    <dataValidation allowBlank="1" sqref="S131689:CQ131695 S197225:CQ197231 S262761:CQ262767 S328297:CQ328303 S393833:CQ393839 S459369:CQ459375 S524905:CQ524911 S590441:CQ590447 S655977:CQ655983 S721513:CQ721519 S787049:CQ787055 S852585:CQ852591 S918121:CQ918127 S983657:CQ983663 S66153:CQ66159"/>
    <dataValidation type="list" allowBlank="1" showInputMessage="1" errorTitle="Ошибка" error="Выберите значение из списка" prompt="Выберите значение из списка" sqref="V983654:CP983654 V66150:CP66150 V131686:CP131686 V197222:CP197222 V262758:CP262758 V328294:CP328294 V393830:CP393830 V459366:CP459366 V524902:CP524902 V590438:CP590438 V655974:CP655974 V721510:CP721510 V787046:CP787046 V852582:CP852582 V918118:CP918118">
      <formula1>kind_of_cons</formula1>
    </dataValidation>
    <dataValidation type="list" allowBlank="1" showInputMessage="1" showErrorMessage="1" errorTitle="Ошибка" error="Выберите значение из списка" sqref="V983653:W983653 V66149:W66149 V131685:W131685 V197221:W197221 V262757:W262757 V328293:W328293 V393829:W393829 V459365:W459365 V524901:W524901 V590437:W590437 V655973:W655973 V721509:W721509 V787045:W787045 V852581:W852581 V918117:W918117 AD983653:AE983653 AD66149:AE66149 AD131685:AE131685 AD197221:AE197221 AD262757:AE262757 AD328293:AE328293 AD393829:AE393829 AD459365:AE459365 AD524901:AE524901 AD590437:AE590437 AD655973:AE655973 AD721509:AE721509 AD787045:AE787045 AD852581:AE852581 AD918117:AE918117">
      <formula1>kind_of_scheme_in</formula1>
    </dataValidation>
    <dataValidation type="textLength" operator="lessThanOrEqual" allowBlank="1" showInputMessage="1" showErrorMessage="1" errorTitle="Ошибка" error="Допускается ввод не более 900 символов!" sqref="CQ66145:CQ66152 CQ131681:CQ131688 CQ197217:CQ197224 CQ262753:CQ262760 CQ328289:CQ328296 CQ393825:CQ393832 CQ459361:CQ459368 CQ524897:CQ524904 CQ590433:CQ590440 CQ655969:CQ655976 CQ721505:CQ721512 CQ787041:CQ787048 CQ852577:CQ852584 CQ918113:CQ918120 CQ983649:CQ983656">
      <formula1>900</formula1>
    </dataValidation>
    <dataValidation type="list" allowBlank="1" showInputMessage="1" showErrorMessage="1" errorTitle="Ошибка" error="Выберите значение из списка" sqref="T66151 T131687 T197223 T262759 T328295 T393831 T459367 T524903 T590439 T655975 T721511 T787047 T852583 T918119 T98365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6151 Z131687 Z197223 Z262759 Z328295 Z393831 Z459367 Z524903 Z590439 Z655975 Z721511 Z787047 Z852583 Z918119 Z983655 AB66151 AB131687 AB197223 AB262759 AB328295 AB393831 AB459367 AB524903 AB590439 AB655975 AB721511 AB787047 AB852583 AB918119 AB983655 Z8 AH66151 AH131687 AH197223 AH262759 AH328295 AH393831 AH459367 AH524903 AH590439 AH655975 AH721511 AH787047 AH852583 AH918119 AH983655 AJ66151 AJ131687 AJ197223 AJ262759 AJ328295 AJ393831 AJ459367 AJ524903 AJ590439 AJ655975 AJ721511 AJ787047 AJ852583 AJ918119 AJ983655 AJ49 AH49 AH8 AJ8 AB8 AH17 AJ17 Z49 AB49 Z77 AB77 AH77 AJ77 Z89 AB89 AH89 AJ89 Z101 AB101 AH101 AJ101 Z113 AB113 AH113 AJ113 Z125 AB125 AH125 AJ125 Z137 AB137 AH137 AJ137 Z149 AB149 AH149 AJ149 Z161 AB161 AH161 AJ161 Z173 AB173 AH173 AJ173 Z193 AB193 AH193 AJ193 Z213 AB213 AH213 AJ213 Z225 AB225 AH225 AJ225 Z245 AB245 AH245 AJ245 Z257 AB257 AH257 AJ257 Z269 AB269 AH269 AJ269 Z289 AB289 AH289 AJ289 Z301 AB301 AH301 AJ301 Z313 AB313 AH313 AJ313 Z325 AB325 AH325 AJ325 Z57 AB57 AH57 AJ57 Z65 AB65 AH65 AJ65 Z181 AB181 AH181 AJ181 Z201 AB201 AH201 AJ201 Z233 AB233 AH233 AJ233 Z277 AB277 AH277 AJ277 Z339 AB339 AH339 AJ339 Z367 AB367 AH367 AJ367 Z379 AB379 AH379 AJ379 Z391 AB391 AH391 AJ391 Z403 AB403 AH403 AJ403 Z415 AB415 AH415 AJ415 Z427 AB427 AH427 AJ427 Z439 AB439 AH439 AJ439 Z451 AB451 AH451 AJ451 Z463 AB463 AH463 AJ463 Z483 AB483 AH483 AJ483 Z503 AB503 AH503 AJ503 Z515 AB515 AH515 AJ515 Z535 AB535 AH535 AJ535 Z547 AB547 AH547 AJ547 Z559 AB559 AH559 AJ559 Z579 AB579 AH579 AJ579 Z591 AB591 AH591 AJ591 Z603 AB603 AH603 AJ603 Z615 AB615 AH615 AJ615 Z347 AB347 AH347 AJ347 Z355 AB355 AH355 AJ355 Z471 AB471 AH471 AJ471 Z491 AB491 AH491 AJ491 Z523 AB523 AH523 AJ523 Z567 AB567 AH567 AJ567 AP8 AR8 AP49 AR49 AP57 AR57 AP65 AR65 AP77 AR77 AP89 AR89 AP101 AR101 AP113 AR113 AP125 AR125 AP137 AR137 AP149 AR149 AP161 AR161 AP173 AR173 AP181 AR181 AP193 AR193 AP201 AR201 AP213 AR213 AP225 AR225 AP233 AR233 AP245 AR245 AP257 AR257 AP269 AR269 AP277 AR277 AP289 AR289 AP301 AR301 AP313 AR313 AP325 AR325 AP339 AR339 AP347 AR347 AP355 AR355 AP367 AR367 AP379 AR379 AP391 AR391 AP403 AR403 AP415 AR415 AP427 AR427 AP439 AR439 AP451 AR451 AP463 AR463 AP471 AR471 AP483 AR483 AP491 AR491 AP503 AR503 AP515 AR515 AP523 AR523 AP535 AR535 AP547 AR547 AP559 AR559 AP567 AR567 AP579 AR579 AP591 AR591 AP603 AR603 AP615 AR615 AX8 AZ8 AX49 AZ49 AX57 AZ57 AX65 AZ65 AX77 AZ77 AX89 AZ89 AX101 AZ101 AX113 AZ113 AX125 AZ125 AX137 AZ137 AX149 AZ149 AX161 AZ161 AX173 AZ173 AX181 AZ181 AX193 AZ193 AX201 AZ201 AX213 AZ213 AX225 AZ225 AX233 AZ233 AX245 AZ245 AX257 AZ257 AX269 AZ269 AX277 AZ277 AX289 AZ289 AX301 AZ301 AX313 AZ313 AX325 AZ325 AX339 AZ339 AX347 AZ347 AX355 AZ355 AX367 AZ367 AX379 AZ379 AX391 AZ391 AX403 AZ403 AX415 AZ415 AX427 AZ427 AX439 AZ439 AX451 AZ451 AX463 AZ463 AX471 AZ471 AX483 AZ483 AX491 AZ491 AX503 AZ503 AX515 AZ515 AX523 AZ523 AX535 AZ535 AX547 AZ547 AX559 AZ559 AX567 AZ567 AX579 AZ579 AX591 AZ591 AX603 AZ603 AX615 AZ615 BF8 BH8 BF49 BH49 BF57 BH57 BF65 BH65 BF77 BH77 BF89 BH89 BF101 BH101 BF113 BH113 BF125 BH125 BF137 BH137 BF149 BH149 BF161 BH161 BF173 BH173 BF181 BH181 BF193 BH193 BF201 BH201 BF213 BH213 BF225 BH225 BF233 BH233 BF245 BH245 BF257 BH257 BF269 BH269 BF277 BH277 BF289 BH289 BF301 BH301 BF313 BH313 BF325 BH325 BF339 BH339 BF347 BH347 BF355 BH355 BF367 BH367 BF379 BH379 BF391 BH391 BF403 BH403 BF415 BH415 BF427 BH427 BF439 BH439 BF451 BH451 BF463 BH463 BF471 BH471 BF483 BH483 BF491 BH491 BF503 BH503 BF515 BH515 BF523 BH523 BF535 BH535 BF547 BH547 BF559 BH559 BF567 BH567 BF579 BH579 BF591 BH591 BF603 BH603 BF615 BH615 BN8 BP8 BN49 BP49 BN57 BP57 BN65 BP65 BN77 BP77 BN89 BP89 BN101 BP101 BN113 BP113 BN125 BP125 BN137 BP137 BN149 BP149 BN161 BP161 BN173 BP173 BN181 BP181 BN193 BP193 BN201 BP201 BN213 BP213 BN225 BP225 BN233 BP233 BN245 BP245 BN257 BP257 BN269 BP269 BN277 BP277 BN289 BP289 BN301 BP301 BN313 BP313 BN325 BP325 BN339 BP339 BN347 BP347 BN355 BP355 BN367 BP367 BN379 BP379 BN391 BP391 BN403 BP403 BN415 BP415 BN427 BP427 BN439 BP439 BN451 BP451 BN463 BP463 BN471 BP471 BN483 BP483 BN491 BP491 BN503 BP503 BN515 BP515 BN523 BP523 BN535 BP535 BN547 BP547 BN559 BP559 BN567 BP567 BN579 BP579 BN591 BP591 BN603 BP603 BN615 BP615 BV8 BX8 BV49 BX49 BV57 BX57 BV65 BX65 BV77 BX77 BV89 BX89 BV101 BX101 BV113 BX113 BV125 BX125 BV137 BX137 BV149 BX149 BV161 BX161 BV173 BX173 BV181 BX181 BV193 BX193 BV201 BX201 BV213 BX213 BV225 BX225 BV233 BX233 BV245 BX245 BV257 BX257 BV269 BX269 BV277 BX277 BV289 BX289 BV301 BX301 BV313 BX313 BV325 BX325 BV339 BX339 BV347 BX347 BV355 BX355 BV367 BX367 BV379 BX379 BV391 BX391 BV403 BX403 BV415 BX415 BV427 BX427 BV439 BX439 BV451 BX451 BV463 BX463 BV471 BX471 BV483 BX483 BV491 BX491 BV503 BX503 BV515 BX515 BV523 BX523 BV535 BX535 BV547 BX547 BV559 BX559 BV567 BX567 BV579 BX579 BV591 BX591 BV603 BX603 BV615 BX615 CD8 CF8 CD49 CF49 CD57 CF57 CD65 CF65 CD77 CF77 CD89 CF89 CD101 CF101 CD113 CF113 CD125 CF125 CD137 CF137 CD149 CF149 CD161 CF161 CD173 CF173 CD181 CF181 CD193 CF193 CD201 CF201 CD213 CF213 CD225 CF225 CD233 CF233 CD245 CF245 CD257 CF257 CD269 CF269 CD277 CF277 CD289 CF289 CD301 CF301 CD313 CF313 CD325 CF325 CD339 CF339 CD347 CF347 CD355 CF355 CD367 CF367 CD379 CF379 CD391 CF391 CD403 CF403 CD415 CF415 CD427 CF427 CD439 CF439 CD451 CF451 CD463 CF463 CD471 CF471 CD483 CF483 CD491 CF491 CD503 CF503 CD515 CF515 CD523 CF523 CD535 CF535 CD547 CF547 CD559 CF559 CD567 CF567 CD579 CF579 CD591 CF591 CD603 CF603 CD615 CF615 CL8 CN8 CL49 CN49 CL57 CN57 CL65 CN65 CL77 CN77 CL89 CN89 CL101 CN101 CL113 CN113 CL125 CN125 CL137 CN137 CL149 CN149 CL161 CN161 CL173 CN173 CL181 CN181 CL193 CN193 CL201 CN201 CL213 CN213 CL225 CN225 CL233 CN233 CL245 CN245 CL257 CN257 CL269 CN269 CL277 CN277 CL289 CN289 CL301 CN301 CL313 CN313 CL325 CN325 CL339 CN339 CL347 CN347 CL355 CN355 CL367 CN367 CL379 CN379 CL391 CN391 CL403 CN403 CL415 CN415 CL427 CN427 CL439 CN439 CL451 CN451 CL463 CN463 CL471 CN471 CL483 CN483 CL491 CN491 CL503 CN503 CL515 CN515 CL523 CN523 CL535 CN535 CL547 CN547 CL559 CN559 CL567 CN567 CL579 CN579 CL591 CN591 CL603 CN603 CL615 CN615"/>
    <dataValidation allowBlank="1" showInputMessage="1" showErrorMessage="1" prompt="Для выбора выполните двойной щелчок левой клавиши мыши по соответствующей ячейке." sqref="AA66151 AA131687 AA197223 AA262759 AA328295 AA393831 AA459367 AA524903 AA590439 AA655975 AA721511 AA787047 AA852583 AA918119 AA983655 AC131687 AC459367 AC197223 AC262759 AC328295 AC393831 AC524903 AC590439 AC655975 AC721511 AC787047 AC852583 AC918119 AC983655 AC66151 AI66151 AI131687 AI197223 AI262759 AI328295 AI393831 AI459367 AI524903 AI590439 AI655975 AI721511 AI787047 AI852583 AI918119 AI983655 AK393831:CO393831 AK49 AQ49 AS49 AY49 BA49 BG49 BI49 BO49 BQ49 BW49 BY49 CE49 CG49 CM49 CO49 AK524903:CO524903 AK8 AQ8 AS8 AY8 BA8 BG8 BI8 BO8 BQ8 BW8 BY8 CE8 CG8 CM8 CO8 AK590439:CO590439 AK655975:CO655975 AK17 AK721511:CO721511 AK787047:CO787047 AK852583:CO852583 AK918119:CO918119 AK983655:CO983655 AK66151:CO66151 AK131687:CO131687 AK459367:CO459367 AI49 AK197223:CO197223 AI8 AC8 AA8 AI17 AK262759:CO262759 AA49 AC49 AK328295:CO328295 AA77 AC77 AI77 AK77 AQ77 AS77 AY77 BA77 BG77 BI77 BO77 BQ77 BW77 BY77 CE77 CG77 CM77 CO77 AA89 AC89 AI89 AK89 AQ89 AS89 AY89 BA89 BG89 BI89 BO89 BQ89 BW89 BY89 CE89 CG89 CM89 CO89 AA101 AC101 AI101 AK101 AQ101 AS101 AY101 BA101 BG101 BI101 BO101 BQ101 BW101 BY101 CE101 CG101 CM101 CO101 AA113 AC113 AI113 AK113 AQ113 AS113 AY113 BA113 BG113 BI113 BO113 BQ113 BW113 BY113 CE113 CG113 CM113 CO113 AA125 AC125 AI125 AK125 AQ125 AS125 AY125 BA125 BG125 BI125 BO125 BQ125 BW125 BY125 CE125 CG125 CM125 CO125 AA137 AC137 AI137 AK137 AQ137 AS137 AY137 BA137 BG137 BI137 BO137 BQ137 BW137 BY137 CE137 CG137 CM137 CO137 AA149 AC149 AI149 AK149 AQ149 AS149 AY149 BA149 BG149 BI149 BO149 BQ149 BW149 BY149 CE149 CG149 CM149 CO149 AA161 AC161 AI161 AK161 AQ161 AS161 AY161 BA161 BG161 BI161 BO161 BQ161 BW161 BY161 CE161 CG161 CM161 CO161 AA173 AC173 AI173 AK173 AQ173 AS173 AY173 BA173 BG173 BI173 BO173 BQ173 BW173 BY173 CE173 CG173 CM173 CO173 AA193 AC193 AI193 AK193 AQ193 AS193 AY193 BA193 BG193 BI193 BO193 BQ193 BW193 BY193 CE193 CG193 CM193 CO193 AA213 AC213 AI213 AK213 AQ213 AS213 AY213 BA213 BG213 BI213 BO213 BQ213 BW213 BY213 CE213 CG213 CM213 CO213 AA225 AC225 AI225 AK225 AQ225 AS225 AY225 BA225 BG225 BI225 BO225 BQ225 BW225 BY225 CE225 CG225 CM225 CO225 AA245 AC245 AI245 AK245 AQ245 AS245 AY245 BA245 BG245 BI245 BO245 BQ245 BW245 BY245 CE245 CG245 CM245 CO245 AA257 AC257 AI257 AK257 AQ257 AS257 AY257 BA257 BG257 BI257 BO257 BQ257 BW257 BY257 CE257 CG257 CM257 CO257 AA269 AC269 AI269 AK269 AQ269 AS269 AY269 BA269 BG269 BI269 BO269 BQ269 BW269 BY269 CE269 CG269 CM269 CO269 AA289 AC289 AI289 AK289 AQ289 AS289 AY289 BA289 BG289 BI289 BO289 BQ289 BW289 BY289 CE289 CG289 CM289 CO289 AA301 AC301 AI301 AK301 AQ301 AS301 AY301 BA301 BG301 BI301 BO301 BQ301 BW301 BY301 CE301 CG301 CM301 CO301 AA313 AC313 AI313 AK313 AQ313 AS313 AY313 BA313 BG313 BI313 BO313 BQ313 BW313 BY313 CE313 CG313 CM313 CO313 AA325 AC325 AI325 AK325 AQ325 AS325 AY325 BA325 BG325 BI325 BO325 BQ325 BW325 BY325 CE325 CG325 CM325 CO325 AA57 AC57 AI57 AK57 AQ57 AS57 AY57 BA57 BG57 BI57 BO57 BQ57 BW57 BY57 CE57 CG57 CM57 CO57 AA65 AC65 AI65 AK65 AQ65 AS65 AY65 BA65 BG65 BI65 BO65 BQ65 BW65 BY65 CE65 CG65 CM65 CO65 AA181 AC181 AI181 AK181 AQ181 AS181 AY181 BA181 BG181 BI181 BO181 BQ181 BW181 BY181 CE181 CG181 CM181 CO181 AA201 AC201 AI201 AK201 AQ201 AS201 AY201 BA201 BG201 BI201 BO201 BQ201 BW201 BY201 CE201 CG201 CM201 CO201 AA233 AC233 AI233 AK233 AQ233 AS233 AY233 BA233 BG233 BI233 BO233 BQ233 BW233 BY233 CE233 CG233 CM233 CO233 AA277 AC277 AI277 AK277 AQ277 AS277 AY277 BA277 BG277 BI277 BO277 BQ277 BW277 BY277 CE277 CG277 CM277 CO277 AA339 AC339 AI339 AK339 AQ339 AS339 AY339 BA339 BG339 BI339 BO339 BQ339 BW339 BY339 CE339 CG339 CM339 CO339 AA367 AC367 AI367 AK367 AQ367 AS367 AY367 BA367 BG367 BI367 BO367 BQ367 BW367 BY367 CE367 CG367 CM367 CO367 AA379 AC379 AI379 AK379 AQ379 AS379 AY379 BA379 BG379 BI379 BO379 BQ379 BW379 BY379 CE379 CG379 CM379 CO379 AA391 AC391 AI391 AK391 AQ391 AS391 AY391 BA391 BG391 BI391 BO391 BQ391 BW391 BY391 CE391 CG391 CM391 CO391 AA403 AC403 AI403 AK403 AQ403 AS403 AY403 BA403 BG403 BI403 BO403 BQ403 BW403 BY403 CE403 CG403 CM403 CO403 AA415 AC415 AI415 AK415 AQ415 AS415 AY415 BA415 BG415 BI415 BO415 BQ415 BW415 BY415 CE415 CG415 CM415 CO415 AA427 AC427 AI427 AK427 AQ427 AS427 AY427 BA427 BG427 BI427 BO427 BQ427 BW427 BY427 CE427 CG427 CM427 CO427 AA439 AC439 AI439 AK439 AQ439 AS439 AY439 BA439 BG439 BI439 BO439 BQ439 BW439 BY439 CE439 CG439 CM439 CO439 AA451 AC451 AI451 AK451 AQ451 AS451 AY451 BA451 BG451 BI451 BO451 BQ451 BW451 BY451 CE451 CG451 CM451 CO451 AA463 AC463 AI463 AK463 AQ463 AS463 AY463 BA463 BG463 BI463 BO463 BQ463 BW463 BY463 CE463 CG463 CM463 CO463 AA483 AC483 AI483 AK483 AQ483 AS483 AY483 BA483 BG483 BI483 BO483 BQ483 BW483 BY483 CE483 CG483 CM483 CO483 AA503 AC503 AI503 AK503 AQ503 AS503 AY503 BA503 BG503 BI503 BO503 BQ503 BW503 BY503 CE503 CG503 CM503 CO503 AA515 AC515 AI515 AK515 AQ515 AS515 AY515 BA515 BG515 BI515 BO515 BQ515 BW515 BY515 CE515 CG515 CM515 CO515 AA535 AC535 AI535 AK535 AQ535 AS535 AY535 BA535 BG535 BI535 BO535 BQ535 BW535 BY535 CE535 CG535 CM535 CO535 AA547 AC547 AI547 AK547 AQ547 AS547 AY547 BA547 BG547 BI547 BO547 BQ547 BW547 BY547 CE547 CG547 CM547 CO547 AA559 AC559 AI559 AK559 AQ559 AS559 AY559 BA559 BG559 BI559 BO559 BQ559 BW559 BY559 CE559 CG559 CM559 CO559 AA579 AC579 AI579 AK579 AQ579 AS579 AY579 BA579 BG579 BI579 BO579 BQ579 BW579 BY579 CE579 CG579 CM579 CO579 AA591 AC591 AI591 AK591 AQ591 AS591 AY591 BA591 BG591 BI591 BO591 BQ591 BW591 BY591 CE591 CG591 CM591 CO591 AA603 AC603 AI603 AK603 AQ603 AS603 AY603 BA603 BG603 BI603 BO603 BQ603 BW603 BY603 CE603 CG603 CM603 CO603 AA615 AC615 AI615 AK615 AQ615 AS615 AY615 BA615 BG615 BI615 BO615 BQ615 BW615 BY615 CE615 CG615 CM615 CO615 AA347 AC347 AI347 AK347 AQ347 AS347 AY347 BA347 BG347 BI347 BO347 BQ347 BW347 BY347 CE347 CG347 CM347 CO347 AA355 AC355 AI355 AK355 AQ355 AS355 AY355 BA355 BG355 BI355 BO355 BQ355 BW355 BY355 CE355 CG355 CM355 CO355 AA471 AC471 AI471 AK471 AQ471 AS471 AY471 BA471 BG471 BI471 BO471 BQ471 BW471 BY471 CE471 CG471 CM471 CO471 AA491 AC491 AI491 AK491 AQ491 AS491 AY491 BA491 BG491 BI491 BO491 BQ491 BW491 BY491 CE491 CG491 CM491 CO491 AA523 AC523 AI523 AK523 AQ523 AS523 AY523 BA523 BG523 BI523 BO523 BQ523 BW523 BY523 CE523 CG523 CM523 CO523 AA567 AC567 AI567 AK567 AQ567 AS567 AY567 BA567 BG567 BI567 BO567 BQ567 BW567 BY567 CE567 CG567 CM567 CO567"/>
    <dataValidation allowBlank="1" promptTitle="checkPeriodRange" sqref="Y66152 Y131688 Y197224 Y262760 Y328296 Y393832 Y459368 Y524904 Y590440 Y655976 Y721512 Y787048 Y852584 Y918120 Y983656 Y9 AG66152 AG131688 AG197224 AG262760 AG328296 AG393832 AG459368 AG524904 AG590440 AG655976 AG721512 AG787048 AG852584 AG918120 AG983656 AG9 AG50 AG18 Y50 Y78 AG78 Y90 AG90 Y102 AG102 Y114 AG114 Y126 AG126 Y138 AG138 Y150 AG150 Y162 AG162 Y174 AG174 Y194 AG194 Y214 AG214 Y226 AG226 Y246 AG246 Y258 AG258 Y270 AG270 Y290 AG290 Y302 AG302 Y314 AG314 Y326 AG326 Y58 AG58 Y66 AG66 Y182 AG182 Y202 AG202 Y234 AG234 Y278 AG278 Y340 AG340 Y368 AG368 Y380 AG380 Y392 AG392 Y404 AG404 Y416 AG416 Y428 AG428 Y440 AG440 Y452 AG452 Y464 AG464 Y484 AG484 Y504 AG504 Y516 AG516 Y536 AG536 Y548 AG548 Y560 AG560 Y580 AG580 Y592 AG592 Y604 AG604 Y616 AG616 Y348 AG348 Y356 AG356 Y472 AG472 Y492 AG492 Y524 AG524 Y568 AG568 AO9 AO50 AO58 AO66 AO78 AO90 AO102 AO114 AO126 AO138 AO150 AO162 AO174 AO182 AO194 AO202 AO214 AO226 AO234 AO246 AO258 AO270 AO278 AO290 AO302 AO314 AO326 AO340 AO348 AO356 AO368 AO380 AO392 AO404 AO416 AO428 AO440 AO452 AO464 AO472 AO484 AO492 AO504 AO516 AO524 AO536 AO548 AO560 AO568 AO580 AO592 AO604 AO616 AW9 AW50 AW58 AW66 AW78 AW90 AW102 AW114 AW126 AW138 AW150 AW162 AW174 AW182 AW194 AW202 AW214 AW226 AW234 AW246 AW258 AW270 AW278 AW290 AW302 AW314 AW326 AW340 AW348 AW356 AW368 AW380 AW392 AW404 AW416 AW428 AW440 AW452 AW464 AW472 AW484 AW492 AW504 AW516 AW524 AW536 AW548 AW560 AW568 AW580 AW592 AW604 AW616 BE9 BE50 BE58 BE66 BE78 BE90 BE102 BE114 BE126 BE138 BE150 BE162 BE174 BE182 BE194 BE202 BE214 BE226 BE234 BE246 BE258 BE270 BE278 BE290 BE302 BE314 BE326 BE340 BE348 BE356 BE368 BE380 BE392 BE404 BE416 BE428 BE440 BE452 BE464 BE472 BE484 BE492 BE504 BE516 BE524 BE536 BE548 BE560 BE568 BE580 BE592 BE604 BE616 BM9 BM50 BM58 BM66 BM78 BM90 BM102 BM114 BM126 BM138 BM150 BM162 BM174 BM182 BM194 BM202 BM214 BM226 BM234 BM246 BM258 BM270 BM278 BM290 BM302 BM314 BM326 BM340 BM348 BM356 BM368 BM380 BM392 BM404 BM416 BM428 BM440 BM452 BM464 BM472 BM484 BM492 BM504 BM516 BM524 BM536 BM548 BM560 BM568 BM580 BM592 BM604 BM616 BU9 BU50 BU58 BU66 BU78 BU90 BU102 BU114 BU126 BU138 BU150 BU162 BU174 BU182 BU194 BU202 BU214 BU226 BU234 BU246 BU258 BU270 BU278 BU290 BU302 BU314 BU326 BU340 BU348 BU356 BU368 BU380 BU392 BU404 BU416 BU428 BU440 BU452 BU464 BU472 BU484 BU492 BU504 BU516 BU524 BU536 BU548 BU560 BU568 BU580 BU592 BU604 BU616 CC9 CC50 CC58 CC66 CC78 CC90 CC102 CC114 CC126 CC138 CC150 CC162 CC174 CC182 CC194 CC202 CC214 CC226 CC234 CC246 CC258 CC270 CC278 CC290 CC302 CC314 CC326 CC340 CC348 CC356 CC368 CC380 CC392 CC404 CC416 CC428 CC440 CC452 CC464 CC472 CC484 CC492 CC504 CC516 CC524 CC536 CC548 CC560 CC568 CC580 CC592 CC604 CC616 CK9 CK50 CK58 CK66 CK78 CK90 CK102 CK114 CK126 CK138 CK150 CK162 CK174 CK182 CK194 CK202 CK214 CK226 CK234 CK246 CK258 CK270 CK278 CK290 CK302 CK314 CK326 CK340 CK348 CK356 CK368 CK380 CK392 CK404 CK416 CK428 CK440 CK452 CK464 CK472 CK484 CK492 CK504 CK516 CK524 CK536 CK548 CK560 CK568 CK580 CK592 CK604 CK61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167C2E-921A-B061-0F25-DBCCD493F5C2}"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2.00390625" hidden="1" customWidth="1"/>
    <col min="10" max="10" style="2683" width="9.8515625" hidden="1" customWidth="1"/>
    <col min="11" max="11" style="2683" width="11.421875" hidden="1" customWidth="1"/>
    <col min="12" max="12" style="3333" width="19.140625" hidden="1" customWidth="1"/>
    <col min="13" max="14" style="3334" width="12.28125" hidden="1" customWidth="1"/>
    <col min="15" max="15" style="3334" width="23.421875" hidden="1" customWidth="1"/>
    <col min="16" max="16" style="3355" width="3.7109375" hidden="1" customWidth="1"/>
    <col min="17" max="18" style="3411" width="3.7109375" customWidth="1"/>
    <col min="19" max="19" style="3412" width="12.7109375" customWidth="1"/>
    <col min="20" max="20" style="2984" width="32.00390625" customWidth="1"/>
    <col min="21" max="21" style="2984" width="0.140625" customWidth="1"/>
    <col min="22" max="22" style="2984" width="24.7109375" hidden="1" customWidth="1"/>
    <col min="23" max="23" style="2984" width="0.140625" hidden="1" customWidth="1"/>
    <col min="24" max="25" style="2984" width="24.7109375" hidden="1" customWidth="1"/>
    <col min="26" max="26" style="2984" width="11.7109375" hidden="1" customWidth="1"/>
    <col min="27" max="27" style="2984" width="3.7109375" hidden="1" customWidth="1"/>
    <col min="28" max="28" style="2984" width="11.7109375" hidden="1" customWidth="1"/>
    <col min="29" max="29" style="2984" width="8.57421875" hidden="1" customWidth="1"/>
    <col min="30" max="30" style="2984" width="24.7109375" customWidth="1"/>
    <col min="31" max="31" style="2984" width="0.140625" customWidth="1"/>
    <col min="32" max="33" style="2984" width="24.7109375" customWidth="1"/>
    <col min="34" max="34" style="2984" width="11.7109375" customWidth="1"/>
    <col min="35" max="35" style="2984" width="3.7109375" customWidth="1"/>
    <col min="36" max="36" style="2984" width="11.7109375" customWidth="1"/>
    <col min="37" max="37" style="2984" width="8.57421875" hidden="1" customWidth="1"/>
    <col min="38" max="38" style="2984" width="4.7109375" customWidth="1"/>
    <col min="39" max="39" style="2984" width="115.7109375" customWidth="1"/>
    <col min="40" max="41" style="2612" width="10.57421875"/>
    <col min="42" max="42" style="2612" width="11.140625" customWidth="1"/>
    <col min="43" max="44" style="2612" width="10.57421875"/>
  </cols>
  <sheetData>
    <row customHeight="1" ht="14.25" hidden="1">
      <c r="A1" s="1914"/>
      <c r="Y1" s="323"/>
      <c r="Z1" s="323"/>
      <c r="AG1" s="323"/>
      <c r="AH1" s="323"/>
    </row>
    <row customHeight="1" ht="21" hidden="1">
      <c r="A2" s="1393"/>
      <c r="B2" s="1393"/>
      <c r="C2" s="1393"/>
      <c r="D2" s="1393"/>
      <c r="E2" s="2107">
        <v>1</v>
      </c>
      <c r="F2" s="1393"/>
      <c r="G2" s="1393"/>
      <c r="H2" s="1393"/>
      <c r="I2" s="1393"/>
      <c r="J2" s="1393"/>
      <c r="K2" s="1393"/>
      <c r="L2" s="1394"/>
      <c r="M2" s="1395"/>
      <c r="N2" s="1395"/>
      <c r="O2" s="1395"/>
      <c r="P2" s="357"/>
      <c r="Q2" s="356"/>
      <c r="R2" s="351"/>
      <c r="S2" s="1366">
        <f>INDEX(PT_DIFFERENTIATION_NUM_NTAR,MATCH(A2,PT_DIFFERENTIATION_NTAR_ID,0))</f>
      </c>
      <c r="T2" s="286" t="s">
        <v>204</v>
      </c>
      <c r="U2" s="288"/>
      <c r="V2" s="2101"/>
      <c r="W2" s="2102"/>
      <c r="X2" s="2102"/>
      <c r="Y2" s="2102"/>
      <c r="Z2" s="2102"/>
      <c r="AA2" s="2102"/>
      <c r="AB2" s="2102"/>
      <c r="AC2" s="2103"/>
      <c r="AD2" s="2101">
        <f>INDEX(PT_DIFFERENTIATION_NTAR,MATCH(A2,PT_DIFFERENTIATION_NTAR_ID,0))</f>
      </c>
      <c r="AE2" s="2102"/>
      <c r="AF2" s="2102"/>
      <c r="AG2" s="2102"/>
      <c r="AH2" s="2102"/>
      <c r="AI2" s="2102"/>
      <c r="AJ2" s="2102"/>
      <c r="AK2" s="2102"/>
      <c r="AL2" s="2103"/>
      <c r="AM2" s="1286" t="s">
        <v>611</v>
      </c>
      <c r="AO2" s="506"/>
      <c r="AP2" s="506" t="str">
        <f>IF(T2="","",T2)</f>
        <v>Наименование тарифа</v>
      </c>
      <c r="AQ2" s="506"/>
      <c r="AR2" s="506"/>
    </row>
    <row customHeight="1" ht="21" hidden="1">
      <c r="A3" s="1393"/>
      <c r="B3" s="1393"/>
      <c r="C3" s="1393"/>
      <c r="D3" s="1393"/>
      <c r="E3" s="2108"/>
      <c r="F3" s="2107">
        <v>1</v>
      </c>
      <c r="G3" s="1393"/>
      <c r="H3" s="1393"/>
      <c r="I3" s="1393"/>
      <c r="J3" s="1393"/>
      <c r="K3" s="1393"/>
      <c r="L3" s="1394"/>
      <c r="M3" s="1395"/>
      <c r="N3" s="1395"/>
      <c r="O3" s="1395"/>
      <c r="P3" s="1362"/>
      <c r="Q3" s="348"/>
      <c r="R3" s="349"/>
      <c r="S3" s="1366">
        <f>INDEX(PT_DIFFERENTIATION_NUM_TER,MATCH(B3,PT_DIFFERENTIATION_TER_ID,0))</f>
      </c>
      <c r="T3" s="298" t="s">
        <v>612</v>
      </c>
      <c r="U3" s="288"/>
      <c r="V3" s="2101"/>
      <c r="W3" s="2102"/>
      <c r="X3" s="2102"/>
      <c r="Y3" s="2102"/>
      <c r="Z3" s="2102"/>
      <c r="AA3" s="2102"/>
      <c r="AB3" s="2102"/>
      <c r="AC3" s="2103"/>
      <c r="AD3" s="2101">
        <f>INDEX(PT_DIFFERENTIATION_TER,MATCH(B3,PT_DIFFERENTIATION_TER_ID,0))</f>
      </c>
      <c r="AE3" s="2102"/>
      <c r="AF3" s="2102"/>
      <c r="AG3" s="2102"/>
      <c r="AH3" s="2102"/>
      <c r="AI3" s="2102"/>
      <c r="AJ3" s="2102"/>
      <c r="AK3" s="2102"/>
      <c r="AL3" s="2103"/>
      <c r="AM3" s="1286" t="s">
        <v>613</v>
      </c>
      <c r="AO3" s="506"/>
      <c r="AP3" s="506" t="str">
        <f>IF(T3="","",T3)</f>
        <v>Территория действия тарифа</v>
      </c>
      <c r="AQ3" s="506"/>
      <c r="AR3" s="506"/>
    </row>
    <row customHeight="1" ht="23.25" hidden="1">
      <c r="A4" s="1393"/>
      <c r="B4" s="1393"/>
      <c r="C4" s="1393"/>
      <c r="D4" s="1393"/>
      <c r="E4" s="2108"/>
      <c r="F4" s="2108"/>
      <c r="G4" s="2107">
        <v>1</v>
      </c>
      <c r="H4" s="1393"/>
      <c r="I4" s="1393"/>
      <c r="J4" s="1393"/>
      <c r="K4" s="1393"/>
      <c r="L4" s="1394"/>
      <c r="M4" s="1395"/>
      <c r="N4" s="1395"/>
      <c r="O4" s="1395"/>
      <c r="P4" s="350"/>
      <c r="Q4" s="348"/>
      <c r="R4" s="349"/>
      <c r="S4" s="1366">
        <f>INDEX(PT_DIFFERENTIATION_NUM_CS,MATCH(C4,PT_DIFFERENTIATION_CS_ID,0))</f>
      </c>
      <c r="T4" s="299" t="s">
        <v>614</v>
      </c>
      <c r="U4" s="288"/>
      <c r="V4" s="2101"/>
      <c r="W4" s="2102"/>
      <c r="X4" s="2102"/>
      <c r="Y4" s="2102"/>
      <c r="Z4" s="2102"/>
      <c r="AA4" s="2102"/>
      <c r="AB4" s="2102"/>
      <c r="AC4" s="2103"/>
      <c r="AD4" s="2101">
        <f>INDEX(PT_DIFFERENTIATION_CS,MATCH(C4,PT_DIFFERENTIATION_CS_ID,0))</f>
      </c>
      <c r="AE4" s="2102"/>
      <c r="AF4" s="2102"/>
      <c r="AG4" s="2102"/>
      <c r="AH4" s="2102"/>
      <c r="AI4" s="2102"/>
      <c r="AJ4" s="2102"/>
      <c r="AK4" s="2102"/>
      <c r="AL4" s="2103"/>
      <c r="AM4" s="1286" t="s">
        <v>615</v>
      </c>
      <c r="AO4" s="506"/>
      <c r="AP4" s="506" t="str">
        <f>IF(T4="","",T4)</f>
        <v>Наименование системы теплоснабжения </v>
      </c>
      <c r="AQ4" s="506"/>
      <c r="AR4" s="506"/>
    </row>
    <row customHeight="1" ht="21" hidden="1">
      <c r="A5" s="1393"/>
      <c r="B5" s="1393"/>
      <c r="C5" s="1393"/>
      <c r="D5" s="1393"/>
      <c r="E5" s="2108"/>
      <c r="F5" s="2108"/>
      <c r="G5" s="2108"/>
      <c r="H5" s="2107">
        <v>1</v>
      </c>
      <c r="I5" s="1393"/>
      <c r="J5" s="1393"/>
      <c r="K5" s="1393"/>
      <c r="L5" s="1394"/>
      <c r="M5" s="1395"/>
      <c r="N5" s="1395"/>
      <c r="O5" s="1395"/>
      <c r="P5" s="350"/>
      <c r="Q5" s="348"/>
      <c r="R5" s="349"/>
      <c r="S5" s="1366">
        <f>INDEX(PT_DIFFERENTIATION_NUM_IST_TE,MATCH(D5,PT_DIFFERENTIATION_IST_TE_ID,0))</f>
      </c>
      <c r="T5" s="300" t="s">
        <v>616</v>
      </c>
      <c r="U5" s="288"/>
      <c r="V5" s="2101"/>
      <c r="W5" s="2102"/>
      <c r="X5" s="2102"/>
      <c r="Y5" s="2102"/>
      <c r="Z5" s="2102"/>
      <c r="AA5" s="2102"/>
      <c r="AB5" s="2102"/>
      <c r="AC5" s="2103"/>
      <c r="AD5" s="2101">
        <f>INDEX(PT_DIFFERENTIATION_IST_TE,MATCH(D5,PT_DIFFERENTIATION_IST_TE_ID,0))</f>
      </c>
      <c r="AE5" s="2102"/>
      <c r="AF5" s="2102"/>
      <c r="AG5" s="2102"/>
      <c r="AH5" s="2102"/>
      <c r="AI5" s="2102"/>
      <c r="AJ5" s="2102"/>
      <c r="AK5" s="2102"/>
      <c r="AL5" s="2103"/>
      <c r="AM5" s="1286" t="s">
        <v>617</v>
      </c>
      <c r="AO5" s="506"/>
      <c r="AP5" s="506" t="str">
        <f>IF(T5="","",T5)</f>
        <v>Источник тепловой энергии  </v>
      </c>
      <c r="AQ5" s="506"/>
      <c r="AR5" s="506"/>
    </row>
    <row customHeight="1" ht="14.25" hidden="1">
      <c r="A6" s="1393"/>
      <c r="B6" s="1393"/>
      <c r="C6" s="1393"/>
      <c r="D6" s="1393"/>
      <c r="E6" s="2108"/>
      <c r="F6" s="2108"/>
      <c r="G6" s="2108"/>
      <c r="H6" s="2108"/>
      <c r="I6" s="2109">
        <f>S5&amp;".1"</f>
      </c>
      <c r="J6" s="1393"/>
      <c r="K6" s="1393"/>
      <c r="L6" s="1394" t="s">
        <v>618</v>
      </c>
      <c r="M6" s="543"/>
      <c r="P6" s="2111">
        <v>1</v>
      </c>
      <c r="Q6" s="1361"/>
      <c r="R6" s="352"/>
      <c r="S6" s="1049"/>
      <c r="T6" s="1413"/>
      <c r="U6" s="1414"/>
      <c r="V6" s="2147"/>
      <c r="W6" s="2148"/>
      <c r="X6" s="2148"/>
      <c r="Y6" s="2148"/>
      <c r="Z6" s="2148"/>
      <c r="AA6" s="2148"/>
      <c r="AB6" s="2148"/>
      <c r="AC6" s="2149"/>
      <c r="AD6" s="2147"/>
      <c r="AE6" s="2148"/>
      <c r="AF6" s="2148"/>
      <c r="AG6" s="2148"/>
      <c r="AH6" s="2148"/>
      <c r="AI6" s="2148"/>
      <c r="AJ6" s="2148"/>
      <c r="AK6" s="2148"/>
      <c r="AL6" s="2149"/>
      <c r="AM6" s="1415"/>
      <c r="AO6" s="506"/>
      <c r="AP6" s="506" t="str">
        <f>IF(T6="","",T6)</f>
        <v/>
      </c>
      <c r="AQ6" s="506"/>
      <c r="AR6" s="506"/>
    </row>
    <row customHeight="1" ht="21" hidden="1">
      <c r="A7" s="1393"/>
      <c r="B7" s="1393"/>
      <c r="C7" s="1393"/>
      <c r="D7" s="1393"/>
      <c r="E7" s="2108"/>
      <c r="F7" s="2108"/>
      <c r="G7" s="2108"/>
      <c r="H7" s="2108"/>
      <c r="I7" s="2110"/>
      <c r="J7" s="2109">
        <f>I6&amp;".1"</f>
      </c>
      <c r="K7" s="1393"/>
      <c r="L7" s="1394" t="s">
        <v>621</v>
      </c>
      <c r="M7" s="543"/>
      <c r="N7" s="1396"/>
      <c r="P7" s="2111"/>
      <c r="Q7" s="2111">
        <v>1</v>
      </c>
      <c r="R7" s="353"/>
      <c r="S7" s="1366">
        <f>$J7</f>
      </c>
      <c r="T7" s="274" t="s">
        <v>622</v>
      </c>
      <c r="U7" s="288"/>
      <c r="V7" s="2095"/>
      <c r="W7" s="2096"/>
      <c r="X7" s="2096"/>
      <c r="Y7" s="2096"/>
      <c r="Z7" s="2096"/>
      <c r="AA7" s="2096"/>
      <c r="AB7" s="2096"/>
      <c r="AC7" s="2097"/>
      <c r="AD7" s="2095"/>
      <c r="AE7" s="2096"/>
      <c r="AF7" s="2096"/>
      <c r="AG7" s="2096"/>
      <c r="AH7" s="2096"/>
      <c r="AI7" s="2096"/>
      <c r="AJ7" s="2096"/>
      <c r="AK7" s="2096"/>
      <c r="AL7" s="2097"/>
      <c r="AM7" s="1286" t="s">
        <v>623</v>
      </c>
      <c r="AO7" s="506"/>
      <c r="AP7" s="506" t="str">
        <f>IF(T7="","",T7)</f>
        <v>Группа потребителей</v>
      </c>
      <c r="AQ7" s="506"/>
      <c r="AR7" s="506"/>
    </row>
    <row customHeight="1" ht="21" hidden="1">
      <c r="A8" s="1393"/>
      <c r="B8" s="1393"/>
      <c r="C8" s="1393"/>
      <c r="D8" s="1393"/>
      <c r="E8" s="2108"/>
      <c r="F8" s="2108"/>
      <c r="G8" s="2108"/>
      <c r="H8" s="2108"/>
      <c r="I8" s="2110"/>
      <c r="J8" s="2110"/>
      <c r="K8" s="2109">
        <f>J7&amp;".1"</f>
      </c>
      <c r="L8" s="1394" t="s">
        <v>624</v>
      </c>
      <c r="M8" s="543"/>
      <c r="N8" s="1396"/>
      <c r="O8" s="1396"/>
      <c r="P8" s="2111"/>
      <c r="Q8" s="2111"/>
      <c r="R8" s="353">
        <v>1</v>
      </c>
      <c r="S8" s="1366">
        <f>$K8</f>
      </c>
      <c r="T8" s="1377"/>
      <c r="U8" s="288"/>
      <c r="V8" s="757"/>
      <c r="W8" s="320"/>
      <c r="X8" s="757"/>
      <c r="Y8" s="1285"/>
      <c r="Z8" s="2112"/>
      <c r="AA8" s="1981" t="s">
        <v>63</v>
      </c>
      <c r="AB8" s="2112"/>
      <c r="AC8" s="1981" t="s">
        <v>63</v>
      </c>
      <c r="AD8" s="757"/>
      <c r="AE8" s="320"/>
      <c r="AF8" s="757"/>
      <c r="AG8" s="1285"/>
      <c r="AH8" s="2112"/>
      <c r="AI8" s="1981" t="s">
        <v>63</v>
      </c>
      <c r="AJ8" s="2112"/>
      <c r="AK8" s="1981" t="s">
        <v>63</v>
      </c>
      <c r="AL8" s="320"/>
      <c r="AM8" s="2137" t="s">
        <v>625</v>
      </c>
      <c r="AN8" s="517">
        <f>STRCHECKDATE(V9:AL9)</f>
      </c>
      <c r="AO8" s="506"/>
      <c r="AP8" s="506" t="str">
        <f>IF(T8="","",T8)</f>
        <v/>
      </c>
      <c r="AQ8" s="506"/>
      <c r="AR8" s="506"/>
    </row>
    <row customHeight="1" ht="14.25" hidden="1">
      <c r="A9" s="1393"/>
      <c r="B9" s="1393"/>
      <c r="C9" s="1393"/>
      <c r="D9" s="1393"/>
      <c r="E9" s="2108"/>
      <c r="F9" s="2108"/>
      <c r="G9" s="2108"/>
      <c r="H9" s="2108"/>
      <c r="I9" s="2110"/>
      <c r="J9" s="2110"/>
      <c r="K9" s="2109"/>
      <c r="L9" s="1394"/>
      <c r="M9" s="543"/>
      <c r="N9" s="1396"/>
      <c r="O9" s="1396"/>
      <c r="P9" s="2111"/>
      <c r="Q9" s="2111"/>
      <c r="R9" s="353"/>
      <c r="S9" s="1372"/>
      <c r="T9" s="288"/>
      <c r="U9" s="288"/>
      <c r="V9" s="320"/>
      <c r="W9" s="320"/>
      <c r="X9" s="320"/>
      <c r="Y9" s="324" t="str">
        <f>Z8&amp;"-"&amp;AB8</f>
        <v>-</v>
      </c>
      <c r="Z9" s="2113"/>
      <c r="AA9" s="1981"/>
      <c r="AB9" s="2113"/>
      <c r="AC9" s="1981"/>
      <c r="AD9" s="320"/>
      <c r="AE9" s="320"/>
      <c r="AF9" s="320"/>
      <c r="AG9" s="324" t="str">
        <f>AH8&amp;"-"&amp;AJ8</f>
        <v>-</v>
      </c>
      <c r="AH9" s="2113"/>
      <c r="AI9" s="1981"/>
      <c r="AJ9" s="2113"/>
      <c r="AK9" s="1981"/>
      <c r="AL9" s="320"/>
      <c r="AM9" s="2138"/>
      <c r="AO9" s="506"/>
      <c r="AP9" s="506" t="str">
        <f>IF(T9="","",T9)</f>
        <v/>
      </c>
      <c r="AQ9" s="506"/>
      <c r="AR9" s="506"/>
    </row>
    <row customHeight="1" ht="15" hidden="1">
      <c r="A10" s="1393"/>
      <c r="B10" s="1393"/>
      <c r="C10" s="1393"/>
      <c r="D10" s="1393"/>
      <c r="E10" s="2108"/>
      <c r="F10" s="2108"/>
      <c r="G10" s="2108"/>
      <c r="H10" s="2108"/>
      <c r="I10" s="2110"/>
      <c r="J10" s="2109"/>
      <c r="K10" s="1393"/>
      <c r="L10" s="1394"/>
      <c r="M10" s="543"/>
      <c r="N10" s="1396"/>
      <c r="P10" s="2111"/>
      <c r="Q10" s="2111"/>
      <c r="R10" s="352"/>
      <c r="S10" s="1308"/>
      <c r="T10" s="275" t="s">
        <v>626</v>
      </c>
      <c r="U10" s="367"/>
      <c r="V10" s="367"/>
      <c r="W10" s="367"/>
      <c r="X10" s="367"/>
      <c r="Y10" s="367"/>
      <c r="Z10" s="367"/>
      <c r="AA10" s="367"/>
      <c r="AB10" s="367"/>
      <c r="AC10" s="367"/>
      <c r="AD10" s="367"/>
      <c r="AE10" s="367"/>
      <c r="AF10" s="367"/>
      <c r="AG10" s="367"/>
      <c r="AH10" s="367"/>
      <c r="AI10" s="367"/>
      <c r="AJ10" s="367"/>
      <c r="AK10" s="367"/>
      <c r="AL10" s="319"/>
      <c r="AM10" s="2139"/>
      <c r="AO10" s="506"/>
      <c r="AP10" s="506" t="str">
        <f>IF(T10="","",T10)</f>
        <v>Добавить вид теплоносителя (параметры теплоносителя)</v>
      </c>
      <c r="AQ10" s="506"/>
      <c r="AR10" s="506"/>
    </row>
    <row customHeight="1" ht="11.25" hidden="1">
      <c r="A11" s="1393"/>
      <c r="B11" s="1393"/>
      <c r="C11" s="1393"/>
      <c r="D11" s="1393"/>
      <c r="E11" s="2108"/>
      <c r="F11" s="2108"/>
      <c r="G11" s="2108"/>
      <c r="H11" s="2108"/>
      <c r="I11" s="2109"/>
      <c r="J11" s="1393"/>
      <c r="K11" s="1393"/>
      <c r="L11" s="1394"/>
      <c r="M11" s="543"/>
      <c r="P11" s="2111"/>
      <c r="Q11" s="1361"/>
      <c r="R11" s="352"/>
      <c r="S11" s="1308"/>
      <c r="T11" s="364" t="s">
        <v>627</v>
      </c>
      <c r="U11" s="367"/>
      <c r="V11" s="367"/>
      <c r="W11" s="367"/>
      <c r="X11" s="367"/>
      <c r="Y11" s="367"/>
      <c r="Z11" s="367"/>
      <c r="AA11" s="367"/>
      <c r="AB11" s="367"/>
      <c r="AC11" s="366"/>
      <c r="AD11" s="367"/>
      <c r="AE11" s="367"/>
      <c r="AF11" s="367"/>
      <c r="AG11" s="367"/>
      <c r="AH11" s="367"/>
      <c r="AI11" s="367"/>
      <c r="AJ11" s="367"/>
      <c r="AK11" s="366"/>
      <c r="AL11" s="367"/>
      <c r="AM11" s="291"/>
      <c r="AO11" s="506"/>
      <c r="AP11" s="506" t="str">
        <f>IF(T11="","",T11)</f>
        <v>Добавить группу потребителей</v>
      </c>
      <c r="AQ11" s="506"/>
      <c r="AR11" s="506"/>
    </row>
    <row customHeight="1" ht="14.25" hidden="1">
      <c r="A12" s="1393"/>
      <c r="B12" s="1393"/>
      <c r="C12" s="1393"/>
      <c r="D12" s="1393"/>
      <c r="E12" s="2108"/>
      <c r="F12" s="2108"/>
      <c r="G12" s="2108"/>
      <c r="H12" s="2107"/>
      <c r="I12" s="1393"/>
      <c r="J12" s="1393"/>
      <c r="K12" s="1393"/>
      <c r="L12" s="1394"/>
      <c r="M12" s="1395"/>
      <c r="N12" s="1395"/>
      <c r="O12" s="543"/>
      <c r="P12" s="356"/>
      <c r="Q12" s="376"/>
      <c r="R12" s="351"/>
      <c r="S12" s="1416"/>
      <c r="T12" s="1417"/>
      <c r="U12" s="1418"/>
      <c r="V12" s="1418"/>
      <c r="W12" s="1418"/>
      <c r="X12" s="1418"/>
      <c r="Y12" s="1418"/>
      <c r="Z12" s="1418"/>
      <c r="AA12" s="1418"/>
      <c r="AB12" s="1418"/>
      <c r="AC12" s="1418"/>
      <c r="AD12" s="1418"/>
      <c r="AE12" s="1418"/>
      <c r="AF12" s="1418"/>
      <c r="AG12" s="1418"/>
      <c r="AH12" s="1418"/>
      <c r="AI12" s="1418"/>
      <c r="AJ12" s="1418"/>
      <c r="AK12" s="1418"/>
      <c r="AL12" s="1418"/>
      <c r="AM12" s="1419"/>
      <c r="AO12" s="506"/>
      <c r="AP12" s="506" t="str">
        <f>IF(T12="","",T12)</f>
        <v/>
      </c>
      <c r="AQ12" s="506"/>
      <c r="AR12" s="506"/>
    </row>
    <row s="3314" customFormat="1" customHeight="1" ht="14.25" hidden="1">
      <c r="A13" s="1344"/>
      <c r="B13" s="1344"/>
      <c r="C13" s="1344"/>
      <c r="D13" s="1344"/>
      <c r="E13" s="2108"/>
      <c r="F13" s="2108"/>
      <c r="G13" s="2107"/>
      <c r="H13" s="1344"/>
      <c r="I13" s="1344"/>
      <c r="J13" s="1344"/>
      <c r="K13" s="1344"/>
      <c r="L13" s="1369"/>
      <c r="M13" s="1345"/>
      <c r="N13" s="1345"/>
      <c r="P13" s="1346"/>
      <c r="Q13" s="1347"/>
      <c r="R13" s="1346"/>
      <c r="S13" s="1348"/>
      <c r="T13" s="1349" t="s">
        <v>254</v>
      </c>
      <c r="U13" s="1350"/>
      <c r="V13" s="1350"/>
      <c r="W13" s="1350"/>
      <c r="X13" s="1350"/>
      <c r="Y13" s="1350"/>
      <c r="Z13" s="1350"/>
      <c r="AA13" s="1350"/>
      <c r="AB13" s="1350"/>
      <c r="AC13" s="1350"/>
      <c r="AD13" s="1350"/>
      <c r="AE13" s="1350"/>
      <c r="AF13" s="1350"/>
      <c r="AG13" s="1350"/>
      <c r="AH13" s="1350"/>
      <c r="AI13" s="1350"/>
      <c r="AJ13" s="1350"/>
      <c r="AK13" s="1350"/>
      <c r="AL13" s="1350"/>
      <c r="AM13" s="1350"/>
      <c r="AO13" s="795"/>
      <c r="AP13" s="795" t="str">
        <f>IF(T13="","",T13)</f>
        <v>Добавить источник для дифференциации</v>
      </c>
      <c r="AQ13" s="795"/>
      <c r="AR13" s="795"/>
    </row>
    <row s="3314" customFormat="1" customHeight="1" ht="14.25" hidden="1">
      <c r="A14" s="1344"/>
      <c r="B14" s="1344"/>
      <c r="C14" s="1344"/>
      <c r="D14" s="1344"/>
      <c r="E14" s="2108"/>
      <c r="F14" s="2107"/>
      <c r="G14" s="1344"/>
      <c r="H14" s="1344"/>
      <c r="I14" s="1344"/>
      <c r="J14" s="1344"/>
      <c r="K14" s="1344"/>
      <c r="L14" s="1369"/>
      <c r="M14" s="1351"/>
      <c r="N14" s="1351"/>
      <c r="P14" s="1346"/>
      <c r="Q14" s="1347"/>
      <c r="R14" s="1346"/>
      <c r="S14" s="1352"/>
      <c r="T14" s="1353" t="s">
        <v>255</v>
      </c>
      <c r="U14" s="1354"/>
      <c r="V14" s="1354"/>
      <c r="W14" s="1354"/>
      <c r="X14" s="1354"/>
      <c r="Y14" s="1354"/>
      <c r="Z14" s="1354"/>
      <c r="AA14" s="1354"/>
      <c r="AB14" s="1354"/>
      <c r="AC14" s="1354"/>
      <c r="AD14" s="1354"/>
      <c r="AE14" s="1354"/>
      <c r="AF14" s="1354"/>
      <c r="AG14" s="1354"/>
      <c r="AH14" s="1354"/>
      <c r="AI14" s="1354"/>
      <c r="AJ14" s="1354"/>
      <c r="AK14" s="1354"/>
      <c r="AL14" s="1354"/>
      <c r="AM14" s="1354"/>
      <c r="AO14" s="795"/>
      <c r="AP14" s="795" t="str">
        <f>IF(T14="","",T14)</f>
        <v>Добавить централизованную систему для дифференциации</v>
      </c>
      <c r="AQ14" s="795"/>
      <c r="AR14" s="795"/>
    </row>
    <row s="3314" customFormat="1" customHeight="1" ht="14.25" hidden="1">
      <c r="A15" s="1344"/>
      <c r="B15" s="1344"/>
      <c r="C15" s="1344"/>
      <c r="D15" s="1344"/>
      <c r="E15" s="2107"/>
      <c r="F15" s="1344"/>
      <c r="G15" s="1344"/>
      <c r="H15" s="1344"/>
      <c r="I15" s="1344"/>
      <c r="J15" s="1344"/>
      <c r="K15" s="1344"/>
      <c r="L15" s="1369"/>
      <c r="M15" s="1351"/>
      <c r="N15" s="1351"/>
      <c r="P15" s="1346"/>
      <c r="Q15" s="1347"/>
      <c r="R15" s="1346"/>
      <c r="S15" s="1352"/>
      <c r="T15" s="1355" t="s">
        <v>329</v>
      </c>
      <c r="U15" s="1354"/>
      <c r="V15" s="1354"/>
      <c r="W15" s="1354"/>
      <c r="X15" s="1354"/>
      <c r="Y15" s="1354"/>
      <c r="Z15" s="1354"/>
      <c r="AA15" s="1354"/>
      <c r="AB15" s="1354"/>
      <c r="AC15" s="1354"/>
      <c r="AD15" s="1354"/>
      <c r="AE15" s="1354"/>
      <c r="AF15" s="1354"/>
      <c r="AG15" s="1354"/>
      <c r="AH15" s="1354"/>
      <c r="AI15" s="1354"/>
      <c r="AJ15" s="1354"/>
      <c r="AK15" s="1354"/>
      <c r="AL15" s="1354"/>
      <c r="AM15" s="1354"/>
      <c r="AO15" s="795"/>
      <c r="AP15" s="795" t="str">
        <f>IF(T15="","",T15)</f>
        <v>Добавить территорию для дифференциации</v>
      </c>
      <c r="AQ15" s="795"/>
      <c r="AR15" s="795"/>
    </row>
    <row customHeight="1" ht="14.25" hidden="1">
      <c r="AC16" s="323"/>
      <c r="AK16" s="323"/>
    </row>
    <row customHeight="1" ht="14.25" hidden="1">
      <c r="AD17" s="1390"/>
      <c r="AE17" s="1390"/>
      <c r="AF17" s="1390"/>
      <c r="AG17" s="1391"/>
      <c r="AH17" s="2105"/>
      <c r="AI17" s="2104" t="s">
        <v>63</v>
      </c>
      <c r="AJ17" s="2105"/>
      <c r="AK17" s="2104" t="s">
        <v>63</v>
      </c>
    </row>
    <row customHeight="1" ht="14.25" hidden="1">
      <c r="AD18" s="1390"/>
      <c r="AE18" s="1390"/>
      <c r="AF18" s="1390"/>
      <c r="AG18" s="324" t="str">
        <f>AH17&amp;"-"&amp;AJ17</f>
        <v>-</v>
      </c>
      <c r="AH18" s="2104"/>
      <c r="AI18" s="2104"/>
      <c r="AJ18" s="2104"/>
      <c r="AK18" s="2104"/>
    </row>
    <row customHeight="1" ht="14.25" hidden="1">
      <c r="AK19" s="323"/>
    </row>
    <row s="2683" customFormat="1" customHeight="1" ht="22.5" hidden="1">
      <c r="L20" s="1359"/>
      <c r="M20" s="1392"/>
      <c r="N20" s="1392"/>
      <c r="O20" s="1397" t="s">
        <v>629</v>
      </c>
      <c r="P20" s="1392"/>
      <c r="Q20" s="1401"/>
      <c r="R20" s="1401"/>
      <c r="S20" s="735"/>
      <c r="Z20" s="1397"/>
      <c r="AB20" s="1397"/>
      <c r="AC20" s="1396"/>
      <c r="AH20" s="1397"/>
      <c r="AJ20" s="1397"/>
      <c r="AK20" s="1396"/>
      <c r="AN20" s="517"/>
      <c r="AO20" s="517"/>
      <c r="AP20" s="517"/>
      <c r="AQ20" s="517"/>
      <c r="AR20" s="517"/>
    </row>
    <row s="2683" customFormat="1" customHeight="1" ht="14.25" hidden="1">
      <c r="L21" s="1359"/>
      <c r="M21" s="1392"/>
      <c r="N21" s="1392"/>
      <c r="O21" s="1392"/>
      <c r="P21" s="1392"/>
      <c r="Q21" s="1401"/>
      <c r="R21" s="1401"/>
      <c r="S21" s="735"/>
      <c r="AC21" s="1396"/>
      <c r="AK21" s="1396"/>
      <c r="AN21" s="517"/>
      <c r="AO21" s="517"/>
      <c r="AP21" s="517"/>
      <c r="AQ21" s="517"/>
      <c r="AR21" s="517"/>
    </row>
    <row s="2683" customFormat="1" customHeight="1" ht="14.25" hidden="1">
      <c r="L22" s="1359"/>
      <c r="M22" s="1392"/>
      <c r="N22" s="1392"/>
      <c r="O22" s="1394" t="s">
        <v>630</v>
      </c>
      <c r="P22" s="1392"/>
      <c r="Q22" s="1401"/>
      <c r="R22" s="1401"/>
      <c r="S22" s="735"/>
      <c r="T22" s="1168" t="s">
        <v>631</v>
      </c>
      <c r="AA22" s="172" t="s">
        <v>632</v>
      </c>
      <c r="AC22" s="172" t="s">
        <v>633</v>
      </c>
      <c r="AD22" s="1168" t="s">
        <v>631</v>
      </c>
      <c r="AI22" s="172" t="s">
        <v>634</v>
      </c>
      <c r="AK22" s="172" t="s">
        <v>633</v>
      </c>
      <c r="AN22" s="517"/>
      <c r="AO22" s="517"/>
      <c r="AP22" s="517"/>
      <c r="AQ22" s="517"/>
      <c r="AR22" s="517"/>
    </row>
    <row customHeight="1" ht="14.25" hidden="1">
      <c r="O23" s="1394"/>
    </row>
    <row customHeight="1" ht="14.25" hidden="1">
      <c r="O24" s="1394"/>
    </row>
    <row customHeight="1" ht="14.25">
      <c r="Q25" s="377"/>
      <c r="R25" s="377"/>
      <c r="S25" s="1305"/>
      <c r="T25" s="361"/>
      <c r="U25" s="361"/>
      <c r="V25" s="515"/>
      <c r="W25" s="515"/>
      <c r="X25" s="515"/>
      <c r="Y25" s="515"/>
      <c r="Z25" s="515"/>
      <c r="AA25" s="515"/>
      <c r="AB25" s="515"/>
      <c r="AC25" s="515"/>
      <c r="AD25" s="515"/>
      <c r="AE25" s="515"/>
      <c r="AF25" s="515"/>
      <c r="AG25" s="515"/>
      <c r="AH25" s="515"/>
      <c r="AI25" s="515"/>
      <c r="AJ25" s="515"/>
      <c r="AK25" s="515"/>
    </row>
    <row customHeight="1" ht="51.75">
      <c r="Q26" s="377"/>
      <c r="R26" s="377"/>
      <c r="S26" s="215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51"/>
      <c r="U26" s="2151"/>
      <c r="V26" s="2151"/>
      <c r="W26" s="2151"/>
      <c r="X26" s="2151"/>
      <c r="Y26" s="2151"/>
      <c r="Z26" s="2151"/>
      <c r="AA26" s="2151"/>
      <c r="AB26" s="2151"/>
      <c r="AC26" s="2151"/>
      <c r="AD26" s="2151"/>
      <c r="AE26" s="2151"/>
      <c r="AF26" s="2151"/>
      <c r="AG26" s="2151"/>
      <c r="AH26" s="2151"/>
      <c r="AI26" s="2151"/>
      <c r="AJ26" s="2151"/>
      <c r="AK26" s="1261"/>
    </row>
    <row customHeight="1" ht="14.25">
      <c r="Q27" s="377"/>
      <c r="R27" s="377"/>
      <c r="S27" s="2141" t="str">
        <f>IF(org=0,"Не определено",org)</f>
        <v>АО "Мурманэнергосбыт"</v>
      </c>
      <c r="T27" s="2141"/>
      <c r="U27" s="2141"/>
      <c r="V27" s="2141"/>
      <c r="W27" s="2141"/>
      <c r="X27" s="2141"/>
      <c r="Y27" s="2141"/>
      <c r="Z27" s="2141"/>
      <c r="AA27" s="2141"/>
      <c r="AB27" s="2141"/>
      <c r="AC27" s="2141"/>
      <c r="AD27" s="2141"/>
      <c r="AE27" s="2141"/>
      <c r="AF27" s="2141"/>
      <c r="AG27" s="2141"/>
      <c r="AH27" s="2141"/>
      <c r="AI27" s="2141"/>
      <c r="AJ27" s="2141"/>
      <c r="AK27" s="1261"/>
    </row>
    <row customHeight="1" ht="14.25">
      <c r="Q28" s="377"/>
      <c r="R28" s="377"/>
      <c r="S28" s="1305"/>
      <c r="T28" s="361"/>
      <c r="U28" s="361"/>
      <c r="V28" s="316"/>
      <c r="W28" s="316"/>
      <c r="X28" s="316"/>
      <c r="Y28" s="316"/>
      <c r="Z28" s="316"/>
      <c r="AA28" s="316"/>
      <c r="AB28" s="316"/>
      <c r="AC28" s="316"/>
      <c r="AD28" s="316"/>
      <c r="AE28" s="316"/>
      <c r="AF28" s="316"/>
      <c r="AG28" s="316"/>
      <c r="AH28" s="316"/>
      <c r="AI28" s="316"/>
      <c r="AJ28" s="316"/>
      <c r="AK28" s="316"/>
      <c r="AL28" s="515"/>
    </row>
    <row s="3345" customFormat="1" customHeight="1" ht="25.5">
      <c r="A29" s="1398"/>
      <c r="B29" s="1398"/>
      <c r="C29" s="1398"/>
      <c r="D29" s="1398"/>
      <c r="E29" s="1398"/>
      <c r="F29" s="1398"/>
      <c r="G29" s="1398"/>
      <c r="H29" s="1398"/>
      <c r="I29" s="1398"/>
      <c r="J29" s="1398"/>
      <c r="K29" s="1398"/>
      <c r="L29" s="1399"/>
      <c r="M29" s="1398"/>
      <c r="N29" s="1398"/>
      <c r="O29" s="1398"/>
      <c r="S29" s="2098" t="s">
        <v>38</v>
      </c>
      <c r="T29" s="2098"/>
      <c r="U29" s="1402"/>
      <c r="V29" s="2100" t="str">
        <f>IF(TITLE_NAME_OR_PR_CHANGE="",IF(TITLE_NAME_OR_PR="","",TITLE_NAME_OR_PR),TITLE_NAME_OR_PR_CHANGE)</f>
        <v>Комитет по тарифному регулированию Мурманской области</v>
      </c>
      <c r="W29" s="2100"/>
      <c r="X29" s="2100"/>
      <c r="Y29" s="2100"/>
      <c r="Z29" s="2100"/>
      <c r="AA29" s="2100"/>
      <c r="AB29" s="2100"/>
      <c r="AC29" s="322"/>
      <c r="AD29" s="2100" t="str">
        <f>IF(TITLE_NAME_OR_PR_CHANGE="",IF(TITLE_NAME_OR_PR="","",TITLE_NAME_OR_PR),TITLE_NAME_OR_PR_CHANGE)</f>
        <v>Комитет по тарифному регулированию Мурманской области</v>
      </c>
      <c r="AE29" s="2100"/>
      <c r="AF29" s="2100"/>
      <c r="AG29" s="2100"/>
      <c r="AH29" s="2100"/>
      <c r="AI29" s="2100"/>
      <c r="AJ29" s="2100"/>
      <c r="AK29" s="322"/>
      <c r="AL29" s="322"/>
      <c r="AM29" s="268"/>
      <c r="AN29" s="368"/>
      <c r="AO29" s="368"/>
      <c r="AP29" s="368"/>
      <c r="AQ29" s="368"/>
      <c r="AR29" s="368"/>
    </row>
    <row s="3345" customFormat="1" customHeight="1" ht="18.75">
      <c r="A30" s="1398"/>
      <c r="B30" s="1398"/>
      <c r="C30" s="1398"/>
      <c r="D30" s="1398"/>
      <c r="E30" s="1398"/>
      <c r="F30" s="1398"/>
      <c r="G30" s="1398"/>
      <c r="H30" s="1398"/>
      <c r="I30" s="1398"/>
      <c r="J30" s="1398"/>
      <c r="K30" s="1398"/>
      <c r="L30" s="1399"/>
      <c r="M30" s="1398"/>
      <c r="N30" s="1398"/>
      <c r="O30" s="1398"/>
      <c r="S30" s="2098" t="s">
        <v>635</v>
      </c>
      <c r="T30" s="2098"/>
      <c r="U30" s="1402"/>
      <c r="V30" s="2099" t="str">
        <f>IF(TITLE_DATE_PR_CHANGE="",IF(TITLE_DATE_PR="","",TITLE_DATE_PR),TITLE_DATE_PR_CHANGE)</f>
        <v>45205</v>
      </c>
      <c r="W30" s="2099"/>
      <c r="X30" s="2099"/>
      <c r="Y30" s="2099"/>
      <c r="Z30" s="2099"/>
      <c r="AA30" s="2099"/>
      <c r="AB30" s="2099"/>
      <c r="AC30" s="322"/>
      <c r="AD30" s="2099" t="str">
        <f>IF(TITLE_DATE_PR_CHANGE="",IF(TITLE_DATE_PR="","",TITLE_DATE_PR),TITLE_DATE_PR_CHANGE)</f>
        <v>45205</v>
      </c>
      <c r="AE30" s="2099"/>
      <c r="AF30" s="2099"/>
      <c r="AG30" s="2099"/>
      <c r="AH30" s="2099"/>
      <c r="AI30" s="2099"/>
      <c r="AJ30" s="2099"/>
      <c r="AK30" s="322"/>
      <c r="AL30" s="322"/>
      <c r="AM30" s="268"/>
      <c r="AN30" s="368"/>
      <c r="AO30" s="368"/>
      <c r="AP30" s="368"/>
      <c r="AQ30" s="368"/>
      <c r="AR30" s="368"/>
    </row>
    <row s="3345" customFormat="1" customHeight="1" ht="18.75">
      <c r="A31" s="1398"/>
      <c r="B31" s="1398"/>
      <c r="C31" s="1398"/>
      <c r="D31" s="1398"/>
      <c r="E31" s="1398"/>
      <c r="F31" s="1398"/>
      <c r="G31" s="1398"/>
      <c r="H31" s="1398"/>
      <c r="I31" s="1398"/>
      <c r="J31" s="1398"/>
      <c r="K31" s="1398"/>
      <c r="L31" s="1399"/>
      <c r="M31" s="1398"/>
      <c r="N31" s="1398"/>
      <c r="O31" s="1398"/>
      <c r="S31" s="2098" t="s">
        <v>636</v>
      </c>
      <c r="T31" s="2098"/>
      <c r="U31" s="1402"/>
      <c r="V31" s="2100" t="str">
        <f>IF(TITLE_NUMBER_PR_CHANGE="",IF(TITLE_NUMBER_PR="","",TITLE_NUMBER_PR),TITLE_NUMBER_PR_CHANGE)</f>
        <v>36/2</v>
      </c>
      <c r="W31" s="2100"/>
      <c r="X31" s="2100"/>
      <c r="Y31" s="2100"/>
      <c r="Z31" s="2100"/>
      <c r="AA31" s="2100"/>
      <c r="AB31" s="2100"/>
      <c r="AC31" s="322"/>
      <c r="AD31" s="2100" t="str">
        <f>IF(TITLE_NUMBER_PR_CHANGE="",IF(TITLE_NUMBER_PR="","",TITLE_NUMBER_PR),TITLE_NUMBER_PR_CHANGE)</f>
        <v>36/2</v>
      </c>
      <c r="AE31" s="2100"/>
      <c r="AF31" s="2100"/>
      <c r="AG31" s="2100"/>
      <c r="AH31" s="2100"/>
      <c r="AI31" s="2100"/>
      <c r="AJ31" s="2100"/>
      <c r="AK31" s="322"/>
      <c r="AL31" s="322"/>
      <c r="AM31" s="268"/>
      <c r="AN31" s="368"/>
      <c r="AO31" s="368"/>
      <c r="AP31" s="368"/>
      <c r="AQ31" s="368"/>
      <c r="AR31" s="368"/>
    </row>
    <row s="3345" customFormat="1" customHeight="1" ht="18.75">
      <c r="A32" s="1398"/>
      <c r="B32" s="1398"/>
      <c r="C32" s="1398"/>
      <c r="D32" s="1398"/>
      <c r="E32" s="1398"/>
      <c r="F32" s="1398"/>
      <c r="G32" s="1398"/>
      <c r="H32" s="1398"/>
      <c r="I32" s="1398"/>
      <c r="J32" s="1398"/>
      <c r="K32" s="1398"/>
      <c r="L32" s="1399"/>
      <c r="M32" s="1398"/>
      <c r="N32" s="1398"/>
      <c r="O32" s="1398"/>
      <c r="S32" s="2098" t="s">
        <v>40</v>
      </c>
      <c r="T32" s="2098"/>
      <c r="U32" s="1402"/>
      <c r="V32" s="2100" t="str">
        <f>IF(TITLE_IST_PUB_CHANGE="",IF(TITLE_IST_PUB="","",TITLE_IST_PUB),TITLE_IST_PUB_CHANGE)</f>
        <v>https://npa.gov-murman.ru/bitrix/components/b1team/govmurman.element.file/download.php?ID=495002&amp;FID=732763</v>
      </c>
      <c r="W32" s="2100"/>
      <c r="X32" s="2100"/>
      <c r="Y32" s="2100"/>
      <c r="Z32" s="2100"/>
      <c r="AA32" s="2100"/>
      <c r="AB32" s="2100"/>
      <c r="AC32" s="322"/>
      <c r="AD32" s="2100" t="str">
        <f>IF(TITLE_IST_PUB_CHANGE="",IF(TITLE_IST_PUB="","",TITLE_IST_PUB),TITLE_IST_PUB_CHANGE)</f>
        <v>https://npa.gov-murman.ru/bitrix/components/b1team/govmurman.element.file/download.php?ID=495002&amp;FID=732763</v>
      </c>
      <c r="AE32" s="2100"/>
      <c r="AF32" s="2100"/>
      <c r="AG32" s="2100"/>
      <c r="AH32" s="2100"/>
      <c r="AI32" s="2100"/>
      <c r="AJ32" s="2100"/>
      <c r="AK32" s="322"/>
      <c r="AL32" s="322"/>
      <c r="AM32" s="268"/>
      <c r="AN32" s="368"/>
      <c r="AO32" s="368"/>
      <c r="AP32" s="368"/>
      <c r="AQ32" s="368"/>
      <c r="AR32" s="368"/>
    </row>
    <row customHeight="1" ht="14.25" hidden="1">
      <c r="Q33" s="377"/>
      <c r="R33" s="377"/>
      <c r="S33" s="1305"/>
      <c r="T33" s="361"/>
      <c r="U33" s="361"/>
      <c r="V33" s="316"/>
      <c r="W33" s="316"/>
      <c r="X33" s="316"/>
      <c r="Y33" s="316"/>
      <c r="Z33" s="316"/>
      <c r="AA33" s="316"/>
      <c r="AB33" s="316"/>
      <c r="AC33" s="316"/>
      <c r="AD33" s="316"/>
      <c r="AE33" s="316"/>
      <c r="AF33" s="316"/>
      <c r="AG33" s="316"/>
      <c r="AH33" s="316"/>
      <c r="AI33" s="316"/>
      <c r="AJ33" s="316"/>
      <c r="AK33" s="316"/>
      <c r="AL33" s="515"/>
    </row>
    <row s="3345" customFormat="1" customHeight="1" ht="18.75" hidden="1">
      <c r="A34" s="1398"/>
      <c r="B34" s="1398"/>
      <c r="C34" s="1398"/>
      <c r="D34" s="1398"/>
      <c r="E34" s="1398"/>
      <c r="F34" s="1398"/>
      <c r="G34" s="1398"/>
      <c r="H34" s="1398"/>
      <c r="I34" s="1398"/>
      <c r="J34" s="1398"/>
      <c r="K34" s="1398"/>
      <c r="L34" s="1399"/>
      <c r="M34" s="1398"/>
      <c r="N34" s="1398"/>
      <c r="O34" s="1398"/>
      <c r="S34" s="2098" t="s">
        <v>637</v>
      </c>
      <c r="T34" s="2098"/>
      <c r="U34" s="1402"/>
      <c r="V34" s="2099" t="str">
        <f>IF(TITLE_DATE_PR_CHANGE="",IF(TITLE_DATE_PR="","",TITLE_DATE_PR),TITLE_DATE_PR_CHANGE)</f>
        <v>45205</v>
      </c>
      <c r="W34" s="2099"/>
      <c r="X34" s="2099"/>
      <c r="Y34" s="2099"/>
      <c r="Z34" s="2099"/>
      <c r="AA34" s="2099"/>
      <c r="AB34" s="2099"/>
      <c r="AC34" s="322"/>
      <c r="AD34" s="2099" t="str">
        <f>IF(TITLE_DATE_PR_CHANGE="",IF(TITLE_DATE_PR="","",TITLE_DATE_PR),TITLE_DATE_PR_CHANGE)</f>
        <v>45205</v>
      </c>
      <c r="AE34" s="2099"/>
      <c r="AF34" s="2099"/>
      <c r="AG34" s="2099"/>
      <c r="AH34" s="2099"/>
      <c r="AI34" s="2099"/>
      <c r="AJ34" s="2099"/>
      <c r="AK34" s="322"/>
      <c r="AL34" s="322"/>
      <c r="AM34" s="268"/>
      <c r="AN34" s="368"/>
      <c r="AO34" s="368"/>
      <c r="AP34" s="368"/>
      <c r="AQ34" s="368"/>
      <c r="AR34" s="368"/>
    </row>
    <row s="3345" customFormat="1" customHeight="1" ht="18.75" hidden="1">
      <c r="A35" s="1398"/>
      <c r="B35" s="1398"/>
      <c r="C35" s="1398"/>
      <c r="D35" s="1398"/>
      <c r="E35" s="1398"/>
      <c r="F35" s="1398"/>
      <c r="G35" s="1398"/>
      <c r="H35" s="1398"/>
      <c r="I35" s="1398"/>
      <c r="J35" s="1398"/>
      <c r="K35" s="1398"/>
      <c r="L35" s="1399"/>
      <c r="M35" s="1398"/>
      <c r="N35" s="1398"/>
      <c r="O35" s="1398"/>
      <c r="S35" s="2098" t="s">
        <v>638</v>
      </c>
      <c r="T35" s="2098"/>
      <c r="U35" s="1402"/>
      <c r="V35" s="2100" t="str">
        <f>IF(TITLE_NUMBER_PR_CHANGE="",IF(TITLE_NUMBER_PR="","",TITLE_NUMBER_PR),TITLE_NUMBER_PR_CHANGE)</f>
        <v>36/2</v>
      </c>
      <c r="W35" s="2100"/>
      <c r="X35" s="2100"/>
      <c r="Y35" s="2100"/>
      <c r="Z35" s="2100"/>
      <c r="AA35" s="2100"/>
      <c r="AB35" s="2100"/>
      <c r="AC35" s="322"/>
      <c r="AD35" s="2100" t="str">
        <f>IF(TITLE_NUMBER_PR_CHANGE="",IF(TITLE_NUMBER_PR="","",TITLE_NUMBER_PR),TITLE_NUMBER_PR_CHANGE)</f>
        <v>36/2</v>
      </c>
      <c r="AE35" s="2100"/>
      <c r="AF35" s="2100"/>
      <c r="AG35" s="2100"/>
      <c r="AH35" s="2100"/>
      <c r="AI35" s="2100"/>
      <c r="AJ35" s="2100"/>
      <c r="AK35" s="322"/>
      <c r="AL35" s="322"/>
      <c r="AM35" s="268"/>
      <c r="AN35" s="368"/>
      <c r="AO35" s="368"/>
      <c r="AP35" s="368"/>
      <c r="AQ35" s="368"/>
      <c r="AR35" s="368"/>
    </row>
    <row s="3345" customFormat="1" customHeight="1" ht="0">
      <c r="A36" s="1398"/>
      <c r="B36" s="1398"/>
      <c r="C36" s="1398"/>
      <c r="D36" s="1398"/>
      <c r="E36" s="1398"/>
      <c r="F36" s="1398"/>
      <c r="G36" s="1398"/>
      <c r="H36" s="1398"/>
      <c r="I36" s="1398"/>
      <c r="J36" s="1398"/>
      <c r="K36" s="1398"/>
      <c r="L36" s="1399"/>
      <c r="M36" s="1398"/>
      <c r="N36" s="1398"/>
      <c r="O36" s="1398"/>
      <c r="S36" s="318"/>
      <c r="T36" s="318"/>
      <c r="U36" s="1370"/>
      <c r="V36" s="322"/>
      <c r="W36" s="322"/>
      <c r="X36" s="322"/>
      <c r="Y36" s="322"/>
      <c r="Z36" s="322"/>
      <c r="AA36" s="322"/>
      <c r="AB36" s="322"/>
      <c r="AC36" s="266" t="s">
        <v>639</v>
      </c>
      <c r="AD36" s="322"/>
      <c r="AE36" s="322"/>
      <c r="AF36" s="322"/>
      <c r="AG36" s="322"/>
      <c r="AH36" s="322"/>
      <c r="AI36" s="322"/>
      <c r="AJ36" s="322"/>
      <c r="AK36" s="266" t="s">
        <v>639</v>
      </c>
      <c r="AN36" s="368"/>
      <c r="AO36" s="368"/>
      <c r="AP36" s="368"/>
      <c r="AQ36" s="368"/>
      <c r="AR36" s="368"/>
    </row>
    <row customHeight="1" ht="14.25">
      <c r="Q37" s="377"/>
      <c r="R37" s="377"/>
      <c r="S37" s="1305"/>
      <c r="T37" s="361"/>
      <c r="U37" s="1262"/>
      <c r="V37" s="2124"/>
      <c r="W37" s="2124"/>
      <c r="X37" s="2124"/>
      <c r="Y37" s="2124"/>
      <c r="Z37" s="2124"/>
      <c r="AA37" s="2124"/>
      <c r="AB37" s="2124"/>
      <c r="AC37" s="2124"/>
      <c r="AD37" s="2124"/>
      <c r="AE37" s="2124"/>
      <c r="AF37" s="2124"/>
      <c r="AG37" s="2124"/>
      <c r="AH37" s="2124"/>
      <c r="AI37" s="2124"/>
      <c r="AJ37" s="2124"/>
      <c r="AK37" s="2124"/>
    </row>
    <row customHeight="1" ht="14.25">
      <c r="Q38" s="377"/>
      <c r="R38" s="377"/>
      <c r="S38" s="1971" t="s">
        <v>513</v>
      </c>
      <c r="T38" s="1971"/>
      <c r="U38" s="1971"/>
      <c r="V38" s="1971"/>
      <c r="W38" s="1971"/>
      <c r="X38" s="1971"/>
      <c r="Y38" s="1971"/>
      <c r="Z38" s="1971"/>
      <c r="AA38" s="1971"/>
      <c r="AB38" s="1971"/>
      <c r="AC38" s="1971"/>
      <c r="AD38" s="1971"/>
      <c r="AE38" s="1971"/>
      <c r="AF38" s="1971"/>
      <c r="AG38" s="1971"/>
      <c r="AH38" s="1971"/>
      <c r="AI38" s="1971"/>
      <c r="AJ38" s="1971"/>
      <c r="AK38" s="1971"/>
      <c r="AL38" s="1971"/>
      <c r="AM38" s="1971" t="s">
        <v>514</v>
      </c>
    </row>
    <row customHeight="1" ht="14.25">
      <c r="Q39" s="377"/>
      <c r="R39" s="377"/>
      <c r="S39" s="2125" t="s">
        <v>89</v>
      </c>
      <c r="T39" s="2062" t="s">
        <v>640</v>
      </c>
      <c r="U39" s="289"/>
      <c r="V39" s="2126" t="s">
        <v>641</v>
      </c>
      <c r="W39" s="2127"/>
      <c r="X39" s="2127"/>
      <c r="Y39" s="2127"/>
      <c r="Z39" s="2127"/>
      <c r="AA39" s="2127"/>
      <c r="AB39" s="2128"/>
      <c r="AC39" s="2129" t="s">
        <v>642</v>
      </c>
      <c r="AD39" s="2126" t="s">
        <v>641</v>
      </c>
      <c r="AE39" s="2127"/>
      <c r="AF39" s="2127"/>
      <c r="AG39" s="2127"/>
      <c r="AH39" s="2127"/>
      <c r="AI39" s="2127"/>
      <c r="AJ39" s="2128"/>
      <c r="AK39" s="2129" t="s">
        <v>643</v>
      </c>
      <c r="AL39" s="2132" t="s">
        <v>644</v>
      </c>
      <c r="AM39" s="1971"/>
    </row>
    <row customHeight="1" ht="33.75">
      <c r="Q40" s="377"/>
      <c r="R40" s="377"/>
      <c r="S40" s="2125"/>
      <c r="T40" s="2062"/>
      <c r="U40" s="1038"/>
      <c r="V40" s="2135" t="s">
        <v>645</v>
      </c>
      <c r="W40" s="2116"/>
      <c r="X40" s="2118" t="s">
        <v>647</v>
      </c>
      <c r="Y40" s="2120"/>
      <c r="Z40" s="2118" t="s">
        <v>648</v>
      </c>
      <c r="AA40" s="2119"/>
      <c r="AB40" s="2120"/>
      <c r="AC40" s="2130"/>
      <c r="AD40" s="2135" t="s">
        <v>645</v>
      </c>
      <c r="AE40" s="2116"/>
      <c r="AF40" s="2118" t="s">
        <v>647</v>
      </c>
      <c r="AG40" s="2120"/>
      <c r="AH40" s="2118" t="s">
        <v>648</v>
      </c>
      <c r="AI40" s="2119"/>
      <c r="AJ40" s="2120"/>
      <c r="AK40" s="2130"/>
      <c r="AL40" s="2133"/>
      <c r="AM40" s="1971"/>
    </row>
    <row customHeight="1" ht="33.75">
      <c r="A41" s="1400"/>
      <c r="B41" s="1400" t="s">
        <v>216</v>
      </c>
      <c r="C41" s="1400" t="s">
        <v>217</v>
      </c>
      <c r="D41" s="1400" t="s">
        <v>218</v>
      </c>
      <c r="E41" s="1394" t="s">
        <v>649</v>
      </c>
      <c r="F41" s="1394" t="s">
        <v>650</v>
      </c>
      <c r="G41" s="1394" t="s">
        <v>651</v>
      </c>
      <c r="H41" s="1394" t="s">
        <v>652</v>
      </c>
      <c r="I41" s="1394" t="s">
        <v>653</v>
      </c>
      <c r="J41" s="1394" t="s">
        <v>654</v>
      </c>
      <c r="K41" s="1394" t="s">
        <v>655</v>
      </c>
      <c r="L41" s="1394" t="s">
        <v>630</v>
      </c>
      <c r="Q41" s="377"/>
      <c r="R41" s="377"/>
      <c r="S41" s="2125"/>
      <c r="T41" s="2062"/>
      <c r="U41" s="290"/>
      <c r="V41" s="2136"/>
      <c r="W41" s="2117"/>
      <c r="X41" s="1237" t="s">
        <v>656</v>
      </c>
      <c r="Y41" s="1237" t="s">
        <v>657</v>
      </c>
      <c r="Z41" s="1368" t="s">
        <v>658</v>
      </c>
      <c r="AA41" s="2121" t="s">
        <v>659</v>
      </c>
      <c r="AB41" s="2122"/>
      <c r="AC41" s="2131"/>
      <c r="AD41" s="2136"/>
      <c r="AE41" s="2117"/>
      <c r="AF41" s="1237" t="s">
        <v>656</v>
      </c>
      <c r="AG41" s="1237" t="s">
        <v>657</v>
      </c>
      <c r="AH41" s="1368" t="s">
        <v>658</v>
      </c>
      <c r="AI41" s="2121" t="s">
        <v>659</v>
      </c>
      <c r="AJ41" s="2122"/>
      <c r="AK41" s="2131"/>
      <c r="AL41" s="2134"/>
      <c r="AM41" s="1971"/>
    </row>
    <row s="2611" customFormat="1" customHeight="1" ht="11.25" hidden="1">
      <c r="A42" s="1400"/>
      <c r="B42" s="1400"/>
      <c r="C42" s="1400"/>
      <c r="D42" s="1400"/>
      <c r="E42" s="1400"/>
      <c r="F42" s="1400"/>
      <c r="G42" s="1400"/>
      <c r="H42" s="1400"/>
      <c r="I42" s="1400"/>
      <c r="J42" s="1400"/>
      <c r="K42" s="1400"/>
      <c r="L42" s="1394"/>
      <c r="M42" s="1392"/>
      <c r="N42" s="1392"/>
      <c r="O42" s="1392"/>
      <c r="P42" s="1264"/>
      <c r="Q42" s="1265"/>
      <c r="R42" s="1280">
        <v>1</v>
      </c>
      <c r="S42" s="1307" t="s">
        <v>193</v>
      </c>
      <c r="T42" s="1281" t="s">
        <v>104</v>
      </c>
      <c r="U42" s="1263" t="str">
        <f>OFFSET(U42,0,-1)</f>
        <v>2</v>
      </c>
      <c r="V42" s="1365">
        <f>OFFSET(V42,0,-1)+1</f>
        <v>3</v>
      </c>
      <c r="W42" s="1365"/>
      <c r="X42" s="1365">
        <f>OFFSET(X42,0,-1)+1</f>
        <v>1</v>
      </c>
      <c r="Y42" s="1365">
        <f>OFFSET(Y42,0,-1)+1</f>
        <v>2</v>
      </c>
      <c r="Z42" s="1365">
        <f>OFFSET(Z42,0,-1)+1</f>
        <v>3</v>
      </c>
      <c r="AA42" s="2123">
        <f>OFFSET(AA42,0,-1)+1</f>
        <v>4</v>
      </c>
      <c r="AB42" s="2123"/>
      <c r="AC42" s="1365">
        <f>OFFSET(AC42,0,-2)+1</f>
        <v>5</v>
      </c>
      <c r="AD42" s="1365">
        <f>OFFSET(AD42,0,-1)+1</f>
        <v>6</v>
      </c>
      <c r="AE42" s="1365"/>
      <c r="AF42" s="1365">
        <f>OFFSET(AF42,0,-1)+1</f>
        <v>1</v>
      </c>
      <c r="AG42" s="1365">
        <f>OFFSET(AG42,0,-1)+1</f>
        <v>2</v>
      </c>
      <c r="AH42" s="1365">
        <f>OFFSET(AH42,0,-1)+1</f>
        <v>3</v>
      </c>
      <c r="AI42" s="2123">
        <f>OFFSET(AI42,0,-1)+1</f>
        <v>4</v>
      </c>
      <c r="AJ42" s="2123"/>
      <c r="AK42" s="1365">
        <f>OFFSET(AK42,0,-2)+1</f>
        <v>5</v>
      </c>
      <c r="AL42" s="1263">
        <f>OFFSET(AL42,0,-1)</f>
        <v>5</v>
      </c>
      <c r="AM42" s="1365">
        <f>OFFSET(AM42,0,-1)+1</f>
        <v>6</v>
      </c>
      <c r="AN42" s="517"/>
      <c r="AO42" s="517"/>
      <c r="AP42" s="517"/>
      <c r="AQ42" s="517"/>
      <c r="AR42" s="517"/>
    </row>
    <row customHeight="1" ht="21">
      <c r="A43" s="1393" t="s">
        <v>407</v>
      </c>
      <c r="B43" s="1393"/>
      <c r="C43" s="1393"/>
      <c r="D43" s="1393"/>
      <c r="E43" s="2107">
        <v>1</v>
      </c>
      <c r="F43" s="1393"/>
      <c r="G43" s="1393"/>
      <c r="H43" s="1393"/>
      <c r="I43" s="1393"/>
      <c r="J43" s="1393"/>
      <c r="K43" s="1393"/>
      <c r="L43" s="1394"/>
      <c r="M43" s="1395"/>
      <c r="N43" s="1395"/>
      <c r="O43" s="1395"/>
      <c r="P43" s="357"/>
      <c r="Q43" s="356"/>
      <c r="R43" s="351"/>
      <c r="S43" s="1366">
        <f>INDEX(PT_DIFFERENTIATION_NUM_NTAR,MATCH(A43,PT_DIFFERENTIATION_NTAR_ID,0))</f>
        <v>0</v>
      </c>
      <c r="T43" s="286" t="s">
        <v>204</v>
      </c>
      <c r="U43" s="288"/>
      <c r="V43" s="2101"/>
      <c r="W43" s="2102"/>
      <c r="X43" s="2102"/>
      <c r="Y43" s="2102"/>
      <c r="Z43" s="2102"/>
      <c r="AA43" s="2102"/>
      <c r="AB43" s="2102"/>
      <c r="AC43" s="2103"/>
      <c r="AD43" s="2101" t="str">
        <f>INDEX(PT_DIFFERENTIATION_NTAR,MATCH(A43,PT_DIFFERENTIATION_NTAR_ID,0))</f>
        <v/>
      </c>
      <c r="AE43" s="2102"/>
      <c r="AF43" s="2102"/>
      <c r="AG43" s="2102"/>
      <c r="AH43" s="2102"/>
      <c r="AI43" s="2102"/>
      <c r="AJ43" s="2102"/>
      <c r="AK43" s="2102"/>
      <c r="AL43" s="2103"/>
      <c r="AM43" s="12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6"/>
      <c r="AP43" s="506" t="str">
        <f>IF(T43="","",T43)</f>
        <v>Наименование тарифа</v>
      </c>
      <c r="AQ43" s="506"/>
      <c r="AR43" s="506"/>
    </row>
    <row customHeight="1" ht="21">
      <c r="A44" s="1393" t="s">
        <v>407</v>
      </c>
      <c r="B44" s="1393" t="s">
        <v>408</v>
      </c>
      <c r="C44" s="1393"/>
      <c r="D44" s="1393"/>
      <c r="E44" s="2108"/>
      <c r="F44" s="2107">
        <v>1</v>
      </c>
      <c r="G44" s="1393"/>
      <c r="H44" s="1393"/>
      <c r="I44" s="1393"/>
      <c r="J44" s="1393"/>
      <c r="K44" s="1393"/>
      <c r="L44" s="1394"/>
      <c r="M44" s="1395"/>
      <c r="N44" s="1395"/>
      <c r="O44" s="1395"/>
      <c r="P44" s="1362"/>
      <c r="Q44" s="348"/>
      <c r="R44" s="349"/>
      <c r="S44" s="1366" t="str">
        <f>INDEX(PT_DIFFERENTIATION_NUM_TER,MATCH(B44,PT_DIFFERENTIATION_TER_ID,0))</f>
        <v>.</v>
      </c>
      <c r="T44" s="298" t="s">
        <v>612</v>
      </c>
      <c r="U44" s="288"/>
      <c r="V44" s="2101"/>
      <c r="W44" s="2102"/>
      <c r="X44" s="2102"/>
      <c r="Y44" s="2102"/>
      <c r="Z44" s="2102"/>
      <c r="AA44" s="2102"/>
      <c r="AB44" s="2102"/>
      <c r="AC44" s="2103"/>
      <c r="AD44" s="2101" t="str">
        <f>INDEX(PT_DIFFERENTIATION_TER,MATCH(B44,PT_DIFFERENTIATION_TER_ID,0))</f>
        <v/>
      </c>
      <c r="AE44" s="2102"/>
      <c r="AF44" s="2102"/>
      <c r="AG44" s="2102"/>
      <c r="AH44" s="2102"/>
      <c r="AI44" s="2102"/>
      <c r="AJ44" s="2102"/>
      <c r="AK44" s="2102"/>
      <c r="AL44" s="2103"/>
      <c r="AM44" s="1286" t="s">
        <v>613</v>
      </c>
      <c r="AO44" s="506"/>
      <c r="AP44" s="506" t="str">
        <f>IF(T44="","",T44)</f>
        <v>Территория действия тарифа</v>
      </c>
      <c r="AQ44" s="506"/>
      <c r="AR44" s="506"/>
    </row>
    <row customHeight="1" ht="23.25">
      <c r="A45" s="1393" t="s">
        <v>407</v>
      </c>
      <c r="B45" s="1393" t="s">
        <v>408</v>
      </c>
      <c r="C45" s="1393" t="s">
        <v>409</v>
      </c>
      <c r="D45" s="1393"/>
      <c r="E45" s="2108"/>
      <c r="F45" s="2108"/>
      <c r="G45" s="2107">
        <v>1</v>
      </c>
      <c r="H45" s="1393"/>
      <c r="I45" s="1393"/>
      <c r="J45" s="1393"/>
      <c r="K45" s="1393"/>
      <c r="L45" s="1394"/>
      <c r="M45" s="1395"/>
      <c r="N45" s="1395"/>
      <c r="O45" s="1395"/>
      <c r="P45" s="350"/>
      <c r="Q45" s="348"/>
      <c r="R45" s="349"/>
      <c r="S45" s="1366" t="str">
        <f>INDEX(PT_DIFFERENTIATION_NUM_CS,MATCH(C45,PT_DIFFERENTIATION_CS_ID,0))</f>
        <v>..</v>
      </c>
      <c r="T45" s="299" t="s">
        <v>614</v>
      </c>
      <c r="U45" s="288"/>
      <c r="V45" s="2101"/>
      <c r="W45" s="2102"/>
      <c r="X45" s="2102"/>
      <c r="Y45" s="2102"/>
      <c r="Z45" s="2102"/>
      <c r="AA45" s="2102"/>
      <c r="AB45" s="2102"/>
      <c r="AC45" s="2103"/>
      <c r="AD45" s="2101" t="str">
        <f>INDEX(PT_DIFFERENTIATION_CS,MATCH(C45,PT_DIFFERENTIATION_CS_ID,0))</f>
        <v/>
      </c>
      <c r="AE45" s="2102"/>
      <c r="AF45" s="2102"/>
      <c r="AG45" s="2102"/>
      <c r="AH45" s="2102"/>
      <c r="AI45" s="2102"/>
      <c r="AJ45" s="2102"/>
      <c r="AK45" s="2102"/>
      <c r="AL45" s="2103"/>
      <c r="AM45" s="1286" t="s">
        <v>615</v>
      </c>
      <c r="AO45" s="506"/>
      <c r="AP45" s="506" t="str">
        <f>IF(T45="","",T45)</f>
        <v>Наименование системы теплоснабжения </v>
      </c>
      <c r="AQ45" s="506"/>
      <c r="AR45" s="506"/>
    </row>
    <row customHeight="1" ht="21">
      <c r="A46" s="1393" t="s">
        <v>407</v>
      </c>
      <c r="B46" s="1393" t="s">
        <v>408</v>
      </c>
      <c r="C46" s="1393" t="s">
        <v>409</v>
      </c>
      <c r="D46" s="1393" t="s">
        <v>410</v>
      </c>
      <c r="E46" s="2108"/>
      <c r="F46" s="2108"/>
      <c r="G46" s="2108"/>
      <c r="H46" s="2107">
        <v>1</v>
      </c>
      <c r="I46" s="1393"/>
      <c r="J46" s="1393"/>
      <c r="K46" s="1393"/>
      <c r="L46" s="1394"/>
      <c r="M46" s="1395"/>
      <c r="N46" s="1395"/>
      <c r="O46" s="1395"/>
      <c r="P46" s="350"/>
      <c r="Q46" s="348"/>
      <c r="R46" s="349"/>
      <c r="S46" s="1366" t="str">
        <f>INDEX(PT_DIFFERENTIATION_NUM_IST_TE,MATCH(D46,PT_DIFFERENTIATION_IST_TE_ID,0))</f>
        <v>...</v>
      </c>
      <c r="T46" s="300" t="s">
        <v>616</v>
      </c>
      <c r="U46" s="288"/>
      <c r="V46" s="2101"/>
      <c r="W46" s="2102"/>
      <c r="X46" s="2102"/>
      <c r="Y46" s="2102"/>
      <c r="Z46" s="2102"/>
      <c r="AA46" s="2102"/>
      <c r="AB46" s="2102"/>
      <c r="AC46" s="2103"/>
      <c r="AD46" s="2101" t="str">
        <f>INDEX(PT_DIFFERENTIATION_IST_TE,MATCH(D46,PT_DIFFERENTIATION_IST_TE_ID,0))</f>
        <v/>
      </c>
      <c r="AE46" s="2102"/>
      <c r="AF46" s="2102"/>
      <c r="AG46" s="2102"/>
      <c r="AH46" s="2102"/>
      <c r="AI46" s="2102"/>
      <c r="AJ46" s="2102"/>
      <c r="AK46" s="2102"/>
      <c r="AL46" s="2103"/>
      <c r="AM46" s="1286" t="s">
        <v>617</v>
      </c>
      <c r="AO46" s="506"/>
      <c r="AP46" s="506" t="str">
        <f>IF(T46="","",T46)</f>
        <v>Источник тепловой энергии  </v>
      </c>
      <c r="AQ46" s="506"/>
      <c r="AR46" s="506"/>
    </row>
    <row s="2612" customFormat="1" customHeight="1" ht="0">
      <c r="A47" s="1373" t="s">
        <v>407</v>
      </c>
      <c r="B47" s="1373" t="s">
        <v>408</v>
      </c>
      <c r="C47" s="1373" t="s">
        <v>409</v>
      </c>
      <c r="D47" s="1373" t="s">
        <v>410</v>
      </c>
      <c r="E47" s="2108"/>
      <c r="F47" s="2108"/>
      <c r="G47" s="2108"/>
      <c r="H47" s="2108"/>
      <c r="I47" s="2109" t="str">
        <f>S46&amp;".1"</f>
        <v>....1</v>
      </c>
      <c r="J47" s="1373"/>
      <c r="K47" s="1373"/>
      <c r="L47" s="1376" t="s">
        <v>618</v>
      </c>
      <c r="M47" s="516"/>
      <c r="N47" s="516"/>
      <c r="O47" s="516"/>
      <c r="P47" s="2111">
        <v>1</v>
      </c>
      <c r="Q47" s="1361"/>
      <c r="R47" s="352"/>
      <c r="S47" s="1049"/>
      <c r="T47" s="1413"/>
      <c r="U47" s="1414"/>
      <c r="V47" s="2147"/>
      <c r="W47" s="2148"/>
      <c r="X47" s="2148"/>
      <c r="Y47" s="2148"/>
      <c r="Z47" s="2148"/>
      <c r="AA47" s="2148"/>
      <c r="AB47" s="2148"/>
      <c r="AC47" s="2149"/>
      <c r="AD47" s="2147"/>
      <c r="AE47" s="2148"/>
      <c r="AF47" s="2148"/>
      <c r="AG47" s="2148"/>
      <c r="AH47" s="2148"/>
      <c r="AI47" s="2148"/>
      <c r="AJ47" s="2148"/>
      <c r="AK47" s="2148"/>
      <c r="AL47" s="2149"/>
      <c r="AM47" s="1415"/>
      <c r="AO47" s="506"/>
      <c r="AP47" s="506" t="str">
        <f>IF(T47="","",T47)</f>
        <v/>
      </c>
      <c r="AQ47" s="506"/>
      <c r="AR47" s="506"/>
    </row>
    <row customHeight="1" ht="21">
      <c r="A48" s="1393" t="s">
        <v>407</v>
      </c>
      <c r="B48" s="1393" t="s">
        <v>408</v>
      </c>
      <c r="C48" s="1393" t="s">
        <v>409</v>
      </c>
      <c r="D48" s="1393" t="s">
        <v>410</v>
      </c>
      <c r="E48" s="2108"/>
      <c r="F48" s="2108"/>
      <c r="G48" s="2108"/>
      <c r="H48" s="2108"/>
      <c r="I48" s="2110"/>
      <c r="J48" s="2109" t="str">
        <f>S46&amp;".1"</f>
        <v>....1</v>
      </c>
      <c r="K48" s="1393"/>
      <c r="L48" s="1394" t="s">
        <v>621</v>
      </c>
      <c r="P48" s="2111"/>
      <c r="Q48" s="2111">
        <v>1</v>
      </c>
      <c r="R48" s="353"/>
      <c r="S48" s="1366" t="str">
        <f>$J48</f>
        <v>....1</v>
      </c>
      <c r="T48" s="274" t="s">
        <v>622</v>
      </c>
      <c r="U48" s="288"/>
      <c r="V48" s="2095"/>
      <c r="W48" s="2096"/>
      <c r="X48" s="2096"/>
      <c r="Y48" s="2096"/>
      <c r="Z48" s="2096"/>
      <c r="AA48" s="2096"/>
      <c r="AB48" s="2096"/>
      <c r="AC48" s="2097"/>
      <c r="AD48" s="2095"/>
      <c r="AE48" s="2096"/>
      <c r="AF48" s="2096"/>
      <c r="AG48" s="2096"/>
      <c r="AH48" s="2096"/>
      <c r="AI48" s="2096"/>
      <c r="AJ48" s="2096"/>
      <c r="AK48" s="2096"/>
      <c r="AL48" s="2097"/>
      <c r="AM48" s="1286" t="s">
        <v>623</v>
      </c>
      <c r="AO48" s="506"/>
      <c r="AP48" s="506" t="str">
        <f>IF(T48="","",T48)</f>
        <v>Группа потребителей</v>
      </c>
      <c r="AQ48" s="506"/>
      <c r="AR48" s="506"/>
    </row>
    <row customHeight="1" ht="21">
      <c r="A49" s="1393" t="s">
        <v>407</v>
      </c>
      <c r="B49" s="1393" t="s">
        <v>408</v>
      </c>
      <c r="C49" s="1393" t="s">
        <v>409</v>
      </c>
      <c r="D49" s="1393" t="s">
        <v>410</v>
      </c>
      <c r="E49" s="2108"/>
      <c r="F49" s="2108"/>
      <c r="G49" s="2108"/>
      <c r="H49" s="2108"/>
      <c r="I49" s="2110"/>
      <c r="J49" s="2110"/>
      <c r="K49" s="2109" t="str">
        <f>J48&amp;".1"</f>
        <v>....1.1</v>
      </c>
      <c r="L49" s="1394" t="s">
        <v>624</v>
      </c>
      <c r="P49" s="2111"/>
      <c r="Q49" s="2111"/>
      <c r="R49" s="353">
        <v>1</v>
      </c>
      <c r="S49" s="1366" t="str">
        <f>$K49</f>
        <v>....1.1</v>
      </c>
      <c r="T49" s="1377"/>
      <c r="U49" s="288"/>
      <c r="V49" s="757"/>
      <c r="W49" s="320"/>
      <c r="X49" s="757"/>
      <c r="Y49" s="1285"/>
      <c r="Z49" s="2112"/>
      <c r="AA49" s="1981" t="s">
        <v>63</v>
      </c>
      <c r="AB49" s="2112"/>
      <c r="AC49" s="1981" t="s">
        <v>63</v>
      </c>
      <c r="AD49" s="757"/>
      <c r="AE49" s="320"/>
      <c r="AF49" s="757"/>
      <c r="AG49" s="1285"/>
      <c r="AH49" s="2112"/>
      <c r="AI49" s="1981" t="s">
        <v>63</v>
      </c>
      <c r="AJ49" s="2114"/>
      <c r="AK49" s="1981" t="s">
        <v>63</v>
      </c>
      <c r="AL49" s="1378"/>
      <c r="AM49" s="2137" t="s">
        <v>664</v>
      </c>
      <c r="AN49" s="517">
        <f>STRCHECKDATE(V50:AL50)</f>
      </c>
      <c r="AO49" s="506"/>
      <c r="AP49" s="506" t="str">
        <f>IF(T49="","",T49)</f>
        <v/>
      </c>
      <c r="AQ49" s="506"/>
      <c r="AR49" s="506"/>
    </row>
    <row customHeight="1" ht="0.75">
      <c r="A50" s="1393" t="s">
        <v>407</v>
      </c>
      <c r="B50" s="1393" t="s">
        <v>408</v>
      </c>
      <c r="C50" s="1393" t="s">
        <v>409</v>
      </c>
      <c r="D50" s="1393" t="s">
        <v>410</v>
      </c>
      <c r="E50" s="2108"/>
      <c r="F50" s="2108"/>
      <c r="G50" s="2108"/>
      <c r="H50" s="2108"/>
      <c r="I50" s="2110"/>
      <c r="J50" s="2110"/>
      <c r="K50" s="2109"/>
      <c r="L50" s="1394"/>
      <c r="P50" s="2111"/>
      <c r="Q50" s="2111"/>
      <c r="R50" s="353"/>
      <c r="S50" s="1372"/>
      <c r="T50" s="288"/>
      <c r="U50" s="288"/>
      <c r="V50" s="320"/>
      <c r="W50" s="320"/>
      <c r="X50" s="320"/>
      <c r="Y50" s="324" t="str">
        <f>Z49&amp;"-"&amp;AB49</f>
        <v>-</v>
      </c>
      <c r="Z50" s="2113"/>
      <c r="AA50" s="1981"/>
      <c r="AB50" s="2113"/>
      <c r="AC50" s="1981"/>
      <c r="AD50" s="320"/>
      <c r="AE50" s="320"/>
      <c r="AF50" s="320"/>
      <c r="AG50" s="324" t="str">
        <f>AH49&amp;"-"&amp;AJ49</f>
        <v>-</v>
      </c>
      <c r="AH50" s="2113"/>
      <c r="AI50" s="1981"/>
      <c r="AJ50" s="2115"/>
      <c r="AK50" s="1981"/>
      <c r="AL50" s="1379"/>
      <c r="AM50" s="2138"/>
      <c r="AO50" s="506"/>
      <c r="AP50" s="506" t="str">
        <f>IF(T50="","",T50)</f>
        <v/>
      </c>
      <c r="AQ50" s="506"/>
      <c r="AR50" s="506"/>
    </row>
    <row customHeight="1" ht="11.25">
      <c r="A51" s="1393" t="s">
        <v>407</v>
      </c>
      <c r="B51" s="1393" t="s">
        <v>408</v>
      </c>
      <c r="C51" s="1393" t="s">
        <v>409</v>
      </c>
      <c r="D51" s="1393" t="s">
        <v>410</v>
      </c>
      <c r="E51" s="2108"/>
      <c r="F51" s="2108"/>
      <c r="G51" s="2108"/>
      <c r="H51" s="2108"/>
      <c r="I51" s="2110"/>
      <c r="J51" s="2109"/>
      <c r="K51" s="1393"/>
      <c r="L51" s="1394"/>
      <c r="P51" s="2111"/>
      <c r="Q51" s="2111"/>
      <c r="R51" s="352"/>
      <c r="S51" s="1308"/>
      <c r="T51" s="275" t="s">
        <v>626</v>
      </c>
      <c r="U51" s="367"/>
      <c r="V51" s="367"/>
      <c r="W51" s="367"/>
      <c r="X51" s="367"/>
      <c r="Y51" s="367"/>
      <c r="Z51" s="367"/>
      <c r="AA51" s="367"/>
      <c r="AB51" s="367"/>
      <c r="AC51" s="367"/>
      <c r="AD51" s="367"/>
      <c r="AE51" s="367"/>
      <c r="AF51" s="367"/>
      <c r="AG51" s="367"/>
      <c r="AH51" s="367"/>
      <c r="AI51" s="367"/>
      <c r="AJ51" s="367"/>
      <c r="AK51" s="367"/>
      <c r="AL51" s="319"/>
      <c r="AM51" s="2139"/>
      <c r="AO51" s="506"/>
      <c r="AP51" s="506" t="str">
        <f>IF(T51="","",T51)</f>
        <v>Добавить вид теплоносителя (параметры теплоносителя)</v>
      </c>
      <c r="AQ51" s="506"/>
      <c r="AR51" s="506"/>
    </row>
    <row customHeight="1" ht="11.25">
      <c r="A52" s="1393" t="s">
        <v>407</v>
      </c>
      <c r="B52" s="1393" t="s">
        <v>408</v>
      </c>
      <c r="C52" s="1393" t="s">
        <v>409</v>
      </c>
      <c r="D52" s="1393" t="s">
        <v>410</v>
      </c>
      <c r="E52" s="2108"/>
      <c r="F52" s="2108"/>
      <c r="G52" s="2108"/>
      <c r="H52" s="2108"/>
      <c r="I52" s="2109"/>
      <c r="J52" s="1393"/>
      <c r="K52" s="1393"/>
      <c r="L52" s="1394"/>
      <c r="P52" s="2111"/>
      <c r="Q52" s="1361"/>
      <c r="R52" s="352"/>
      <c r="S52" s="1308"/>
      <c r="T52" s="364" t="s">
        <v>627</v>
      </c>
      <c r="U52" s="367"/>
      <c r="V52" s="367"/>
      <c r="W52" s="367"/>
      <c r="X52" s="367"/>
      <c r="Y52" s="367"/>
      <c r="Z52" s="367"/>
      <c r="AA52" s="367"/>
      <c r="AB52" s="367"/>
      <c r="AC52" s="366"/>
      <c r="AD52" s="367"/>
      <c r="AE52" s="367"/>
      <c r="AF52" s="367"/>
      <c r="AG52" s="367"/>
      <c r="AH52" s="367"/>
      <c r="AI52" s="367"/>
      <c r="AJ52" s="367"/>
      <c r="AK52" s="366"/>
      <c r="AL52" s="367"/>
      <c r="AM52" s="291"/>
      <c r="AO52" s="506"/>
      <c r="AP52" s="506" t="str">
        <f>IF(T52="","",T52)</f>
        <v>Добавить группу потребителей</v>
      </c>
      <c r="AQ52" s="506"/>
      <c r="AR52" s="506"/>
    </row>
    <row customHeight="1" ht="0">
      <c r="A53" s="1393" t="s">
        <v>407</v>
      </c>
      <c r="B53" s="1393" t="s">
        <v>408</v>
      </c>
      <c r="C53" s="1393" t="s">
        <v>409</v>
      </c>
      <c r="D53" s="1393" t="s">
        <v>410</v>
      </c>
      <c r="E53" s="2108"/>
      <c r="F53" s="2108"/>
      <c r="G53" s="2108"/>
      <c r="H53" s="2107"/>
      <c r="I53" s="1393"/>
      <c r="J53" s="1393"/>
      <c r="K53" s="1393"/>
      <c r="L53" s="1394"/>
      <c r="M53" s="1395"/>
      <c r="N53" s="1395"/>
      <c r="O53" s="543"/>
      <c r="P53" s="356"/>
      <c r="Q53" s="376"/>
      <c r="R53" s="351"/>
      <c r="S53" s="1416"/>
      <c r="T53" s="1417"/>
      <c r="U53" s="1418"/>
      <c r="V53" s="1418"/>
      <c r="W53" s="1418"/>
      <c r="X53" s="1418"/>
      <c r="Y53" s="1418"/>
      <c r="Z53" s="1418"/>
      <c r="AA53" s="1418"/>
      <c r="AB53" s="1418"/>
      <c r="AC53" s="1418"/>
      <c r="AD53" s="1418"/>
      <c r="AE53" s="1418"/>
      <c r="AF53" s="1418"/>
      <c r="AG53" s="1418"/>
      <c r="AH53" s="1418"/>
      <c r="AI53" s="1418"/>
      <c r="AJ53" s="1418"/>
      <c r="AK53" s="1418"/>
      <c r="AL53" s="1418"/>
      <c r="AM53" s="1419"/>
      <c r="AO53" s="506"/>
      <c r="AP53" s="506" t="str">
        <f>IF(T53="","",T53)</f>
        <v/>
      </c>
      <c r="AQ53" s="506"/>
      <c r="AR53" s="506"/>
    </row>
    <row s="3314" customFormat="1" customHeight="1" ht="0.75">
      <c r="A54" s="1373" t="s">
        <v>407</v>
      </c>
      <c r="B54" s="1373" t="s">
        <v>408</v>
      </c>
      <c r="C54" s="1373" t="s">
        <v>409</v>
      </c>
      <c r="D54" s="1344"/>
      <c r="E54" s="2108"/>
      <c r="F54" s="2108"/>
      <c r="G54" s="2107"/>
      <c r="H54" s="1344"/>
      <c r="I54" s="1344"/>
      <c r="J54" s="1344"/>
      <c r="K54" s="1344"/>
      <c r="L54" s="1369"/>
      <c r="M54" s="1345"/>
      <c r="N54" s="1345"/>
      <c r="P54" s="1346"/>
      <c r="Q54" s="1347"/>
      <c r="R54" s="1346"/>
      <c r="S54" s="1352"/>
      <c r="T54" s="1355" t="s">
        <v>254</v>
      </c>
      <c r="U54" s="1354"/>
      <c r="V54" s="1354"/>
      <c r="W54" s="1354"/>
      <c r="X54" s="1354"/>
      <c r="Y54" s="1354"/>
      <c r="Z54" s="1354"/>
      <c r="AA54" s="1354"/>
      <c r="AB54" s="1354"/>
      <c r="AC54" s="1354"/>
      <c r="AD54" s="1354"/>
      <c r="AE54" s="1354"/>
      <c r="AF54" s="1354"/>
      <c r="AG54" s="1354"/>
      <c r="AH54" s="1354"/>
      <c r="AI54" s="1354"/>
      <c r="AJ54" s="1354"/>
      <c r="AK54" s="1354"/>
      <c r="AL54" s="1354"/>
      <c r="AM54" s="1354"/>
      <c r="AO54" s="795"/>
      <c r="AP54" s="795" t="str">
        <f>IF(T54="","",T54)</f>
        <v>Добавить источник для дифференциации</v>
      </c>
      <c r="AQ54" s="795"/>
      <c r="AR54" s="795"/>
    </row>
    <row s="3314" customFormat="1" customHeight="1" ht="0.75">
      <c r="A55" s="1373" t="s">
        <v>407</v>
      </c>
      <c r="B55" s="1373" t="s">
        <v>408</v>
      </c>
      <c r="C55" s="1344"/>
      <c r="D55" s="1344"/>
      <c r="E55" s="2108"/>
      <c r="F55" s="2107"/>
      <c r="G55" s="1344"/>
      <c r="H55" s="1344"/>
      <c r="I55" s="1344"/>
      <c r="J55" s="1344"/>
      <c r="K55" s="1344"/>
      <c r="L55" s="1369"/>
      <c r="M55" s="1351"/>
      <c r="N55" s="1351"/>
      <c r="P55" s="1346"/>
      <c r="Q55" s="1347"/>
      <c r="R55" s="1346"/>
      <c r="S55" s="1352"/>
      <c r="T55" s="1355" t="s">
        <v>255</v>
      </c>
      <c r="U55" s="1354"/>
      <c r="V55" s="1354"/>
      <c r="W55" s="1354"/>
      <c r="X55" s="1354"/>
      <c r="Y55" s="1354"/>
      <c r="Z55" s="1354"/>
      <c r="AA55" s="1354"/>
      <c r="AB55" s="1354"/>
      <c r="AC55" s="1354"/>
      <c r="AD55" s="1354"/>
      <c r="AE55" s="1354"/>
      <c r="AF55" s="1354"/>
      <c r="AG55" s="1354"/>
      <c r="AH55" s="1354"/>
      <c r="AI55" s="1354"/>
      <c r="AJ55" s="1354"/>
      <c r="AK55" s="1354"/>
      <c r="AL55" s="1354"/>
      <c r="AM55" s="1354"/>
      <c r="AO55" s="795"/>
      <c r="AP55" s="795" t="str">
        <f>IF(T55="","",T55)</f>
        <v>Добавить централизованную систему для дифференциации</v>
      </c>
      <c r="AQ55" s="795"/>
      <c r="AR55" s="795"/>
    </row>
    <row s="2612" customFormat="1" customHeight="1" ht="0.75">
      <c r="A56" s="1373" t="s">
        <v>407</v>
      </c>
      <c r="B56" s="1373"/>
      <c r="C56" s="1373"/>
      <c r="D56" s="1373"/>
      <c r="E56" s="2107"/>
      <c r="F56" s="1373"/>
      <c r="G56" s="1373"/>
      <c r="H56" s="1373"/>
      <c r="I56" s="1373"/>
      <c r="J56" s="1373"/>
      <c r="K56" s="1373"/>
      <c r="L56" s="1376"/>
      <c r="M56" s="1351"/>
      <c r="N56" s="1351"/>
      <c r="O56" s="524"/>
      <c r="P56" s="385"/>
      <c r="Q56" s="1374"/>
      <c r="R56" s="385"/>
      <c r="S56" s="1352"/>
      <c r="T56" s="1355" t="s">
        <v>329</v>
      </c>
      <c r="U56" s="1354"/>
      <c r="V56" s="1354"/>
      <c r="W56" s="1354"/>
      <c r="X56" s="1354"/>
      <c r="Y56" s="1354"/>
      <c r="Z56" s="1354"/>
      <c r="AA56" s="1354"/>
      <c r="AB56" s="1354"/>
      <c r="AC56" s="1354"/>
      <c r="AD56" s="1354"/>
      <c r="AE56" s="1354"/>
      <c r="AF56" s="1354"/>
      <c r="AG56" s="1354"/>
      <c r="AH56" s="1354"/>
      <c r="AI56" s="1354"/>
      <c r="AJ56" s="1354"/>
      <c r="AK56" s="1354"/>
      <c r="AL56" s="1354"/>
      <c r="AM56" s="1354"/>
      <c r="AO56" s="506"/>
      <c r="AP56" s="506" t="str">
        <f>IF(T56="","",T56)</f>
        <v>Добавить территорию для дифференциации</v>
      </c>
      <c r="AQ56" s="506"/>
      <c r="AR56" s="506"/>
    </row>
    <row s="3314" customFormat="1" customHeight="1" ht="0.75">
      <c r="A57" s="1344"/>
      <c r="B57" s="1344"/>
      <c r="C57" s="1344"/>
      <c r="D57" s="1344"/>
      <c r="E57" s="1373"/>
      <c r="F57" s="1344"/>
      <c r="G57" s="1344"/>
      <c r="H57" s="1344"/>
      <c r="I57" s="1344"/>
      <c r="J57" s="1344"/>
      <c r="K57" s="1344"/>
      <c r="L57" s="1369"/>
      <c r="M57" s="1351"/>
      <c r="N57" s="1351"/>
      <c r="P57" s="1346"/>
      <c r="Q57" s="1347"/>
      <c r="R57" s="1346"/>
      <c r="S57" s="1352"/>
      <c r="T57" s="1355" t="s">
        <v>398</v>
      </c>
      <c r="U57" s="1354"/>
      <c r="V57" s="1354"/>
      <c r="W57" s="1354"/>
      <c r="X57" s="1354"/>
      <c r="Y57" s="1354"/>
      <c r="Z57" s="1354"/>
      <c r="AA57" s="1354"/>
      <c r="AB57" s="1354"/>
      <c r="AC57" s="1354"/>
      <c r="AD57" s="1354"/>
      <c r="AE57" s="1354"/>
      <c r="AF57" s="1354"/>
      <c r="AG57" s="1354"/>
      <c r="AH57" s="1354"/>
      <c r="AI57" s="1354"/>
      <c r="AJ57" s="1354"/>
      <c r="AK57" s="1354"/>
      <c r="AL57" s="1354"/>
      <c r="AM57" s="1354"/>
      <c r="AO57" s="795"/>
      <c r="AP57" s="795" t="str">
        <f>IF(T57="","",T57)</f>
        <v>Добавить наименование тарифа</v>
      </c>
      <c r="AQ57" s="795"/>
      <c r="AR57" s="795"/>
    </row>
    <row customHeight="1" ht="11.25">
      <c r="M58" s="1168"/>
      <c r="N58" s="1168"/>
      <c r="O58" s="543"/>
      <c r="P58" s="1163"/>
      <c r="Q58" s="1163"/>
      <c r="R58" s="1163"/>
      <c r="S58" s="1163"/>
      <c r="AN58" s="1163"/>
      <c r="AO58" s="1163"/>
      <c r="AP58" s="1163"/>
      <c r="AQ58" s="1163"/>
      <c r="AR58" s="1163"/>
    </row>
    <row customHeight="1" ht="21.75">
      <c r="O59" s="543"/>
      <c r="S59" s="1273"/>
      <c r="T59" s="2106"/>
      <c r="U59" s="2106"/>
      <c r="V59" s="2106"/>
      <c r="W59" s="2106"/>
      <c r="X59" s="2106"/>
      <c r="Y59" s="2106"/>
      <c r="Z59" s="2106"/>
      <c r="AA59" s="2106"/>
      <c r="AB59" s="2106"/>
      <c r="AC59" s="2106"/>
      <c r="AD59" s="2106"/>
      <c r="AE59" s="2106"/>
      <c r="AF59" s="2106"/>
      <c r="AG59" s="2106"/>
      <c r="AH59" s="2106"/>
      <c r="AI59" s="2106"/>
      <c r="AJ59" s="2106"/>
      <c r="AK59" s="2106"/>
      <c r="AL59" s="2106"/>
      <c r="AM59" s="2106"/>
    </row>
    <row customHeight="1" ht="29.25">
      <c r="O60" s="543"/>
      <c r="T60" s="2106"/>
      <c r="U60" s="2106"/>
      <c r="V60" s="2106"/>
      <c r="W60" s="2106"/>
      <c r="X60" s="2106"/>
      <c r="Y60" s="2106"/>
      <c r="Z60" s="2106"/>
      <c r="AA60" s="2106"/>
      <c r="AB60" s="2106"/>
      <c r="AC60" s="2106"/>
      <c r="AD60" s="2106"/>
      <c r="AE60" s="2106"/>
      <c r="AF60" s="2106"/>
      <c r="AG60" s="2106"/>
      <c r="AH60" s="2106"/>
      <c r="AI60" s="2106"/>
      <c r="AJ60" s="2106"/>
      <c r="AK60" s="2106"/>
      <c r="AL60" s="2106"/>
      <c r="AM60" s="2106"/>
    </row>
    <row customHeight="1" ht="39.75">
      <c r="O61" s="543"/>
      <c r="T61" s="2106"/>
      <c r="U61" s="2106"/>
      <c r="V61" s="2106"/>
      <c r="W61" s="2106"/>
      <c r="X61" s="2106"/>
      <c r="Y61" s="2106"/>
      <c r="Z61" s="2106"/>
      <c r="AA61" s="2106"/>
      <c r="AB61" s="2106"/>
      <c r="AC61" s="2106"/>
      <c r="AD61" s="2106"/>
      <c r="AE61" s="2106"/>
      <c r="AF61" s="2106"/>
      <c r="AG61" s="2106"/>
      <c r="AH61" s="2106"/>
      <c r="AI61" s="2106"/>
      <c r="AJ61" s="2106"/>
      <c r="AK61" s="2106"/>
      <c r="AL61" s="2106"/>
      <c r="AM61" s="2106"/>
    </row>
    <row customHeight="1" ht="14.25">
      <c r="O62" s="543"/>
    </row>
    <row customHeight="1" ht="19.5">
      <c r="O63" s="543"/>
      <c r="S63" s="1273"/>
      <c r="T63" s="2150"/>
      <c r="U63" s="2106"/>
      <c r="V63" s="2106"/>
      <c r="W63" s="2106"/>
      <c r="X63" s="2106"/>
      <c r="Y63" s="2106"/>
      <c r="Z63" s="2106"/>
      <c r="AA63" s="2106"/>
      <c r="AB63" s="2106"/>
      <c r="AC63" s="2106"/>
      <c r="AD63" s="2106"/>
      <c r="AE63" s="2106"/>
      <c r="AF63" s="2106"/>
      <c r="AG63" s="2106"/>
      <c r="AH63" s="2106"/>
      <c r="AI63" s="2106"/>
      <c r="AJ63" s="2106"/>
      <c r="AK63" s="2106"/>
      <c r="AL63" s="2106"/>
      <c r="AM63" s="2106"/>
    </row>
    <row customHeight="1" ht="27.75">
      <c r="O64" s="543"/>
      <c r="T64" s="2106"/>
      <c r="U64" s="2106"/>
      <c r="V64" s="2106"/>
      <c r="W64" s="2106"/>
      <c r="X64" s="2106"/>
      <c r="Y64" s="2106"/>
      <c r="Z64" s="2106"/>
      <c r="AA64" s="2106"/>
      <c r="AB64" s="2106"/>
      <c r="AC64" s="2106"/>
      <c r="AD64" s="2106"/>
      <c r="AE64" s="2106"/>
      <c r="AF64" s="2106"/>
      <c r="AG64" s="2106"/>
      <c r="AH64" s="2106"/>
      <c r="AI64" s="2106"/>
      <c r="AJ64" s="2106"/>
      <c r="AK64" s="2106"/>
      <c r="AL64" s="2106"/>
      <c r="AM64" s="2106"/>
    </row>
    <row customHeight="1" ht="33.75">
      <c r="T65" s="2106"/>
      <c r="U65" s="2106"/>
      <c r="V65" s="2106"/>
      <c r="W65" s="2106"/>
      <c r="X65" s="2106"/>
      <c r="Y65" s="2106"/>
      <c r="Z65" s="2106"/>
      <c r="AA65" s="2106"/>
      <c r="AB65" s="2106"/>
      <c r="AC65" s="2106"/>
      <c r="AD65" s="2106"/>
      <c r="AE65" s="2106"/>
      <c r="AF65" s="2106"/>
      <c r="AG65" s="2106"/>
      <c r="AH65" s="2106"/>
      <c r="AI65" s="2106"/>
      <c r="AJ65" s="2106"/>
      <c r="AK65" s="2106"/>
      <c r="AL65" s="2106"/>
      <c r="AM65" s="2106"/>
    </row>
  </sheetData>
  <sheetProtection formatColumns="0" formatRows="0" autoFilter="0" sort="0" insertRows="0" insertColumns="1" deleteRows="0" deleteColumns="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83DA59-F3BA-8806-47A3-568FCF5A8D2B}"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2.00390625" hidden="1" customWidth="1"/>
    <col min="10" max="10" style="2683" width="9.8515625" hidden="1" customWidth="1"/>
    <col min="11" max="11" style="2683" width="11.421875" hidden="1" customWidth="1"/>
    <col min="12" max="12" style="3333" width="19.140625" hidden="1" customWidth="1"/>
    <col min="13" max="14" style="3334" width="12.28125" hidden="1" customWidth="1"/>
    <col min="15" max="15" style="3334" width="23.421875" hidden="1" customWidth="1"/>
    <col min="16" max="16" style="3355" width="3.7109375" hidden="1" customWidth="1"/>
    <col min="17" max="18" style="3411" width="3.7109375" customWidth="1"/>
    <col min="19" max="19" style="3412" width="12.7109375" customWidth="1"/>
    <col min="20" max="20" style="2984" width="32.00390625" customWidth="1"/>
    <col min="21" max="21" style="2984" width="0.140625" customWidth="1"/>
    <col min="22" max="22" style="2984" width="24.7109375" hidden="1" customWidth="1"/>
    <col min="23" max="23" style="2984" width="0.140625" hidden="1" customWidth="1"/>
    <col min="24" max="25" style="2984" width="24.7109375" hidden="1" customWidth="1"/>
    <col min="26" max="26" style="2984" width="11.7109375" hidden="1" customWidth="1"/>
    <col min="27" max="27" style="2984" width="3.7109375" hidden="1" customWidth="1"/>
    <col min="28" max="28" style="2984" width="11.7109375" hidden="1" customWidth="1"/>
    <col min="29" max="29" style="2984" width="8.57421875" hidden="1" customWidth="1"/>
    <col min="30" max="30" style="2984" width="24.7109375" customWidth="1"/>
    <col min="31" max="31" style="2984" width="0.140625" customWidth="1"/>
    <col min="32" max="33" style="2984" width="24.7109375" customWidth="1"/>
    <col min="34" max="34" style="2984" width="11.7109375" customWidth="1"/>
    <col min="35" max="35" style="2984" width="3.7109375" customWidth="1"/>
    <col min="36" max="36" style="2984" width="11.7109375" customWidth="1"/>
    <col min="37" max="37" style="2984" width="8.57421875" hidden="1" customWidth="1"/>
    <col min="38" max="38" style="2984" width="4.7109375" customWidth="1"/>
    <col min="39" max="39" style="2984" width="115.7109375" customWidth="1"/>
    <col min="40" max="41" style="2612" width="10.57421875"/>
    <col min="42" max="42" style="2612" width="11.140625" customWidth="1"/>
    <col min="43" max="44" style="2612" width="10.57421875"/>
  </cols>
  <sheetData>
    <row customHeight="1" ht="14.25" hidden="1">
      <c r="Y1" s="323"/>
      <c r="Z1" s="323"/>
      <c r="AG1" s="323"/>
      <c r="AH1" s="323"/>
    </row>
    <row customHeight="1" ht="21" hidden="1">
      <c r="A2" s="1393"/>
      <c r="B2" s="1393"/>
      <c r="C2" s="1393"/>
      <c r="D2" s="1393"/>
      <c r="E2" s="2107">
        <v>1</v>
      </c>
      <c r="F2" s="1393"/>
      <c r="G2" s="1393"/>
      <c r="H2" s="1393"/>
      <c r="I2" s="1393"/>
      <c r="J2" s="1393"/>
      <c r="K2" s="1393"/>
      <c r="L2" s="1394"/>
      <c r="M2" s="1395"/>
      <c r="N2" s="1395"/>
      <c r="O2" s="1395"/>
      <c r="P2" s="357"/>
      <c r="Q2" s="356"/>
      <c r="R2" s="351"/>
      <c r="S2" s="1366">
        <f>INDEX(PT_DIFFERENTIATION_NUM_NTAR,MATCH(A2,PT_DIFFERENTIATION_NTAR_ID,0))</f>
      </c>
      <c r="T2" s="286" t="s">
        <v>204</v>
      </c>
      <c r="U2" s="288"/>
      <c r="V2" s="2101"/>
      <c r="W2" s="2102"/>
      <c r="X2" s="2102"/>
      <c r="Y2" s="2102"/>
      <c r="Z2" s="2102"/>
      <c r="AA2" s="2102"/>
      <c r="AB2" s="2102"/>
      <c r="AC2" s="2103"/>
      <c r="AD2" s="2101">
        <f>INDEX(PT_DIFFERENTIATION_NTAR,MATCH(A2,PT_DIFFERENTIATION_NTAR_ID,0))</f>
      </c>
      <c r="AE2" s="2102"/>
      <c r="AF2" s="2102"/>
      <c r="AG2" s="2102"/>
      <c r="AH2" s="2102"/>
      <c r="AI2" s="2102"/>
      <c r="AJ2" s="2102"/>
      <c r="AK2" s="2102"/>
      <c r="AL2" s="2103"/>
      <c r="AM2" s="1286" t="s">
        <v>611</v>
      </c>
      <c r="AO2" s="506"/>
      <c r="AP2" s="506" t="str">
        <f>IF(T2="","",T2)</f>
        <v>Наименование тарифа</v>
      </c>
      <c r="AQ2" s="506"/>
      <c r="AR2" s="506"/>
    </row>
    <row customHeight="1" ht="21" hidden="1">
      <c r="A3" s="1393"/>
      <c r="B3" s="1393"/>
      <c r="C3" s="1393"/>
      <c r="D3" s="1393"/>
      <c r="E3" s="2108"/>
      <c r="F3" s="2107">
        <v>1</v>
      </c>
      <c r="G3" s="1393"/>
      <c r="H3" s="1393"/>
      <c r="I3" s="1393"/>
      <c r="J3" s="1393"/>
      <c r="K3" s="1393"/>
      <c r="L3" s="1394"/>
      <c r="M3" s="1395"/>
      <c r="N3" s="1395"/>
      <c r="O3" s="1395"/>
      <c r="P3" s="1362"/>
      <c r="Q3" s="348"/>
      <c r="R3" s="349"/>
      <c r="S3" s="1366">
        <f>INDEX(PT_DIFFERENTIATION_NUM_TER,MATCH(B3,PT_DIFFERENTIATION_TER_ID,0))</f>
      </c>
      <c r="T3" s="298" t="s">
        <v>612</v>
      </c>
      <c r="U3" s="288"/>
      <c r="V3" s="2101"/>
      <c r="W3" s="2102"/>
      <c r="X3" s="2102"/>
      <c r="Y3" s="2102"/>
      <c r="Z3" s="2102"/>
      <c r="AA3" s="2102"/>
      <c r="AB3" s="2102"/>
      <c r="AC3" s="2103"/>
      <c r="AD3" s="2101">
        <f>INDEX(PT_DIFFERENTIATION_TER,MATCH(B3,PT_DIFFERENTIATION_TER_ID,0))</f>
      </c>
      <c r="AE3" s="2102"/>
      <c r="AF3" s="2102"/>
      <c r="AG3" s="2102"/>
      <c r="AH3" s="2102"/>
      <c r="AI3" s="2102"/>
      <c r="AJ3" s="2102"/>
      <c r="AK3" s="2102"/>
      <c r="AL3" s="2103"/>
      <c r="AM3" s="1286" t="s">
        <v>613</v>
      </c>
      <c r="AO3" s="506"/>
      <c r="AP3" s="506" t="str">
        <f>IF(T3="","",T3)</f>
        <v>Территория действия тарифа</v>
      </c>
      <c r="AQ3" s="506"/>
      <c r="AR3" s="506"/>
    </row>
    <row customHeight="1" ht="23.25" hidden="1">
      <c r="A4" s="1393"/>
      <c r="B4" s="1393"/>
      <c r="C4" s="1393"/>
      <c r="D4" s="1393"/>
      <c r="E4" s="2108"/>
      <c r="F4" s="2108"/>
      <c r="G4" s="2107">
        <v>1</v>
      </c>
      <c r="H4" s="1393"/>
      <c r="I4" s="1393"/>
      <c r="J4" s="1393"/>
      <c r="K4" s="1393"/>
      <c r="L4" s="1394"/>
      <c r="M4" s="1395"/>
      <c r="N4" s="1395"/>
      <c r="O4" s="1395"/>
      <c r="P4" s="350"/>
      <c r="Q4" s="348"/>
      <c r="R4" s="349"/>
      <c r="S4" s="1366">
        <f>INDEX(PT_DIFFERENTIATION_NUM_CS,MATCH(C4,PT_DIFFERENTIATION_CS_ID,0))</f>
      </c>
      <c r="T4" s="299" t="s">
        <v>614</v>
      </c>
      <c r="U4" s="288"/>
      <c r="V4" s="2101"/>
      <c r="W4" s="2102"/>
      <c r="X4" s="2102"/>
      <c r="Y4" s="2102"/>
      <c r="Z4" s="2102"/>
      <c r="AA4" s="2102"/>
      <c r="AB4" s="2102"/>
      <c r="AC4" s="2103"/>
      <c r="AD4" s="2101">
        <f>INDEX(PT_DIFFERENTIATION_CS,MATCH(C4,PT_DIFFERENTIATION_CS_ID,0))</f>
      </c>
      <c r="AE4" s="2102"/>
      <c r="AF4" s="2102"/>
      <c r="AG4" s="2102"/>
      <c r="AH4" s="2102"/>
      <c r="AI4" s="2102"/>
      <c r="AJ4" s="2102"/>
      <c r="AK4" s="2102"/>
      <c r="AL4" s="2103"/>
      <c r="AM4" s="1286" t="s">
        <v>615</v>
      </c>
      <c r="AO4" s="506"/>
      <c r="AP4" s="506" t="str">
        <f>IF(T4="","",T4)</f>
        <v>Наименование системы теплоснабжения </v>
      </c>
      <c r="AQ4" s="506"/>
      <c r="AR4" s="506"/>
    </row>
    <row customHeight="1" ht="21" hidden="1">
      <c r="A5" s="1393"/>
      <c r="B5" s="1393"/>
      <c r="C5" s="1393"/>
      <c r="D5" s="1393"/>
      <c r="E5" s="2108"/>
      <c r="F5" s="2108"/>
      <c r="G5" s="2108"/>
      <c r="H5" s="2107">
        <v>1</v>
      </c>
      <c r="I5" s="1393"/>
      <c r="J5" s="1393"/>
      <c r="K5" s="1393"/>
      <c r="L5" s="1394"/>
      <c r="M5" s="1395"/>
      <c r="N5" s="1395"/>
      <c r="O5" s="1395"/>
      <c r="P5" s="350"/>
      <c r="Q5" s="348"/>
      <c r="R5" s="349"/>
      <c r="S5" s="1366">
        <f>INDEX(PT_DIFFERENTIATION_NUM_IST_TE,MATCH(D5,PT_DIFFERENTIATION_IST_TE_ID,0))</f>
      </c>
      <c r="T5" s="300" t="s">
        <v>616</v>
      </c>
      <c r="U5" s="288"/>
      <c r="V5" s="2101"/>
      <c r="W5" s="2102"/>
      <c r="X5" s="2102"/>
      <c r="Y5" s="2102"/>
      <c r="Z5" s="2102"/>
      <c r="AA5" s="2102"/>
      <c r="AB5" s="2102"/>
      <c r="AC5" s="2103"/>
      <c r="AD5" s="2101">
        <f>INDEX(PT_DIFFERENTIATION_IST_TE,MATCH(D5,PT_DIFFERENTIATION_IST_TE_ID,0))</f>
      </c>
      <c r="AE5" s="2102"/>
      <c r="AF5" s="2102"/>
      <c r="AG5" s="2102"/>
      <c r="AH5" s="2102"/>
      <c r="AI5" s="2102"/>
      <c r="AJ5" s="2102"/>
      <c r="AK5" s="2102"/>
      <c r="AL5" s="2103"/>
      <c r="AM5" s="1286" t="s">
        <v>617</v>
      </c>
      <c r="AO5" s="506"/>
      <c r="AP5" s="506" t="str">
        <f>IF(T5="","",T5)</f>
        <v>Источник тепловой энергии  </v>
      </c>
      <c r="AQ5" s="506"/>
      <c r="AR5" s="506"/>
    </row>
    <row customHeight="1" ht="14.25" hidden="1">
      <c r="A6" s="1393"/>
      <c r="B6" s="1393"/>
      <c r="C6" s="1393"/>
      <c r="D6" s="1393"/>
      <c r="E6" s="2108"/>
      <c r="F6" s="2108"/>
      <c r="G6" s="2108"/>
      <c r="H6" s="2108"/>
      <c r="I6" s="2109">
        <f>S5&amp;".1"</f>
      </c>
      <c r="J6" s="1393"/>
      <c r="K6" s="1393"/>
      <c r="L6" s="1394" t="s">
        <v>618</v>
      </c>
      <c r="M6" s="543"/>
      <c r="P6" s="2111">
        <v>1</v>
      </c>
      <c r="Q6" s="1361"/>
      <c r="R6" s="352"/>
      <c r="S6" s="1049"/>
      <c r="T6" s="1413"/>
      <c r="U6" s="1414"/>
      <c r="V6" s="2147"/>
      <c r="W6" s="2148"/>
      <c r="X6" s="2148"/>
      <c r="Y6" s="2148"/>
      <c r="Z6" s="2148"/>
      <c r="AA6" s="2148"/>
      <c r="AB6" s="2148"/>
      <c r="AC6" s="2149"/>
      <c r="AD6" s="2147"/>
      <c r="AE6" s="2148"/>
      <c r="AF6" s="2148"/>
      <c r="AG6" s="2148"/>
      <c r="AH6" s="2148"/>
      <c r="AI6" s="2148"/>
      <c r="AJ6" s="2148"/>
      <c r="AK6" s="2148"/>
      <c r="AL6" s="2149"/>
      <c r="AM6" s="1415"/>
      <c r="AO6" s="506"/>
      <c r="AP6" s="506" t="str">
        <f>IF(T6="","",T6)</f>
        <v/>
      </c>
      <c r="AQ6" s="506"/>
      <c r="AR6" s="506"/>
    </row>
    <row customHeight="1" ht="21" hidden="1">
      <c r="A7" s="1393"/>
      <c r="B7" s="1393"/>
      <c r="C7" s="1393"/>
      <c r="D7" s="1393"/>
      <c r="E7" s="2108"/>
      <c r="F7" s="2108"/>
      <c r="G7" s="2108"/>
      <c r="H7" s="2108"/>
      <c r="I7" s="2110"/>
      <c r="J7" s="2109">
        <f>I6&amp;".1"</f>
      </c>
      <c r="K7" s="1393"/>
      <c r="L7" s="1394" t="s">
        <v>621</v>
      </c>
      <c r="M7" s="543"/>
      <c r="N7" s="1396"/>
      <c r="P7" s="2111"/>
      <c r="Q7" s="2111">
        <v>1</v>
      </c>
      <c r="R7" s="353"/>
      <c r="S7" s="1366">
        <f>$J7</f>
      </c>
      <c r="T7" s="274" t="s">
        <v>622</v>
      </c>
      <c r="U7" s="288"/>
      <c r="V7" s="2095"/>
      <c r="W7" s="2096"/>
      <c r="X7" s="2096"/>
      <c r="Y7" s="2096"/>
      <c r="Z7" s="2096"/>
      <c r="AA7" s="2096"/>
      <c r="AB7" s="2096"/>
      <c r="AC7" s="2097"/>
      <c r="AD7" s="2095"/>
      <c r="AE7" s="2096"/>
      <c r="AF7" s="2096"/>
      <c r="AG7" s="2096"/>
      <c r="AH7" s="2096"/>
      <c r="AI7" s="2096"/>
      <c r="AJ7" s="2096"/>
      <c r="AK7" s="2096"/>
      <c r="AL7" s="2097"/>
      <c r="AM7" s="1286" t="s">
        <v>623</v>
      </c>
      <c r="AO7" s="506"/>
      <c r="AP7" s="506" t="str">
        <f>IF(T7="","",T7)</f>
        <v>Группа потребителей</v>
      </c>
      <c r="AQ7" s="506"/>
      <c r="AR7" s="506"/>
    </row>
    <row customHeight="1" ht="21" hidden="1">
      <c r="A8" s="1393"/>
      <c r="B8" s="1393"/>
      <c r="C8" s="1393"/>
      <c r="D8" s="1393"/>
      <c r="E8" s="2108"/>
      <c r="F8" s="2108"/>
      <c r="G8" s="2108"/>
      <c r="H8" s="2108"/>
      <c r="I8" s="2110"/>
      <c r="J8" s="2110"/>
      <c r="K8" s="2109">
        <f>J7&amp;".1"</f>
      </c>
      <c r="L8" s="1394" t="s">
        <v>624</v>
      </c>
      <c r="M8" s="543"/>
      <c r="N8" s="1396"/>
      <c r="O8" s="1396"/>
      <c r="P8" s="2111"/>
      <c r="Q8" s="2111"/>
      <c r="R8" s="353">
        <v>1</v>
      </c>
      <c r="S8" s="1366">
        <f>$K8</f>
      </c>
      <c r="T8" s="1377"/>
      <c r="U8" s="288"/>
      <c r="V8" s="757"/>
      <c r="W8" s="320"/>
      <c r="X8" s="757"/>
      <c r="Y8" s="1285"/>
      <c r="Z8" s="2112"/>
      <c r="AA8" s="1981" t="s">
        <v>63</v>
      </c>
      <c r="AB8" s="2112"/>
      <c r="AC8" s="1981" t="s">
        <v>63</v>
      </c>
      <c r="AD8" s="757"/>
      <c r="AE8" s="320"/>
      <c r="AF8" s="757"/>
      <c r="AG8" s="1285"/>
      <c r="AH8" s="2112"/>
      <c r="AI8" s="1981" t="s">
        <v>63</v>
      </c>
      <c r="AJ8" s="2112"/>
      <c r="AK8" s="1981" t="s">
        <v>63</v>
      </c>
      <c r="AL8" s="320"/>
      <c r="AM8" s="2137" t="s">
        <v>625</v>
      </c>
      <c r="AN8" s="517">
        <f>STRCHECKDATE(V9:AL9)</f>
      </c>
      <c r="AO8" s="506"/>
      <c r="AP8" s="506" t="str">
        <f>IF(T8="","",T8)</f>
        <v/>
      </c>
      <c r="AQ8" s="506"/>
      <c r="AR8" s="506"/>
    </row>
    <row customHeight="1" ht="14.25" hidden="1">
      <c r="A9" s="1393"/>
      <c r="B9" s="1393"/>
      <c r="C9" s="1393"/>
      <c r="D9" s="1393"/>
      <c r="E9" s="2108"/>
      <c r="F9" s="2108"/>
      <c r="G9" s="2108"/>
      <c r="H9" s="2108"/>
      <c r="I9" s="2110"/>
      <c r="J9" s="2110"/>
      <c r="K9" s="2109"/>
      <c r="L9" s="1394"/>
      <c r="M9" s="543"/>
      <c r="N9" s="1396"/>
      <c r="O9" s="1396"/>
      <c r="P9" s="2111"/>
      <c r="Q9" s="2111"/>
      <c r="R9" s="353"/>
      <c r="S9" s="1372"/>
      <c r="T9" s="288"/>
      <c r="U9" s="288"/>
      <c r="V9" s="320"/>
      <c r="W9" s="320"/>
      <c r="X9" s="320"/>
      <c r="Y9" s="324" t="str">
        <f>Z8&amp;"-"&amp;AB8</f>
        <v>-</v>
      </c>
      <c r="Z9" s="2113"/>
      <c r="AA9" s="1981"/>
      <c r="AB9" s="2113"/>
      <c r="AC9" s="1981"/>
      <c r="AD9" s="320"/>
      <c r="AE9" s="320"/>
      <c r="AF9" s="320"/>
      <c r="AG9" s="324" t="str">
        <f>AH8&amp;"-"&amp;AJ8</f>
        <v>-</v>
      </c>
      <c r="AH9" s="2113"/>
      <c r="AI9" s="1981"/>
      <c r="AJ9" s="2113"/>
      <c r="AK9" s="1981"/>
      <c r="AL9" s="320"/>
      <c r="AM9" s="2138"/>
      <c r="AO9" s="506"/>
      <c r="AP9" s="506" t="str">
        <f>IF(T9="","",T9)</f>
        <v/>
      </c>
      <c r="AQ9" s="506"/>
      <c r="AR9" s="506"/>
    </row>
    <row customHeight="1" ht="15" hidden="1">
      <c r="A10" s="1393"/>
      <c r="B10" s="1393"/>
      <c r="C10" s="1393"/>
      <c r="D10" s="1393"/>
      <c r="E10" s="2108"/>
      <c r="F10" s="2108"/>
      <c r="G10" s="2108"/>
      <c r="H10" s="2108"/>
      <c r="I10" s="2110"/>
      <c r="J10" s="2109"/>
      <c r="K10" s="1393"/>
      <c r="L10" s="1394"/>
      <c r="M10" s="543"/>
      <c r="N10" s="1396"/>
      <c r="P10" s="2111"/>
      <c r="Q10" s="2111"/>
      <c r="R10" s="352"/>
      <c r="S10" s="1308"/>
      <c r="T10" s="275" t="s">
        <v>626</v>
      </c>
      <c r="U10" s="367"/>
      <c r="V10" s="367"/>
      <c r="W10" s="367"/>
      <c r="X10" s="367"/>
      <c r="Y10" s="367"/>
      <c r="Z10" s="367"/>
      <c r="AA10" s="367"/>
      <c r="AB10" s="367"/>
      <c r="AC10" s="367"/>
      <c r="AD10" s="367"/>
      <c r="AE10" s="367"/>
      <c r="AF10" s="367"/>
      <c r="AG10" s="367"/>
      <c r="AH10" s="367"/>
      <c r="AI10" s="367"/>
      <c r="AJ10" s="367"/>
      <c r="AK10" s="367"/>
      <c r="AL10" s="319"/>
      <c r="AM10" s="2139"/>
      <c r="AO10" s="506"/>
      <c r="AP10" s="506" t="str">
        <f>IF(T10="","",T10)</f>
        <v>Добавить вид теплоносителя (параметры теплоносителя)</v>
      </c>
      <c r="AQ10" s="506"/>
      <c r="AR10" s="506"/>
    </row>
    <row customHeight="1" ht="11.25" hidden="1">
      <c r="A11" s="1393"/>
      <c r="B11" s="1393"/>
      <c r="C11" s="1393"/>
      <c r="D11" s="1393"/>
      <c r="E11" s="2108"/>
      <c r="F11" s="2108"/>
      <c r="G11" s="2108"/>
      <c r="H11" s="2108"/>
      <c r="I11" s="2109"/>
      <c r="J11" s="1393"/>
      <c r="K11" s="1393"/>
      <c r="L11" s="1394"/>
      <c r="M11" s="543"/>
      <c r="P11" s="2111"/>
      <c r="Q11" s="1361"/>
      <c r="R11" s="352"/>
      <c r="S11" s="1308"/>
      <c r="T11" s="364" t="s">
        <v>627</v>
      </c>
      <c r="U11" s="367"/>
      <c r="V11" s="367"/>
      <c r="W11" s="367"/>
      <c r="X11" s="367"/>
      <c r="Y11" s="367"/>
      <c r="Z11" s="367"/>
      <c r="AA11" s="367"/>
      <c r="AB11" s="367"/>
      <c r="AC11" s="366"/>
      <c r="AD11" s="367"/>
      <c r="AE11" s="367"/>
      <c r="AF11" s="367"/>
      <c r="AG11" s="367"/>
      <c r="AH11" s="367"/>
      <c r="AI11" s="367"/>
      <c r="AJ11" s="367"/>
      <c r="AK11" s="366"/>
      <c r="AL11" s="367"/>
      <c r="AM11" s="291"/>
      <c r="AO11" s="506"/>
      <c r="AP11" s="506" t="str">
        <f>IF(T11="","",T11)</f>
        <v>Добавить группу потребителей</v>
      </c>
      <c r="AQ11" s="506"/>
      <c r="AR11" s="506"/>
    </row>
    <row customHeight="1" ht="14.25" hidden="1">
      <c r="A12" s="1393"/>
      <c r="B12" s="1393"/>
      <c r="C12" s="1393"/>
      <c r="D12" s="1393"/>
      <c r="E12" s="2108"/>
      <c r="F12" s="2108"/>
      <c r="G12" s="2108"/>
      <c r="H12" s="2107"/>
      <c r="I12" s="1393"/>
      <c r="J12" s="1393"/>
      <c r="K12" s="1393"/>
      <c r="L12" s="1394"/>
      <c r="M12" s="1395"/>
      <c r="N12" s="1395"/>
      <c r="O12" s="543"/>
      <c r="P12" s="356"/>
      <c r="Q12" s="376"/>
      <c r="R12" s="351"/>
      <c r="S12" s="1416"/>
      <c r="T12" s="1417"/>
      <c r="U12" s="1418"/>
      <c r="V12" s="1418"/>
      <c r="W12" s="1418"/>
      <c r="X12" s="1418"/>
      <c r="Y12" s="1418"/>
      <c r="Z12" s="1418"/>
      <c r="AA12" s="1418"/>
      <c r="AB12" s="1418"/>
      <c r="AC12" s="1418"/>
      <c r="AD12" s="1418"/>
      <c r="AE12" s="1418"/>
      <c r="AF12" s="1418"/>
      <c r="AG12" s="1418"/>
      <c r="AH12" s="1418"/>
      <c r="AI12" s="1418"/>
      <c r="AJ12" s="1418"/>
      <c r="AK12" s="1418"/>
      <c r="AL12" s="1418"/>
      <c r="AM12" s="1419"/>
      <c r="AO12" s="506"/>
      <c r="AP12" s="506" t="str">
        <f>IF(T12="","",T12)</f>
        <v/>
      </c>
      <c r="AQ12" s="506"/>
      <c r="AR12" s="506"/>
    </row>
    <row s="3314" customFormat="1" customHeight="1" ht="14.25" hidden="1">
      <c r="A13" s="1344"/>
      <c r="B13" s="1344"/>
      <c r="C13" s="1344"/>
      <c r="D13" s="1344"/>
      <c r="E13" s="2108"/>
      <c r="F13" s="2108"/>
      <c r="G13" s="2107"/>
      <c r="H13" s="1344"/>
      <c r="I13" s="1344"/>
      <c r="J13" s="1344"/>
      <c r="K13" s="1344"/>
      <c r="L13" s="1369"/>
      <c r="M13" s="1345"/>
      <c r="N13" s="1345"/>
      <c r="P13" s="1346"/>
      <c r="Q13" s="1347"/>
      <c r="R13" s="1346"/>
      <c r="S13" s="1348"/>
      <c r="T13" s="1349" t="s">
        <v>254</v>
      </c>
      <c r="U13" s="1350"/>
      <c r="V13" s="1350"/>
      <c r="W13" s="1350"/>
      <c r="X13" s="1350"/>
      <c r="Y13" s="1350"/>
      <c r="Z13" s="1350"/>
      <c r="AA13" s="1350"/>
      <c r="AB13" s="1350"/>
      <c r="AC13" s="1350"/>
      <c r="AD13" s="1350"/>
      <c r="AE13" s="1350"/>
      <c r="AF13" s="1350"/>
      <c r="AG13" s="1350"/>
      <c r="AH13" s="1350"/>
      <c r="AI13" s="1350"/>
      <c r="AJ13" s="1350"/>
      <c r="AK13" s="1350"/>
      <c r="AL13" s="1350"/>
      <c r="AM13" s="1350"/>
      <c r="AO13" s="795"/>
      <c r="AP13" s="795" t="str">
        <f>IF(T13="","",T13)</f>
        <v>Добавить источник для дифференциации</v>
      </c>
      <c r="AQ13" s="795"/>
      <c r="AR13" s="795"/>
    </row>
    <row s="3314" customFormat="1" customHeight="1" ht="14.25" hidden="1">
      <c r="A14" s="1344"/>
      <c r="B14" s="1344"/>
      <c r="C14" s="1344"/>
      <c r="D14" s="1344"/>
      <c r="E14" s="2108"/>
      <c r="F14" s="2107"/>
      <c r="G14" s="1344"/>
      <c r="H14" s="1344"/>
      <c r="I14" s="1344"/>
      <c r="J14" s="1344"/>
      <c r="K14" s="1344"/>
      <c r="L14" s="1369"/>
      <c r="M14" s="1351"/>
      <c r="N14" s="1351"/>
      <c r="P14" s="1346"/>
      <c r="Q14" s="1347"/>
      <c r="R14" s="1346"/>
      <c r="S14" s="1352"/>
      <c r="T14" s="1353" t="s">
        <v>255</v>
      </c>
      <c r="U14" s="1354"/>
      <c r="V14" s="1354"/>
      <c r="W14" s="1354"/>
      <c r="X14" s="1354"/>
      <c r="Y14" s="1354"/>
      <c r="Z14" s="1354"/>
      <c r="AA14" s="1354"/>
      <c r="AB14" s="1354"/>
      <c r="AC14" s="1354"/>
      <c r="AD14" s="1354"/>
      <c r="AE14" s="1354"/>
      <c r="AF14" s="1354"/>
      <c r="AG14" s="1354"/>
      <c r="AH14" s="1354"/>
      <c r="AI14" s="1354"/>
      <c r="AJ14" s="1354"/>
      <c r="AK14" s="1354"/>
      <c r="AL14" s="1354"/>
      <c r="AM14" s="1354"/>
      <c r="AO14" s="795"/>
      <c r="AP14" s="795" t="str">
        <f>IF(T14="","",T14)</f>
        <v>Добавить централизованную систему для дифференциации</v>
      </c>
      <c r="AQ14" s="795"/>
      <c r="AR14" s="795"/>
    </row>
    <row s="3314" customFormat="1" customHeight="1" ht="14.25" hidden="1">
      <c r="A15" s="1344"/>
      <c r="B15" s="1344"/>
      <c r="C15" s="1344"/>
      <c r="D15" s="1344"/>
      <c r="E15" s="2107"/>
      <c r="F15" s="1344"/>
      <c r="G15" s="1344"/>
      <c r="H15" s="1344"/>
      <c r="I15" s="1344"/>
      <c r="J15" s="1344"/>
      <c r="K15" s="1344"/>
      <c r="L15" s="1369"/>
      <c r="M15" s="1351"/>
      <c r="N15" s="1351"/>
      <c r="P15" s="1346"/>
      <c r="Q15" s="1347"/>
      <c r="R15" s="1346"/>
      <c r="S15" s="1352"/>
      <c r="T15" s="1355" t="s">
        <v>329</v>
      </c>
      <c r="U15" s="1354"/>
      <c r="V15" s="1354"/>
      <c r="W15" s="1354"/>
      <c r="X15" s="1354"/>
      <c r="Y15" s="1354"/>
      <c r="Z15" s="1354"/>
      <c r="AA15" s="1354"/>
      <c r="AB15" s="1354"/>
      <c r="AC15" s="1354"/>
      <c r="AD15" s="1354"/>
      <c r="AE15" s="1354"/>
      <c r="AF15" s="1354"/>
      <c r="AG15" s="1354"/>
      <c r="AH15" s="1354"/>
      <c r="AI15" s="1354"/>
      <c r="AJ15" s="1354"/>
      <c r="AK15" s="1354"/>
      <c r="AL15" s="1354"/>
      <c r="AM15" s="1354"/>
      <c r="AO15" s="795"/>
      <c r="AP15" s="795" t="str">
        <f>IF(T15="","",T15)</f>
        <v>Добавить территорию для дифференциации</v>
      </c>
      <c r="AQ15" s="795"/>
      <c r="AR15" s="795"/>
    </row>
    <row customHeight="1" ht="14.25" hidden="1">
      <c r="AC16" s="323"/>
      <c r="AK16" s="323"/>
    </row>
    <row customHeight="1" ht="14.25" hidden="1">
      <c r="AD17" s="1390"/>
      <c r="AE17" s="1390"/>
      <c r="AF17" s="1390"/>
      <c r="AG17" s="1391"/>
      <c r="AH17" s="2105"/>
      <c r="AI17" s="2104" t="s">
        <v>63</v>
      </c>
      <c r="AJ17" s="2105"/>
      <c r="AK17" s="2104" t="s">
        <v>63</v>
      </c>
    </row>
    <row customHeight="1" ht="14.25" hidden="1">
      <c r="AD18" s="1390"/>
      <c r="AE18" s="1390"/>
      <c r="AF18" s="1390"/>
      <c r="AG18" s="324" t="str">
        <f>AH17&amp;"-"&amp;AJ17</f>
        <v>-</v>
      </c>
      <c r="AH18" s="2104"/>
      <c r="AI18" s="2104"/>
      <c r="AJ18" s="2104"/>
      <c r="AK18" s="2104"/>
    </row>
    <row customHeight="1" ht="14.25" hidden="1">
      <c r="AK19" s="323"/>
    </row>
    <row s="2683" customFormat="1" customHeight="1" ht="22.5" hidden="1">
      <c r="L20" s="1359"/>
      <c r="M20" s="1392"/>
      <c r="N20" s="1392"/>
      <c r="O20" s="1397" t="s">
        <v>629</v>
      </c>
      <c r="P20" s="1392"/>
      <c r="Q20" s="1401"/>
      <c r="R20" s="1401"/>
      <c r="S20" s="735"/>
      <c r="Z20" s="1397"/>
      <c r="AB20" s="1397"/>
      <c r="AC20" s="1396"/>
      <c r="AH20" s="1397"/>
      <c r="AJ20" s="1397"/>
      <c r="AK20" s="1396"/>
      <c r="AN20" s="517"/>
      <c r="AO20" s="517"/>
      <c r="AP20" s="517"/>
      <c r="AQ20" s="517"/>
      <c r="AR20" s="517"/>
    </row>
    <row s="2683" customFormat="1" customHeight="1" ht="14.25" hidden="1">
      <c r="L21" s="1359"/>
      <c r="M21" s="1392"/>
      <c r="N21" s="1392"/>
      <c r="O21" s="1392"/>
      <c r="P21" s="1392"/>
      <c r="Q21" s="1401"/>
      <c r="R21" s="1401"/>
      <c r="S21" s="735"/>
      <c r="AC21" s="1396"/>
      <c r="AK21" s="1396"/>
      <c r="AN21" s="517"/>
      <c r="AO21" s="517"/>
      <c r="AP21" s="517"/>
      <c r="AQ21" s="517"/>
      <c r="AR21" s="517"/>
    </row>
    <row s="2683" customFormat="1" customHeight="1" ht="14.25" hidden="1">
      <c r="L22" s="1359"/>
      <c r="M22" s="1392"/>
      <c r="N22" s="1392"/>
      <c r="O22" s="1394" t="s">
        <v>630</v>
      </c>
      <c r="P22" s="1392"/>
      <c r="Q22" s="1401"/>
      <c r="R22" s="1401"/>
      <c r="S22" s="735"/>
      <c r="T22" s="1168" t="s">
        <v>631</v>
      </c>
      <c r="AA22" s="172" t="s">
        <v>632</v>
      </c>
      <c r="AC22" s="172" t="s">
        <v>633</v>
      </c>
      <c r="AD22" s="1168" t="s">
        <v>631</v>
      </c>
      <c r="AI22" s="172" t="s">
        <v>634</v>
      </c>
      <c r="AK22" s="172" t="s">
        <v>633</v>
      </c>
      <c r="AN22" s="517"/>
      <c r="AO22" s="517"/>
      <c r="AP22" s="517"/>
      <c r="AQ22" s="517"/>
      <c r="AR22" s="517"/>
    </row>
    <row customHeight="1" ht="14.25" hidden="1">
      <c r="O23" s="1394"/>
    </row>
    <row customHeight="1" ht="14.25" hidden="1">
      <c r="O24" s="1394"/>
    </row>
    <row customHeight="1" ht="14.25">
      <c r="Q25" s="377"/>
      <c r="R25" s="377"/>
      <c r="S25" s="1305"/>
      <c r="T25" s="361"/>
      <c r="U25" s="361"/>
      <c r="V25" s="515"/>
      <c r="W25" s="515"/>
      <c r="X25" s="515"/>
      <c r="Y25" s="515"/>
      <c r="Z25" s="515"/>
      <c r="AA25" s="515"/>
      <c r="AB25" s="515"/>
      <c r="AC25" s="515"/>
      <c r="AD25" s="515"/>
      <c r="AE25" s="515"/>
      <c r="AF25" s="515"/>
      <c r="AG25" s="515"/>
      <c r="AH25" s="515"/>
      <c r="AI25" s="515"/>
      <c r="AJ25" s="515"/>
      <c r="AK25" s="515"/>
    </row>
    <row customHeight="1" ht="51">
      <c r="Q26" s="377"/>
      <c r="R26" s="377"/>
      <c r="S26" s="214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0"/>
      <c r="U26" s="2140"/>
      <c r="V26" s="2140"/>
      <c r="W26" s="2140"/>
      <c r="X26" s="2140"/>
      <c r="Y26" s="2140"/>
      <c r="Z26" s="2140"/>
      <c r="AA26" s="2140"/>
      <c r="AB26" s="2140"/>
      <c r="AC26" s="2140"/>
      <c r="AD26" s="2140"/>
      <c r="AE26" s="2140"/>
      <c r="AF26" s="2140"/>
      <c r="AG26" s="2140"/>
      <c r="AH26" s="2140"/>
      <c r="AI26" s="2140"/>
      <c r="AJ26" s="2140"/>
      <c r="AK26" s="1261"/>
    </row>
    <row customHeight="1" ht="14.25">
      <c r="Q27" s="377"/>
      <c r="R27" s="377"/>
      <c r="S27" s="2141" t="str">
        <f>IF(org=0,"Не определено",org)</f>
        <v>АО "Мурманэнергосбыт"</v>
      </c>
      <c r="T27" s="2141"/>
      <c r="U27" s="2141"/>
      <c r="V27" s="2141"/>
      <c r="W27" s="2141"/>
      <c r="X27" s="2141"/>
      <c r="Y27" s="2141"/>
      <c r="Z27" s="2141"/>
      <c r="AA27" s="2141"/>
      <c r="AB27" s="2141"/>
      <c r="AC27" s="2141"/>
      <c r="AD27" s="2141"/>
      <c r="AE27" s="2141"/>
      <c r="AF27" s="2141"/>
      <c r="AG27" s="2141"/>
      <c r="AH27" s="2141"/>
      <c r="AI27" s="2141"/>
      <c r="AJ27" s="2141"/>
      <c r="AK27" s="1261"/>
    </row>
    <row customHeight="1" ht="14.25">
      <c r="Q28" s="377"/>
      <c r="R28" s="377"/>
      <c r="S28" s="1305"/>
      <c r="T28" s="361"/>
      <c r="U28" s="361"/>
      <c r="V28" s="316"/>
      <c r="W28" s="316"/>
      <c r="X28" s="316"/>
      <c r="Y28" s="316"/>
      <c r="Z28" s="316"/>
      <c r="AA28" s="316"/>
      <c r="AB28" s="316"/>
      <c r="AC28" s="316"/>
      <c r="AD28" s="316"/>
      <c r="AE28" s="316"/>
      <c r="AF28" s="316"/>
      <c r="AG28" s="316"/>
      <c r="AH28" s="316"/>
      <c r="AI28" s="316"/>
      <c r="AJ28" s="316"/>
      <c r="AK28" s="316"/>
      <c r="AL28" s="515"/>
    </row>
    <row s="3345" customFormat="1" customHeight="1" ht="25.5">
      <c r="A29" s="1398"/>
      <c r="B29" s="1398"/>
      <c r="C29" s="1398"/>
      <c r="D29" s="1398"/>
      <c r="E29" s="1398"/>
      <c r="F29" s="1398"/>
      <c r="G29" s="1398"/>
      <c r="H29" s="1398"/>
      <c r="I29" s="1398"/>
      <c r="J29" s="1398"/>
      <c r="K29" s="1398"/>
      <c r="L29" s="1399"/>
      <c r="M29" s="1398"/>
      <c r="N29" s="1398"/>
      <c r="O29" s="1398"/>
      <c r="S29" s="2098" t="s">
        <v>38</v>
      </c>
      <c r="T29" s="2098"/>
      <c r="U29" s="1402"/>
      <c r="V29" s="2100" t="str">
        <f>IF(TITLE_NAME_OR_PR_CHANGE="",IF(TITLE_NAME_OR_PR="","",TITLE_NAME_OR_PR),TITLE_NAME_OR_PR_CHANGE)</f>
        <v>Комитет по тарифному регулированию Мурманской области</v>
      </c>
      <c r="W29" s="2100"/>
      <c r="X29" s="2100"/>
      <c r="Y29" s="2100"/>
      <c r="Z29" s="2100"/>
      <c r="AA29" s="2100"/>
      <c r="AB29" s="2100"/>
      <c r="AC29" s="322"/>
      <c r="AD29" s="2100" t="str">
        <f>IF(TITLE_NAME_OR_PR_CHANGE="",IF(TITLE_NAME_OR_PR="","",TITLE_NAME_OR_PR),TITLE_NAME_OR_PR_CHANGE)</f>
        <v>Комитет по тарифному регулированию Мурманской области</v>
      </c>
      <c r="AE29" s="2100"/>
      <c r="AF29" s="2100"/>
      <c r="AG29" s="2100"/>
      <c r="AH29" s="2100"/>
      <c r="AI29" s="2100"/>
      <c r="AJ29" s="2100"/>
      <c r="AK29" s="322"/>
      <c r="AL29" s="322"/>
      <c r="AM29" s="268"/>
      <c r="AN29" s="368"/>
      <c r="AO29" s="368"/>
      <c r="AP29" s="368"/>
      <c r="AQ29" s="368"/>
      <c r="AR29" s="368"/>
    </row>
    <row s="3345" customFormat="1" customHeight="1" ht="18.75">
      <c r="A30" s="1398"/>
      <c r="B30" s="1398"/>
      <c r="C30" s="1398"/>
      <c r="D30" s="1398"/>
      <c r="E30" s="1398"/>
      <c r="F30" s="1398"/>
      <c r="G30" s="1398"/>
      <c r="H30" s="1398"/>
      <c r="I30" s="1398"/>
      <c r="J30" s="1398"/>
      <c r="K30" s="1398"/>
      <c r="L30" s="1399"/>
      <c r="M30" s="1398"/>
      <c r="N30" s="1398"/>
      <c r="O30" s="1398"/>
      <c r="S30" s="2098" t="s">
        <v>635</v>
      </c>
      <c r="T30" s="2098"/>
      <c r="U30" s="1402"/>
      <c r="V30" s="2099" t="str">
        <f>IF(TITLE_DATE_PR_CHANGE="",IF(TITLE_DATE_PR="","",TITLE_DATE_PR),TITLE_DATE_PR_CHANGE)</f>
        <v>45205</v>
      </c>
      <c r="W30" s="2099"/>
      <c r="X30" s="2099"/>
      <c r="Y30" s="2099"/>
      <c r="Z30" s="2099"/>
      <c r="AA30" s="2099"/>
      <c r="AB30" s="2099"/>
      <c r="AC30" s="322"/>
      <c r="AD30" s="2099" t="str">
        <f>IF(TITLE_DATE_PR_CHANGE="",IF(TITLE_DATE_PR="","",TITLE_DATE_PR),TITLE_DATE_PR_CHANGE)</f>
        <v>45205</v>
      </c>
      <c r="AE30" s="2099"/>
      <c r="AF30" s="2099"/>
      <c r="AG30" s="2099"/>
      <c r="AH30" s="2099"/>
      <c r="AI30" s="2099"/>
      <c r="AJ30" s="2099"/>
      <c r="AK30" s="322"/>
      <c r="AL30" s="322"/>
      <c r="AM30" s="268"/>
      <c r="AN30" s="368"/>
      <c r="AO30" s="368"/>
      <c r="AP30" s="368"/>
      <c r="AQ30" s="368"/>
      <c r="AR30" s="368"/>
    </row>
    <row s="3345" customFormat="1" customHeight="1" ht="18.75">
      <c r="A31" s="1398"/>
      <c r="B31" s="1398"/>
      <c r="C31" s="1398"/>
      <c r="D31" s="1398"/>
      <c r="E31" s="1398"/>
      <c r="F31" s="1398"/>
      <c r="G31" s="1398"/>
      <c r="H31" s="1398"/>
      <c r="I31" s="1398"/>
      <c r="J31" s="1398"/>
      <c r="K31" s="1398"/>
      <c r="L31" s="1399"/>
      <c r="M31" s="1398"/>
      <c r="N31" s="1398"/>
      <c r="O31" s="1398"/>
      <c r="S31" s="2098" t="s">
        <v>636</v>
      </c>
      <c r="T31" s="2098"/>
      <c r="U31" s="1402"/>
      <c r="V31" s="2100" t="str">
        <f>IF(TITLE_NUMBER_PR_CHANGE="",IF(TITLE_NUMBER_PR="","",TITLE_NUMBER_PR),TITLE_NUMBER_PR_CHANGE)</f>
        <v>36/2</v>
      </c>
      <c r="W31" s="2100"/>
      <c r="X31" s="2100"/>
      <c r="Y31" s="2100"/>
      <c r="Z31" s="2100"/>
      <c r="AA31" s="2100"/>
      <c r="AB31" s="2100"/>
      <c r="AC31" s="322"/>
      <c r="AD31" s="2100" t="str">
        <f>IF(TITLE_NUMBER_PR_CHANGE="",IF(TITLE_NUMBER_PR="","",TITLE_NUMBER_PR),TITLE_NUMBER_PR_CHANGE)</f>
        <v>36/2</v>
      </c>
      <c r="AE31" s="2100"/>
      <c r="AF31" s="2100"/>
      <c r="AG31" s="2100"/>
      <c r="AH31" s="2100"/>
      <c r="AI31" s="2100"/>
      <c r="AJ31" s="2100"/>
      <c r="AK31" s="322"/>
      <c r="AL31" s="322"/>
      <c r="AM31" s="268"/>
      <c r="AN31" s="368"/>
      <c r="AO31" s="368"/>
      <c r="AP31" s="368"/>
      <c r="AQ31" s="368"/>
      <c r="AR31" s="368"/>
    </row>
    <row s="3345" customFormat="1" customHeight="1" ht="18.75">
      <c r="A32" s="1398"/>
      <c r="B32" s="1398"/>
      <c r="C32" s="1398"/>
      <c r="D32" s="1398"/>
      <c r="E32" s="1398"/>
      <c r="F32" s="1398"/>
      <c r="G32" s="1398"/>
      <c r="H32" s="1398"/>
      <c r="I32" s="1398"/>
      <c r="J32" s="1398"/>
      <c r="K32" s="1398"/>
      <c r="L32" s="1399"/>
      <c r="M32" s="1398"/>
      <c r="N32" s="1398"/>
      <c r="O32" s="1398"/>
      <c r="S32" s="2098" t="s">
        <v>40</v>
      </c>
      <c r="T32" s="2098"/>
      <c r="U32" s="1402"/>
      <c r="V32" s="2100" t="str">
        <f>IF(TITLE_IST_PUB_CHANGE="",IF(TITLE_IST_PUB="","",TITLE_IST_PUB),TITLE_IST_PUB_CHANGE)</f>
        <v>https://npa.gov-murman.ru/bitrix/components/b1team/govmurman.element.file/download.php?ID=495002&amp;FID=732763</v>
      </c>
      <c r="W32" s="2100"/>
      <c r="X32" s="2100"/>
      <c r="Y32" s="2100"/>
      <c r="Z32" s="2100"/>
      <c r="AA32" s="2100"/>
      <c r="AB32" s="2100"/>
      <c r="AC32" s="322"/>
      <c r="AD32" s="2100" t="str">
        <f>IF(TITLE_IST_PUB_CHANGE="",IF(TITLE_IST_PUB="","",TITLE_IST_PUB),TITLE_IST_PUB_CHANGE)</f>
        <v>https://npa.gov-murman.ru/bitrix/components/b1team/govmurman.element.file/download.php?ID=495002&amp;FID=732763</v>
      </c>
      <c r="AE32" s="2100"/>
      <c r="AF32" s="2100"/>
      <c r="AG32" s="2100"/>
      <c r="AH32" s="2100"/>
      <c r="AI32" s="2100"/>
      <c r="AJ32" s="2100"/>
      <c r="AK32" s="322"/>
      <c r="AL32" s="322"/>
      <c r="AM32" s="268"/>
      <c r="AN32" s="368"/>
      <c r="AO32" s="368"/>
      <c r="AP32" s="368"/>
      <c r="AQ32" s="368"/>
      <c r="AR32" s="368"/>
    </row>
    <row customHeight="1" ht="14.25" hidden="1">
      <c r="Q33" s="377"/>
      <c r="R33" s="377"/>
      <c r="S33" s="1305"/>
      <c r="T33" s="361"/>
      <c r="U33" s="361"/>
      <c r="V33" s="316"/>
      <c r="W33" s="316"/>
      <c r="X33" s="316"/>
      <c r="Y33" s="316"/>
      <c r="Z33" s="316"/>
      <c r="AA33" s="316"/>
      <c r="AB33" s="316"/>
      <c r="AC33" s="316"/>
      <c r="AD33" s="316"/>
      <c r="AE33" s="316"/>
      <c r="AF33" s="316"/>
      <c r="AG33" s="316"/>
      <c r="AH33" s="316"/>
      <c r="AI33" s="316"/>
      <c r="AJ33" s="316"/>
      <c r="AK33" s="316"/>
      <c r="AL33" s="515"/>
    </row>
    <row s="3345" customFormat="1" customHeight="1" ht="18.75" hidden="1">
      <c r="A34" s="1398"/>
      <c r="B34" s="1398"/>
      <c r="C34" s="1398"/>
      <c r="D34" s="1398"/>
      <c r="E34" s="1398"/>
      <c r="F34" s="1398"/>
      <c r="G34" s="1398"/>
      <c r="H34" s="1398"/>
      <c r="I34" s="1398"/>
      <c r="J34" s="1398"/>
      <c r="K34" s="1398"/>
      <c r="L34" s="1399"/>
      <c r="M34" s="1398"/>
      <c r="N34" s="1398"/>
      <c r="O34" s="1398"/>
      <c r="S34" s="2098" t="s">
        <v>637</v>
      </c>
      <c r="T34" s="2098"/>
      <c r="U34" s="1402"/>
      <c r="V34" s="2099" t="str">
        <f>IF(TITLE_DATE_PR_CHANGE="",IF(TITLE_DATE_PR="","",TITLE_DATE_PR),TITLE_DATE_PR_CHANGE)</f>
        <v>45205</v>
      </c>
      <c r="W34" s="2099"/>
      <c r="X34" s="2099"/>
      <c r="Y34" s="2099"/>
      <c r="Z34" s="2099"/>
      <c r="AA34" s="2099"/>
      <c r="AB34" s="2099"/>
      <c r="AC34" s="322"/>
      <c r="AD34" s="2099" t="str">
        <f>IF(TITLE_DATE_PR_CHANGE="",IF(TITLE_DATE_PR="","",TITLE_DATE_PR),TITLE_DATE_PR_CHANGE)</f>
        <v>45205</v>
      </c>
      <c r="AE34" s="2099"/>
      <c r="AF34" s="2099"/>
      <c r="AG34" s="2099"/>
      <c r="AH34" s="2099"/>
      <c r="AI34" s="2099"/>
      <c r="AJ34" s="2099"/>
      <c r="AK34" s="322"/>
      <c r="AL34" s="322"/>
      <c r="AM34" s="268"/>
      <c r="AN34" s="368"/>
      <c r="AO34" s="368"/>
      <c r="AP34" s="368"/>
      <c r="AQ34" s="368"/>
      <c r="AR34" s="368"/>
    </row>
    <row s="3345" customFormat="1" customHeight="1" ht="25.5" hidden="1">
      <c r="A35" s="1398"/>
      <c r="B35" s="1398"/>
      <c r="C35" s="1398"/>
      <c r="D35" s="1398"/>
      <c r="E35" s="1398"/>
      <c r="F35" s="1398"/>
      <c r="G35" s="1398"/>
      <c r="H35" s="1398"/>
      <c r="I35" s="1398"/>
      <c r="J35" s="1398"/>
      <c r="K35" s="1398"/>
      <c r="L35" s="1399"/>
      <c r="M35" s="1398"/>
      <c r="N35" s="1398"/>
      <c r="O35" s="1398"/>
      <c r="S35" s="2098" t="s">
        <v>638</v>
      </c>
      <c r="T35" s="2098"/>
      <c r="U35" s="1402"/>
      <c r="V35" s="2100" t="str">
        <f>IF(TITLE_NUMBER_PR_CHANGE="",IF(TITLE_NUMBER_PR="","",TITLE_NUMBER_PR),TITLE_NUMBER_PR_CHANGE)</f>
        <v>36/2</v>
      </c>
      <c r="W35" s="2100"/>
      <c r="X35" s="2100"/>
      <c r="Y35" s="2100"/>
      <c r="Z35" s="2100"/>
      <c r="AA35" s="2100"/>
      <c r="AB35" s="2100"/>
      <c r="AC35" s="322"/>
      <c r="AD35" s="2100" t="str">
        <f>IF(TITLE_NUMBER_PR_CHANGE="",IF(TITLE_NUMBER_PR="","",TITLE_NUMBER_PR),TITLE_NUMBER_PR_CHANGE)</f>
        <v>36/2</v>
      </c>
      <c r="AE35" s="2100"/>
      <c r="AF35" s="2100"/>
      <c r="AG35" s="2100"/>
      <c r="AH35" s="2100"/>
      <c r="AI35" s="2100"/>
      <c r="AJ35" s="2100"/>
      <c r="AK35" s="322"/>
      <c r="AL35" s="322"/>
      <c r="AM35" s="268"/>
      <c r="AN35" s="368"/>
      <c r="AO35" s="368"/>
      <c r="AP35" s="368"/>
      <c r="AQ35" s="368"/>
      <c r="AR35" s="368"/>
    </row>
    <row s="3345" customFormat="1" customHeight="1" ht="0">
      <c r="A36" s="1398"/>
      <c r="B36" s="1398"/>
      <c r="C36" s="1398"/>
      <c r="D36" s="1398"/>
      <c r="E36" s="1398"/>
      <c r="F36" s="1398"/>
      <c r="G36" s="1398"/>
      <c r="H36" s="1398"/>
      <c r="I36" s="1398"/>
      <c r="J36" s="1398"/>
      <c r="K36" s="1398"/>
      <c r="L36" s="1399"/>
      <c r="M36" s="1398"/>
      <c r="N36" s="1398"/>
      <c r="O36" s="1398"/>
      <c r="S36" s="318"/>
      <c r="T36" s="318"/>
      <c r="U36" s="1370"/>
      <c r="V36" s="322"/>
      <c r="W36" s="322"/>
      <c r="X36" s="322"/>
      <c r="Y36" s="322"/>
      <c r="Z36" s="322"/>
      <c r="AA36" s="322"/>
      <c r="AB36" s="322"/>
      <c r="AC36" s="266" t="s">
        <v>639</v>
      </c>
      <c r="AD36" s="322"/>
      <c r="AE36" s="322"/>
      <c r="AF36" s="322"/>
      <c r="AG36" s="322"/>
      <c r="AH36" s="322"/>
      <c r="AI36" s="322"/>
      <c r="AJ36" s="322"/>
      <c r="AK36" s="266" t="s">
        <v>639</v>
      </c>
      <c r="AN36" s="368"/>
      <c r="AO36" s="368"/>
      <c r="AP36" s="368"/>
      <c r="AQ36" s="368"/>
      <c r="AR36" s="368"/>
    </row>
    <row customHeight="1" ht="14.25">
      <c r="Q37" s="377"/>
      <c r="R37" s="377"/>
      <c r="S37" s="1305"/>
      <c r="T37" s="361"/>
      <c r="U37" s="1262"/>
      <c r="V37" s="2124"/>
      <c r="W37" s="2124"/>
      <c r="X37" s="2124"/>
      <c r="Y37" s="2124"/>
      <c r="Z37" s="2124"/>
      <c r="AA37" s="2124"/>
      <c r="AB37" s="2124"/>
      <c r="AC37" s="2124"/>
      <c r="AD37" s="2124"/>
      <c r="AE37" s="2124"/>
      <c r="AF37" s="2124"/>
      <c r="AG37" s="2124"/>
      <c r="AH37" s="2124"/>
      <c r="AI37" s="2124"/>
      <c r="AJ37" s="2124"/>
      <c r="AK37" s="2124"/>
    </row>
    <row customHeight="1" ht="14.25">
      <c r="Q38" s="377"/>
      <c r="R38" s="377"/>
      <c r="S38" s="1971" t="s">
        <v>513</v>
      </c>
      <c r="T38" s="1971"/>
      <c r="U38" s="1971"/>
      <c r="V38" s="1971"/>
      <c r="W38" s="1971"/>
      <c r="X38" s="1971"/>
      <c r="Y38" s="1971"/>
      <c r="Z38" s="1971"/>
      <c r="AA38" s="1971"/>
      <c r="AB38" s="1971"/>
      <c r="AC38" s="1971"/>
      <c r="AD38" s="1971"/>
      <c r="AE38" s="1971"/>
      <c r="AF38" s="1971"/>
      <c r="AG38" s="1971"/>
      <c r="AH38" s="1971"/>
      <c r="AI38" s="1971"/>
      <c r="AJ38" s="1971"/>
      <c r="AK38" s="1971"/>
      <c r="AL38" s="1971"/>
      <c r="AM38" s="1971" t="s">
        <v>514</v>
      </c>
    </row>
    <row customHeight="1" ht="14.25">
      <c r="Q39" s="377"/>
      <c r="R39" s="377"/>
      <c r="S39" s="2125" t="s">
        <v>89</v>
      </c>
      <c r="T39" s="2062" t="s">
        <v>640</v>
      </c>
      <c r="U39" s="289"/>
      <c r="V39" s="2126" t="s">
        <v>641</v>
      </c>
      <c r="W39" s="2127"/>
      <c r="X39" s="2127"/>
      <c r="Y39" s="2127"/>
      <c r="Z39" s="2127"/>
      <c r="AA39" s="2127"/>
      <c r="AB39" s="2128"/>
      <c r="AC39" s="2129" t="s">
        <v>642</v>
      </c>
      <c r="AD39" s="2126" t="s">
        <v>641</v>
      </c>
      <c r="AE39" s="2127"/>
      <c r="AF39" s="2127"/>
      <c r="AG39" s="2127"/>
      <c r="AH39" s="2127"/>
      <c r="AI39" s="2127"/>
      <c r="AJ39" s="2128"/>
      <c r="AK39" s="2129" t="s">
        <v>643</v>
      </c>
      <c r="AL39" s="2132" t="s">
        <v>644</v>
      </c>
      <c r="AM39" s="1971"/>
    </row>
    <row customHeight="1" ht="33.75">
      <c r="Q40" s="377"/>
      <c r="R40" s="377"/>
      <c r="S40" s="2125"/>
      <c r="T40" s="2062"/>
      <c r="U40" s="1038"/>
      <c r="V40" s="2135" t="s">
        <v>645</v>
      </c>
      <c r="W40" s="2116"/>
      <c r="X40" s="2118" t="s">
        <v>647</v>
      </c>
      <c r="Y40" s="2120"/>
      <c r="Z40" s="2118" t="s">
        <v>648</v>
      </c>
      <c r="AA40" s="2119"/>
      <c r="AB40" s="2120"/>
      <c r="AC40" s="2130"/>
      <c r="AD40" s="2135" t="s">
        <v>645</v>
      </c>
      <c r="AE40" s="2116"/>
      <c r="AF40" s="2118" t="s">
        <v>647</v>
      </c>
      <c r="AG40" s="2120"/>
      <c r="AH40" s="2118" t="s">
        <v>648</v>
      </c>
      <c r="AI40" s="2119"/>
      <c r="AJ40" s="2120"/>
      <c r="AK40" s="2130"/>
      <c r="AL40" s="2133"/>
      <c r="AM40" s="1971"/>
    </row>
    <row customHeight="1" ht="33.75">
      <c r="A41" s="1400"/>
      <c r="B41" s="1400" t="s">
        <v>216</v>
      </c>
      <c r="C41" s="1400" t="s">
        <v>217</v>
      </c>
      <c r="D41" s="1400" t="s">
        <v>218</v>
      </c>
      <c r="E41" s="1394" t="s">
        <v>649</v>
      </c>
      <c r="F41" s="1394" t="s">
        <v>650</v>
      </c>
      <c r="G41" s="1394" t="s">
        <v>651</v>
      </c>
      <c r="H41" s="1394" t="s">
        <v>652</v>
      </c>
      <c r="I41" s="1394" t="s">
        <v>653</v>
      </c>
      <c r="J41" s="1394" t="s">
        <v>654</v>
      </c>
      <c r="K41" s="1394" t="s">
        <v>655</v>
      </c>
      <c r="L41" s="1394" t="s">
        <v>630</v>
      </c>
      <c r="Q41" s="377"/>
      <c r="R41" s="377"/>
      <c r="S41" s="2125"/>
      <c r="T41" s="2062"/>
      <c r="U41" s="290"/>
      <c r="V41" s="2136"/>
      <c r="W41" s="2117"/>
      <c r="X41" s="1237" t="s">
        <v>656</v>
      </c>
      <c r="Y41" s="1237" t="s">
        <v>657</v>
      </c>
      <c r="Z41" s="1368" t="s">
        <v>658</v>
      </c>
      <c r="AA41" s="2121" t="s">
        <v>659</v>
      </c>
      <c r="AB41" s="2122"/>
      <c r="AC41" s="2131"/>
      <c r="AD41" s="2136"/>
      <c r="AE41" s="2117"/>
      <c r="AF41" s="1237" t="s">
        <v>656</v>
      </c>
      <c r="AG41" s="1237" t="s">
        <v>657</v>
      </c>
      <c r="AH41" s="1368" t="s">
        <v>658</v>
      </c>
      <c r="AI41" s="2121" t="s">
        <v>659</v>
      </c>
      <c r="AJ41" s="2122"/>
      <c r="AK41" s="2131"/>
      <c r="AL41" s="2134"/>
      <c r="AM41" s="1971"/>
    </row>
    <row s="2611" customFormat="1" customHeight="1" ht="11.25" hidden="1">
      <c r="A42" s="1400"/>
      <c r="B42" s="1400"/>
      <c r="C42" s="1400"/>
      <c r="D42" s="1400"/>
      <c r="E42" s="1400"/>
      <c r="F42" s="1400"/>
      <c r="G42" s="1400"/>
      <c r="H42" s="1400"/>
      <c r="I42" s="1400"/>
      <c r="J42" s="1400"/>
      <c r="K42" s="1400"/>
      <c r="L42" s="1394"/>
      <c r="M42" s="1392"/>
      <c r="N42" s="1392"/>
      <c r="O42" s="1392"/>
      <c r="P42" s="1264"/>
      <c r="Q42" s="1265"/>
      <c r="R42" s="1280">
        <v>1</v>
      </c>
      <c r="S42" s="1307" t="s">
        <v>193</v>
      </c>
      <c r="T42" s="1281" t="s">
        <v>104</v>
      </c>
      <c r="U42" s="1263" t="str">
        <f>OFFSET(U42,0,-1)</f>
        <v>2</v>
      </c>
      <c r="V42" s="1365">
        <f>OFFSET(V42,0,-1)+1</f>
        <v>3</v>
      </c>
      <c r="W42" s="1365"/>
      <c r="X42" s="1365">
        <f>OFFSET(X42,0,-1)+1</f>
        <v>1</v>
      </c>
      <c r="Y42" s="1365">
        <f>OFFSET(Y42,0,-1)+1</f>
        <v>2</v>
      </c>
      <c r="Z42" s="1365">
        <f>OFFSET(Z42,0,-1)+1</f>
        <v>3</v>
      </c>
      <c r="AA42" s="2123">
        <f>OFFSET(AA42,0,-1)+1</f>
        <v>4</v>
      </c>
      <c r="AB42" s="2123"/>
      <c r="AC42" s="1365">
        <f>OFFSET(AC42,0,-2)+1</f>
        <v>5</v>
      </c>
      <c r="AD42" s="1365">
        <f>OFFSET(AD42,0,-1)+1</f>
        <v>6</v>
      </c>
      <c r="AE42" s="1365"/>
      <c r="AF42" s="1365">
        <f>OFFSET(AF42,0,-1)+1</f>
        <v>1</v>
      </c>
      <c r="AG42" s="1365">
        <f>OFFSET(AG42,0,-1)+1</f>
        <v>2</v>
      </c>
      <c r="AH42" s="1365">
        <f>OFFSET(AH42,0,-1)+1</f>
        <v>3</v>
      </c>
      <c r="AI42" s="2123">
        <f>OFFSET(AI42,0,-1)+1</f>
        <v>4</v>
      </c>
      <c r="AJ42" s="2123"/>
      <c r="AK42" s="1365">
        <f>OFFSET(AK42,0,-2)+1</f>
        <v>5</v>
      </c>
      <c r="AL42" s="1263">
        <f>OFFSET(AL42,0,-1)</f>
        <v>5</v>
      </c>
      <c r="AM42" s="1365">
        <f>OFFSET(AM42,0,-1)+1</f>
        <v>6</v>
      </c>
      <c r="AN42" s="517"/>
      <c r="AO42" s="517"/>
      <c r="AP42" s="517"/>
      <c r="AQ42" s="517"/>
      <c r="AR42" s="517"/>
    </row>
    <row customHeight="1" ht="21">
      <c r="A43" s="1393" t="s">
        <v>413</v>
      </c>
      <c r="B43" s="1393"/>
      <c r="C43" s="1393"/>
      <c r="D43" s="1393"/>
      <c r="E43" s="2107">
        <v>1</v>
      </c>
      <c r="F43" s="1393"/>
      <c r="G43" s="1393"/>
      <c r="H43" s="1393"/>
      <c r="I43" s="1393"/>
      <c r="J43" s="1393"/>
      <c r="K43" s="1393"/>
      <c r="L43" s="1394"/>
      <c r="M43" s="1395"/>
      <c r="N43" s="1395"/>
      <c r="O43" s="1395"/>
      <c r="P43" s="357"/>
      <c r="Q43" s="356"/>
      <c r="R43" s="351"/>
      <c r="S43" s="1366">
        <f>INDEX(PT_DIFFERENTIATION_NUM_NTAR,MATCH(A43,PT_DIFFERENTIATION_NTAR_ID,0))</f>
        <v>0</v>
      </c>
      <c r="T43" s="286" t="s">
        <v>204</v>
      </c>
      <c r="U43" s="288"/>
      <c r="V43" s="2101"/>
      <c r="W43" s="2102"/>
      <c r="X43" s="2102"/>
      <c r="Y43" s="2102"/>
      <c r="Z43" s="2102"/>
      <c r="AA43" s="2102"/>
      <c r="AB43" s="2102"/>
      <c r="AC43" s="2103"/>
      <c r="AD43" s="2101" t="str">
        <f>INDEX(PT_DIFFERENTIATION_NTAR,MATCH(A43,PT_DIFFERENTIATION_NTAR_ID,0))</f>
        <v/>
      </c>
      <c r="AE43" s="2102"/>
      <c r="AF43" s="2102"/>
      <c r="AG43" s="2102"/>
      <c r="AH43" s="2102"/>
      <c r="AI43" s="2102"/>
      <c r="AJ43" s="2102"/>
      <c r="AK43" s="2102"/>
      <c r="AL43" s="2103"/>
      <c r="AM43" s="12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6"/>
      <c r="AP43" s="506" t="str">
        <f>IF(T43="","",T43)</f>
        <v>Наименование тарифа</v>
      </c>
      <c r="AQ43" s="506"/>
      <c r="AR43" s="506"/>
    </row>
    <row customHeight="1" ht="21">
      <c r="A44" s="1393" t="s">
        <v>413</v>
      </c>
      <c r="B44" s="1393" t="s">
        <v>414</v>
      </c>
      <c r="C44" s="1393"/>
      <c r="D44" s="1393"/>
      <c r="E44" s="2108"/>
      <c r="F44" s="2107">
        <v>1</v>
      </c>
      <c r="G44" s="1393"/>
      <c r="H44" s="1393"/>
      <c r="I44" s="1393"/>
      <c r="J44" s="1393"/>
      <c r="K44" s="1393"/>
      <c r="L44" s="1394"/>
      <c r="M44" s="1395"/>
      <c r="N44" s="1395"/>
      <c r="O44" s="1395"/>
      <c r="P44" s="1362"/>
      <c r="Q44" s="348"/>
      <c r="R44" s="349"/>
      <c r="S44" s="1366" t="str">
        <f>INDEX(PT_DIFFERENTIATION_NUM_TER,MATCH(B44,PT_DIFFERENTIATION_TER_ID,0))</f>
        <v>.</v>
      </c>
      <c r="T44" s="298" t="s">
        <v>612</v>
      </c>
      <c r="U44" s="288"/>
      <c r="V44" s="2101"/>
      <c r="W44" s="2102"/>
      <c r="X44" s="2102"/>
      <c r="Y44" s="2102"/>
      <c r="Z44" s="2102"/>
      <c r="AA44" s="2102"/>
      <c r="AB44" s="2102"/>
      <c r="AC44" s="2103"/>
      <c r="AD44" s="2101" t="str">
        <f>INDEX(PT_DIFFERENTIATION_TER,MATCH(B44,PT_DIFFERENTIATION_TER_ID,0))</f>
        <v/>
      </c>
      <c r="AE44" s="2102"/>
      <c r="AF44" s="2102"/>
      <c r="AG44" s="2102"/>
      <c r="AH44" s="2102"/>
      <c r="AI44" s="2102"/>
      <c r="AJ44" s="2102"/>
      <c r="AK44" s="2102"/>
      <c r="AL44" s="2103"/>
      <c r="AM44" s="1286" t="s">
        <v>613</v>
      </c>
      <c r="AO44" s="506"/>
      <c r="AP44" s="506" t="str">
        <f>IF(T44="","",T44)</f>
        <v>Территория действия тарифа</v>
      </c>
      <c r="AQ44" s="506"/>
      <c r="AR44" s="506"/>
    </row>
    <row customHeight="1" ht="23.25">
      <c r="A45" s="1393" t="s">
        <v>413</v>
      </c>
      <c r="B45" s="1393" t="s">
        <v>414</v>
      </c>
      <c r="C45" s="1393" t="s">
        <v>415</v>
      </c>
      <c r="D45" s="1393"/>
      <c r="E45" s="2108"/>
      <c r="F45" s="2108"/>
      <c r="G45" s="2107">
        <v>1</v>
      </c>
      <c r="H45" s="1393"/>
      <c r="I45" s="1393"/>
      <c r="J45" s="1393"/>
      <c r="K45" s="1393"/>
      <c r="L45" s="1394"/>
      <c r="M45" s="1395"/>
      <c r="N45" s="1395"/>
      <c r="O45" s="1395"/>
      <c r="P45" s="350"/>
      <c r="Q45" s="348"/>
      <c r="R45" s="349"/>
      <c r="S45" s="1366" t="str">
        <f>INDEX(PT_DIFFERENTIATION_NUM_CS,MATCH(C45,PT_DIFFERENTIATION_CS_ID,0))</f>
        <v>..</v>
      </c>
      <c r="T45" s="299" t="s">
        <v>614</v>
      </c>
      <c r="U45" s="288"/>
      <c r="V45" s="2101"/>
      <c r="W45" s="2102"/>
      <c r="X45" s="2102"/>
      <c r="Y45" s="2102"/>
      <c r="Z45" s="2102"/>
      <c r="AA45" s="2102"/>
      <c r="AB45" s="2102"/>
      <c r="AC45" s="2103"/>
      <c r="AD45" s="2101" t="str">
        <f>INDEX(PT_DIFFERENTIATION_CS,MATCH(C45,PT_DIFFERENTIATION_CS_ID,0))</f>
        <v/>
      </c>
      <c r="AE45" s="2102"/>
      <c r="AF45" s="2102"/>
      <c r="AG45" s="2102"/>
      <c r="AH45" s="2102"/>
      <c r="AI45" s="2102"/>
      <c r="AJ45" s="2102"/>
      <c r="AK45" s="2102"/>
      <c r="AL45" s="2103"/>
      <c r="AM45" s="1286" t="s">
        <v>615</v>
      </c>
      <c r="AO45" s="506"/>
      <c r="AP45" s="506" t="str">
        <f>IF(T45="","",T45)</f>
        <v>Наименование системы теплоснабжения </v>
      </c>
      <c r="AQ45" s="506"/>
      <c r="AR45" s="506"/>
    </row>
    <row customHeight="1" ht="21">
      <c r="A46" s="1393" t="s">
        <v>413</v>
      </c>
      <c r="B46" s="1393" t="s">
        <v>414</v>
      </c>
      <c r="C46" s="1393" t="s">
        <v>415</v>
      </c>
      <c r="D46" s="1393" t="s">
        <v>416</v>
      </c>
      <c r="E46" s="2108"/>
      <c r="F46" s="2108"/>
      <c r="G46" s="2108"/>
      <c r="H46" s="2107">
        <v>1</v>
      </c>
      <c r="I46" s="1393"/>
      <c r="J46" s="1393"/>
      <c r="K46" s="1393"/>
      <c r="L46" s="1394"/>
      <c r="M46" s="1395"/>
      <c r="N46" s="1395"/>
      <c r="O46" s="1395"/>
      <c r="P46" s="350"/>
      <c r="Q46" s="348"/>
      <c r="R46" s="349"/>
      <c r="S46" s="1366" t="str">
        <f>INDEX(PT_DIFFERENTIATION_NUM_IST_TE,MATCH(D46,PT_DIFFERENTIATION_IST_TE_ID,0))</f>
        <v>...</v>
      </c>
      <c r="T46" s="300" t="s">
        <v>616</v>
      </c>
      <c r="U46" s="288"/>
      <c r="V46" s="2101"/>
      <c r="W46" s="2102"/>
      <c r="X46" s="2102"/>
      <c r="Y46" s="2102"/>
      <c r="Z46" s="2102"/>
      <c r="AA46" s="2102"/>
      <c r="AB46" s="2102"/>
      <c r="AC46" s="2103"/>
      <c r="AD46" s="2101" t="str">
        <f>INDEX(PT_DIFFERENTIATION_IST_TE,MATCH(D46,PT_DIFFERENTIATION_IST_TE_ID,0))</f>
        <v/>
      </c>
      <c r="AE46" s="2102"/>
      <c r="AF46" s="2102"/>
      <c r="AG46" s="2102"/>
      <c r="AH46" s="2102"/>
      <c r="AI46" s="2102"/>
      <c r="AJ46" s="2102"/>
      <c r="AK46" s="2102"/>
      <c r="AL46" s="2103"/>
      <c r="AM46" s="1286" t="s">
        <v>617</v>
      </c>
      <c r="AO46" s="506"/>
      <c r="AP46" s="506" t="str">
        <f>IF(T46="","",T46)</f>
        <v>Источник тепловой энергии  </v>
      </c>
      <c r="AQ46" s="506"/>
      <c r="AR46" s="506"/>
    </row>
    <row s="2612" customFormat="1" customHeight="1" ht="0">
      <c r="A47" s="1373" t="s">
        <v>413</v>
      </c>
      <c r="B47" s="1373" t="s">
        <v>414</v>
      </c>
      <c r="C47" s="1373" t="s">
        <v>415</v>
      </c>
      <c r="D47" s="1373" t="s">
        <v>416</v>
      </c>
      <c r="E47" s="2108"/>
      <c r="F47" s="2108"/>
      <c r="G47" s="2108"/>
      <c r="H47" s="2108"/>
      <c r="I47" s="2109" t="str">
        <f>S46&amp;".1"</f>
        <v>....1</v>
      </c>
      <c r="J47" s="1373"/>
      <c r="K47" s="1373"/>
      <c r="L47" s="1376" t="s">
        <v>618</v>
      </c>
      <c r="M47" s="516"/>
      <c r="N47" s="516"/>
      <c r="O47" s="516"/>
      <c r="P47" s="2111">
        <v>1</v>
      </c>
      <c r="Q47" s="1361"/>
      <c r="R47" s="352"/>
      <c r="S47" s="1049"/>
      <c r="T47" s="1413"/>
      <c r="U47" s="1414"/>
      <c r="V47" s="2147"/>
      <c r="W47" s="2148"/>
      <c r="X47" s="2148"/>
      <c r="Y47" s="2148"/>
      <c r="Z47" s="2148"/>
      <c r="AA47" s="2148"/>
      <c r="AB47" s="2148"/>
      <c r="AC47" s="2149"/>
      <c r="AD47" s="2147"/>
      <c r="AE47" s="2148"/>
      <c r="AF47" s="2148"/>
      <c r="AG47" s="2148"/>
      <c r="AH47" s="2148"/>
      <c r="AI47" s="2148"/>
      <c r="AJ47" s="2148"/>
      <c r="AK47" s="2148"/>
      <c r="AL47" s="2149"/>
      <c r="AM47" s="1415"/>
      <c r="AO47" s="506"/>
      <c r="AP47" s="506" t="str">
        <f>IF(T47="","",T47)</f>
        <v/>
      </c>
      <c r="AQ47" s="506"/>
      <c r="AR47" s="506"/>
    </row>
    <row customHeight="1" ht="21">
      <c r="A48" s="1393" t="s">
        <v>413</v>
      </c>
      <c r="B48" s="1393" t="s">
        <v>414</v>
      </c>
      <c r="C48" s="1393" t="s">
        <v>415</v>
      </c>
      <c r="D48" s="1393" t="s">
        <v>416</v>
      </c>
      <c r="E48" s="2108"/>
      <c r="F48" s="2108"/>
      <c r="G48" s="2108"/>
      <c r="H48" s="2108"/>
      <c r="I48" s="2110"/>
      <c r="J48" s="2109" t="str">
        <f>S46&amp;".1"</f>
        <v>....1</v>
      </c>
      <c r="K48" s="1393"/>
      <c r="L48" s="1394" t="s">
        <v>621</v>
      </c>
      <c r="P48" s="2111"/>
      <c r="Q48" s="2111">
        <v>1</v>
      </c>
      <c r="R48" s="353"/>
      <c r="S48" s="1366" t="str">
        <f>$J48</f>
        <v>....1</v>
      </c>
      <c r="T48" s="274" t="s">
        <v>622</v>
      </c>
      <c r="U48" s="288"/>
      <c r="V48" s="2095"/>
      <c r="W48" s="2096"/>
      <c r="X48" s="2096"/>
      <c r="Y48" s="2096"/>
      <c r="Z48" s="2096"/>
      <c r="AA48" s="2096"/>
      <c r="AB48" s="2096"/>
      <c r="AC48" s="2097"/>
      <c r="AD48" s="2095"/>
      <c r="AE48" s="2096"/>
      <c r="AF48" s="2096"/>
      <c r="AG48" s="2096"/>
      <c r="AH48" s="2096"/>
      <c r="AI48" s="2096"/>
      <c r="AJ48" s="2096"/>
      <c r="AK48" s="2096"/>
      <c r="AL48" s="2097"/>
      <c r="AM48" s="1286" t="s">
        <v>623</v>
      </c>
      <c r="AO48" s="506"/>
      <c r="AP48" s="506" t="str">
        <f>IF(T48="","",T48)</f>
        <v>Группа потребителей</v>
      </c>
      <c r="AQ48" s="506"/>
      <c r="AR48" s="506"/>
    </row>
    <row customHeight="1" ht="21">
      <c r="A49" s="1393" t="s">
        <v>413</v>
      </c>
      <c r="B49" s="1393" t="s">
        <v>414</v>
      </c>
      <c r="C49" s="1393" t="s">
        <v>415</v>
      </c>
      <c r="D49" s="1393" t="s">
        <v>416</v>
      </c>
      <c r="E49" s="2108"/>
      <c r="F49" s="2108"/>
      <c r="G49" s="2108"/>
      <c r="H49" s="2108"/>
      <c r="I49" s="2110"/>
      <c r="J49" s="2110"/>
      <c r="K49" s="2109" t="str">
        <f>J48&amp;".1"</f>
        <v>....1.1</v>
      </c>
      <c r="L49" s="1394" t="s">
        <v>624</v>
      </c>
      <c r="P49" s="2111"/>
      <c r="Q49" s="2111"/>
      <c r="R49" s="353">
        <v>1</v>
      </c>
      <c r="S49" s="1366" t="str">
        <f>$K49</f>
        <v>....1.1</v>
      </c>
      <c r="T49" s="1377"/>
      <c r="U49" s="288"/>
      <c r="V49" s="757"/>
      <c r="W49" s="320"/>
      <c r="X49" s="757"/>
      <c r="Y49" s="1285"/>
      <c r="Z49" s="2112"/>
      <c r="AA49" s="1981" t="s">
        <v>63</v>
      </c>
      <c r="AB49" s="2112"/>
      <c r="AC49" s="1981" t="s">
        <v>63</v>
      </c>
      <c r="AD49" s="757"/>
      <c r="AE49" s="320"/>
      <c r="AF49" s="757"/>
      <c r="AG49" s="1285"/>
      <c r="AH49" s="2112"/>
      <c r="AI49" s="1981" t="s">
        <v>63</v>
      </c>
      <c r="AJ49" s="2114"/>
      <c r="AK49" s="1981" t="s">
        <v>63</v>
      </c>
      <c r="AL49" s="1378"/>
      <c r="AM49" s="2137" t="s">
        <v>664</v>
      </c>
      <c r="AN49" s="517">
        <f>STRCHECKDATE(V50:AL50)</f>
      </c>
      <c r="AO49" s="506"/>
      <c r="AP49" s="506" t="str">
        <f>IF(T49="","",T49)</f>
        <v/>
      </c>
      <c r="AQ49" s="506"/>
      <c r="AR49" s="506"/>
    </row>
    <row customHeight="1" ht="0">
      <c r="A50" s="1393" t="s">
        <v>413</v>
      </c>
      <c r="B50" s="1393" t="s">
        <v>414</v>
      </c>
      <c r="C50" s="1393" t="s">
        <v>415</v>
      </c>
      <c r="D50" s="1393" t="s">
        <v>416</v>
      </c>
      <c r="E50" s="2108"/>
      <c r="F50" s="2108"/>
      <c r="G50" s="2108"/>
      <c r="H50" s="2108"/>
      <c r="I50" s="2110"/>
      <c r="J50" s="2110"/>
      <c r="K50" s="2109"/>
      <c r="L50" s="1394"/>
      <c r="P50" s="2111"/>
      <c r="Q50" s="2111"/>
      <c r="R50" s="353"/>
      <c r="S50" s="1372"/>
      <c r="T50" s="288"/>
      <c r="U50" s="288"/>
      <c r="V50" s="320"/>
      <c r="W50" s="320"/>
      <c r="X50" s="320"/>
      <c r="Y50" s="324" t="str">
        <f>Z49&amp;"-"&amp;AB49</f>
        <v>-</v>
      </c>
      <c r="Z50" s="2113"/>
      <c r="AA50" s="1981"/>
      <c r="AB50" s="2113"/>
      <c r="AC50" s="1981"/>
      <c r="AD50" s="320"/>
      <c r="AE50" s="320"/>
      <c r="AF50" s="320"/>
      <c r="AG50" s="324" t="str">
        <f>AH49&amp;"-"&amp;AJ49</f>
        <v>-</v>
      </c>
      <c r="AH50" s="2113"/>
      <c r="AI50" s="1981"/>
      <c r="AJ50" s="2115"/>
      <c r="AK50" s="1981"/>
      <c r="AL50" s="1379"/>
      <c r="AM50" s="2138"/>
      <c r="AO50" s="506"/>
      <c r="AP50" s="506" t="str">
        <f>IF(T50="","",T50)</f>
        <v/>
      </c>
      <c r="AQ50" s="506"/>
      <c r="AR50" s="506"/>
    </row>
    <row customHeight="1" ht="11.25">
      <c r="A51" s="1393" t="s">
        <v>413</v>
      </c>
      <c r="B51" s="1393" t="s">
        <v>414</v>
      </c>
      <c r="C51" s="1393" t="s">
        <v>415</v>
      </c>
      <c r="D51" s="1393" t="s">
        <v>416</v>
      </c>
      <c r="E51" s="2108"/>
      <c r="F51" s="2108"/>
      <c r="G51" s="2108"/>
      <c r="H51" s="2108"/>
      <c r="I51" s="2110"/>
      <c r="J51" s="2109"/>
      <c r="K51" s="1393"/>
      <c r="L51" s="1394"/>
      <c r="P51" s="2111"/>
      <c r="Q51" s="2111"/>
      <c r="R51" s="352"/>
      <c r="S51" s="1308"/>
      <c r="T51" s="275" t="s">
        <v>626</v>
      </c>
      <c r="U51" s="367"/>
      <c r="V51" s="367"/>
      <c r="W51" s="367"/>
      <c r="X51" s="367"/>
      <c r="Y51" s="367"/>
      <c r="Z51" s="367"/>
      <c r="AA51" s="367"/>
      <c r="AB51" s="367"/>
      <c r="AC51" s="367"/>
      <c r="AD51" s="367"/>
      <c r="AE51" s="367"/>
      <c r="AF51" s="367"/>
      <c r="AG51" s="367"/>
      <c r="AH51" s="367"/>
      <c r="AI51" s="367"/>
      <c r="AJ51" s="367"/>
      <c r="AK51" s="367"/>
      <c r="AL51" s="319"/>
      <c r="AM51" s="2139"/>
      <c r="AO51" s="506"/>
      <c r="AP51" s="506" t="str">
        <f>IF(T51="","",T51)</f>
        <v>Добавить вид теплоносителя (параметры теплоносителя)</v>
      </c>
      <c r="AQ51" s="506"/>
      <c r="AR51" s="506"/>
    </row>
    <row customHeight="1" ht="11.25">
      <c r="A52" s="1393" t="s">
        <v>413</v>
      </c>
      <c r="B52" s="1393" t="s">
        <v>414</v>
      </c>
      <c r="C52" s="1393" t="s">
        <v>415</v>
      </c>
      <c r="D52" s="1393" t="s">
        <v>416</v>
      </c>
      <c r="E52" s="2108"/>
      <c r="F52" s="2108"/>
      <c r="G52" s="2108"/>
      <c r="H52" s="2108"/>
      <c r="I52" s="2109"/>
      <c r="J52" s="1393"/>
      <c r="K52" s="1393"/>
      <c r="L52" s="1394"/>
      <c r="P52" s="2111"/>
      <c r="Q52" s="1361"/>
      <c r="R52" s="352"/>
      <c r="S52" s="1308"/>
      <c r="T52" s="364" t="s">
        <v>627</v>
      </c>
      <c r="U52" s="367"/>
      <c r="V52" s="367"/>
      <c r="W52" s="367"/>
      <c r="X52" s="367"/>
      <c r="Y52" s="367"/>
      <c r="Z52" s="367"/>
      <c r="AA52" s="367"/>
      <c r="AB52" s="367"/>
      <c r="AC52" s="366"/>
      <c r="AD52" s="367"/>
      <c r="AE52" s="367"/>
      <c r="AF52" s="367"/>
      <c r="AG52" s="367"/>
      <c r="AH52" s="367"/>
      <c r="AI52" s="367"/>
      <c r="AJ52" s="367"/>
      <c r="AK52" s="366"/>
      <c r="AL52" s="367"/>
      <c r="AM52" s="291"/>
      <c r="AO52" s="506"/>
      <c r="AP52" s="506" t="str">
        <f>IF(T52="","",T52)</f>
        <v>Добавить группу потребителей</v>
      </c>
      <c r="AQ52" s="506"/>
      <c r="AR52" s="506"/>
    </row>
    <row customHeight="1" ht="0">
      <c r="A53" s="1393" t="s">
        <v>413</v>
      </c>
      <c r="B53" s="1393" t="s">
        <v>414</v>
      </c>
      <c r="C53" s="1393" t="s">
        <v>415</v>
      </c>
      <c r="D53" s="1393" t="s">
        <v>416</v>
      </c>
      <c r="E53" s="2108"/>
      <c r="F53" s="2108"/>
      <c r="G53" s="2108"/>
      <c r="H53" s="2107"/>
      <c r="I53" s="1393"/>
      <c r="J53" s="1393"/>
      <c r="K53" s="1393"/>
      <c r="L53" s="1394"/>
      <c r="M53" s="1395"/>
      <c r="N53" s="1395"/>
      <c r="O53" s="543"/>
      <c r="P53" s="356"/>
      <c r="Q53" s="376"/>
      <c r="R53" s="351"/>
      <c r="S53" s="1416"/>
      <c r="T53" s="1417"/>
      <c r="U53" s="1418"/>
      <c r="V53" s="1418"/>
      <c r="W53" s="1418"/>
      <c r="X53" s="1418"/>
      <c r="Y53" s="1418"/>
      <c r="Z53" s="1418"/>
      <c r="AA53" s="1418"/>
      <c r="AB53" s="1418"/>
      <c r="AC53" s="1418"/>
      <c r="AD53" s="1418"/>
      <c r="AE53" s="1418"/>
      <c r="AF53" s="1418"/>
      <c r="AG53" s="1418"/>
      <c r="AH53" s="1418"/>
      <c r="AI53" s="1418"/>
      <c r="AJ53" s="1418"/>
      <c r="AK53" s="1418"/>
      <c r="AL53" s="1418"/>
      <c r="AM53" s="1419"/>
      <c r="AO53" s="506"/>
      <c r="AP53" s="506" t="str">
        <f>IF(T53="","",T53)</f>
        <v/>
      </c>
      <c r="AQ53" s="506"/>
      <c r="AR53" s="506"/>
    </row>
    <row s="3314" customFormat="1" customHeight="1" ht="0">
      <c r="A54" s="1373" t="s">
        <v>413</v>
      </c>
      <c r="B54" s="1373" t="s">
        <v>414</v>
      </c>
      <c r="C54" s="1373" t="s">
        <v>415</v>
      </c>
      <c r="D54" s="1344"/>
      <c r="E54" s="2108"/>
      <c r="F54" s="2108"/>
      <c r="G54" s="2107"/>
      <c r="H54" s="1344"/>
      <c r="I54" s="1344"/>
      <c r="J54" s="1344"/>
      <c r="K54" s="1344"/>
      <c r="L54" s="1369"/>
      <c r="M54" s="1345"/>
      <c r="N54" s="1345"/>
      <c r="P54" s="1346"/>
      <c r="Q54" s="1347"/>
      <c r="R54" s="1346"/>
      <c r="S54" s="1352"/>
      <c r="T54" s="1355" t="s">
        <v>254</v>
      </c>
      <c r="U54" s="1354"/>
      <c r="V54" s="1354"/>
      <c r="W54" s="1354"/>
      <c r="X54" s="1354"/>
      <c r="Y54" s="1354"/>
      <c r="Z54" s="1354"/>
      <c r="AA54" s="1354"/>
      <c r="AB54" s="1354"/>
      <c r="AC54" s="1354"/>
      <c r="AD54" s="1354"/>
      <c r="AE54" s="1354"/>
      <c r="AF54" s="1354"/>
      <c r="AG54" s="1354"/>
      <c r="AH54" s="1354"/>
      <c r="AI54" s="1354"/>
      <c r="AJ54" s="1354"/>
      <c r="AK54" s="1354"/>
      <c r="AL54" s="1354"/>
      <c r="AM54" s="1354"/>
      <c r="AO54" s="795"/>
      <c r="AP54" s="795" t="str">
        <f>IF(T54="","",T54)</f>
        <v>Добавить источник для дифференциации</v>
      </c>
      <c r="AQ54" s="795"/>
      <c r="AR54" s="795"/>
    </row>
    <row s="3314" customFormat="1" customHeight="1" ht="0">
      <c r="A55" s="1373" t="s">
        <v>413</v>
      </c>
      <c r="B55" s="1373" t="s">
        <v>414</v>
      </c>
      <c r="C55" s="1344"/>
      <c r="D55" s="1344"/>
      <c r="E55" s="2108"/>
      <c r="F55" s="2107"/>
      <c r="G55" s="1344"/>
      <c r="H55" s="1344"/>
      <c r="I55" s="1344"/>
      <c r="J55" s="1344"/>
      <c r="K55" s="1344"/>
      <c r="L55" s="1369"/>
      <c r="M55" s="1351"/>
      <c r="N55" s="1351"/>
      <c r="P55" s="1346"/>
      <c r="Q55" s="1347"/>
      <c r="R55" s="1346"/>
      <c r="S55" s="1352"/>
      <c r="T55" s="1355" t="s">
        <v>255</v>
      </c>
      <c r="U55" s="1354"/>
      <c r="V55" s="1354"/>
      <c r="W55" s="1354"/>
      <c r="X55" s="1354"/>
      <c r="Y55" s="1354"/>
      <c r="Z55" s="1354"/>
      <c r="AA55" s="1354"/>
      <c r="AB55" s="1354"/>
      <c r="AC55" s="1354"/>
      <c r="AD55" s="1354"/>
      <c r="AE55" s="1354"/>
      <c r="AF55" s="1354"/>
      <c r="AG55" s="1354"/>
      <c r="AH55" s="1354"/>
      <c r="AI55" s="1354"/>
      <c r="AJ55" s="1354"/>
      <c r="AK55" s="1354"/>
      <c r="AL55" s="1354"/>
      <c r="AM55" s="1354"/>
      <c r="AO55" s="795"/>
      <c r="AP55" s="795" t="str">
        <f>IF(T55="","",T55)</f>
        <v>Добавить централизованную систему для дифференциации</v>
      </c>
      <c r="AQ55" s="795"/>
      <c r="AR55" s="795"/>
    </row>
    <row s="2612" customFormat="1" customHeight="1" ht="0">
      <c r="A56" s="1373" t="s">
        <v>413</v>
      </c>
      <c r="B56" s="1373"/>
      <c r="C56" s="1373"/>
      <c r="D56" s="1373"/>
      <c r="E56" s="2107"/>
      <c r="F56" s="1373"/>
      <c r="G56" s="1373"/>
      <c r="H56" s="1373"/>
      <c r="I56" s="1373"/>
      <c r="J56" s="1373"/>
      <c r="K56" s="1373"/>
      <c r="L56" s="1376"/>
      <c r="M56" s="1351"/>
      <c r="N56" s="1351"/>
      <c r="O56" s="524"/>
      <c r="P56" s="385"/>
      <c r="Q56" s="1374"/>
      <c r="R56" s="385"/>
      <c r="S56" s="1352"/>
      <c r="T56" s="1355" t="s">
        <v>329</v>
      </c>
      <c r="U56" s="1354"/>
      <c r="V56" s="1354"/>
      <c r="W56" s="1354"/>
      <c r="X56" s="1354"/>
      <c r="Y56" s="1354"/>
      <c r="Z56" s="1354"/>
      <c r="AA56" s="1354"/>
      <c r="AB56" s="1354"/>
      <c r="AC56" s="1354"/>
      <c r="AD56" s="1354"/>
      <c r="AE56" s="1354"/>
      <c r="AF56" s="1354"/>
      <c r="AG56" s="1354"/>
      <c r="AH56" s="1354"/>
      <c r="AI56" s="1354"/>
      <c r="AJ56" s="1354"/>
      <c r="AK56" s="1354"/>
      <c r="AL56" s="1354"/>
      <c r="AM56" s="1354"/>
      <c r="AO56" s="506"/>
      <c r="AP56" s="506" t="str">
        <f>IF(T56="","",T56)</f>
        <v>Добавить территорию для дифференциации</v>
      </c>
      <c r="AQ56" s="506"/>
      <c r="AR56" s="506"/>
    </row>
    <row s="3314" customFormat="1" customHeight="1" ht="5.25">
      <c r="A57" s="1344"/>
      <c r="B57" s="1344"/>
      <c r="C57" s="1344"/>
      <c r="D57" s="1344"/>
      <c r="E57" s="1373"/>
      <c r="F57" s="1344"/>
      <c r="G57" s="1344"/>
      <c r="H57" s="1344"/>
      <c r="I57" s="1344"/>
      <c r="J57" s="1344"/>
      <c r="K57" s="1344"/>
      <c r="L57" s="1369"/>
      <c r="M57" s="1351"/>
      <c r="N57" s="1351"/>
      <c r="P57" s="1346"/>
      <c r="Q57" s="1347"/>
      <c r="R57" s="1346"/>
      <c r="S57" s="1352"/>
      <c r="T57" s="1355" t="s">
        <v>398</v>
      </c>
      <c r="U57" s="1354"/>
      <c r="V57" s="1354"/>
      <c r="W57" s="1354"/>
      <c r="X57" s="1354"/>
      <c r="Y57" s="1354"/>
      <c r="Z57" s="1354"/>
      <c r="AA57" s="1354"/>
      <c r="AB57" s="1354"/>
      <c r="AC57" s="1354"/>
      <c r="AD57" s="1354"/>
      <c r="AE57" s="1354"/>
      <c r="AF57" s="1354"/>
      <c r="AG57" s="1354"/>
      <c r="AH57" s="1354"/>
      <c r="AI57" s="1354"/>
      <c r="AJ57" s="1354"/>
      <c r="AK57" s="1354"/>
      <c r="AL57" s="1354"/>
      <c r="AM57" s="1354"/>
      <c r="AO57" s="795"/>
      <c r="AP57" s="795" t="str">
        <f>IF(T57="","",T57)</f>
        <v>Добавить наименование тарифа</v>
      </c>
      <c r="AQ57" s="795"/>
      <c r="AR57" s="795"/>
    </row>
    <row customHeight="1" ht="11.25">
      <c r="M58" s="1168"/>
      <c r="N58" s="1168"/>
      <c r="O58" s="543"/>
      <c r="P58" s="1163"/>
      <c r="Q58" s="1163"/>
      <c r="R58" s="1163"/>
      <c r="S58" s="1163"/>
      <c r="AN58" s="1163"/>
      <c r="AO58" s="1163"/>
      <c r="AP58" s="1163"/>
      <c r="AQ58" s="1163"/>
      <c r="AR58" s="1163"/>
    </row>
    <row customHeight="1" ht="14.25">
      <c r="O59" s="543"/>
      <c r="S59" s="1273"/>
      <c r="T59" s="2106"/>
      <c r="U59" s="2106"/>
      <c r="V59" s="2106"/>
      <c r="W59" s="2106"/>
      <c r="X59" s="2106"/>
      <c r="Y59" s="2106"/>
      <c r="Z59" s="2106"/>
      <c r="AA59" s="2106"/>
      <c r="AB59" s="2106"/>
      <c r="AC59" s="2106"/>
      <c r="AD59" s="2106"/>
      <c r="AE59" s="2106"/>
      <c r="AF59" s="2106"/>
      <c r="AG59" s="2106"/>
      <c r="AH59" s="2106"/>
      <c r="AI59" s="2106"/>
      <c r="AJ59" s="2106"/>
      <c r="AK59" s="2106"/>
      <c r="AL59" s="2106"/>
      <c r="AM59" s="2106"/>
    </row>
    <row customHeight="1" ht="14.25">
      <c r="O60" s="543"/>
      <c r="T60" s="2106"/>
      <c r="U60" s="2106"/>
      <c r="V60" s="2106"/>
      <c r="W60" s="2106"/>
      <c r="X60" s="2106"/>
      <c r="Y60" s="2106"/>
      <c r="Z60" s="2106"/>
      <c r="AA60" s="2106"/>
      <c r="AB60" s="2106"/>
      <c r="AC60" s="2106"/>
      <c r="AD60" s="2106"/>
      <c r="AE60" s="2106"/>
      <c r="AF60" s="2106"/>
      <c r="AG60" s="2106"/>
      <c r="AH60" s="2106"/>
      <c r="AI60" s="2106"/>
      <c r="AJ60" s="2106"/>
      <c r="AK60" s="2106"/>
      <c r="AL60" s="2106"/>
      <c r="AM60" s="2106"/>
    </row>
    <row customHeight="1" ht="14.25">
      <c r="O61" s="543"/>
      <c r="T61" s="2106"/>
      <c r="U61" s="2106"/>
      <c r="V61" s="2106"/>
      <c r="W61" s="2106"/>
      <c r="X61" s="2106"/>
      <c r="Y61" s="2106"/>
      <c r="Z61" s="2106"/>
      <c r="AA61" s="2106"/>
      <c r="AB61" s="2106"/>
      <c r="AC61" s="2106"/>
      <c r="AD61" s="2106"/>
      <c r="AE61" s="2106"/>
      <c r="AF61" s="2106"/>
      <c r="AG61" s="2106"/>
      <c r="AH61" s="2106"/>
      <c r="AI61" s="2106"/>
      <c r="AJ61" s="2106"/>
      <c r="AK61" s="2106"/>
      <c r="AL61" s="2106"/>
      <c r="AM61" s="2106"/>
    </row>
    <row customHeight="1" ht="14.25">
      <c r="O62" s="543"/>
    </row>
    <row customHeight="1" ht="14.25">
      <c r="O63" s="543"/>
      <c r="S63" s="1273"/>
      <c r="T63" s="2150"/>
      <c r="U63" s="2106"/>
      <c r="V63" s="2106"/>
      <c r="W63" s="2106"/>
      <c r="X63" s="2106"/>
      <c r="Y63" s="2106"/>
      <c r="Z63" s="2106"/>
      <c r="AA63" s="2106"/>
      <c r="AB63" s="2106"/>
      <c r="AC63" s="2106"/>
      <c r="AD63" s="2106"/>
      <c r="AE63" s="2106"/>
      <c r="AF63" s="2106"/>
      <c r="AG63" s="2106"/>
      <c r="AH63" s="2106"/>
      <c r="AI63" s="2106"/>
      <c r="AJ63" s="2106"/>
      <c r="AK63" s="2106"/>
      <c r="AL63" s="2106"/>
      <c r="AM63" s="2106"/>
    </row>
    <row customHeight="1" ht="14.25">
      <c r="O64" s="543"/>
      <c r="T64" s="2106"/>
      <c r="U64" s="2106"/>
      <c r="V64" s="2106"/>
      <c r="W64" s="2106"/>
      <c r="X64" s="2106"/>
      <c r="Y64" s="2106"/>
      <c r="Z64" s="2106"/>
      <c r="AA64" s="2106"/>
      <c r="AB64" s="2106"/>
      <c r="AC64" s="2106"/>
      <c r="AD64" s="2106"/>
      <c r="AE64" s="2106"/>
      <c r="AF64" s="2106"/>
      <c r="AG64" s="2106"/>
      <c r="AH64" s="2106"/>
      <c r="AI64" s="2106"/>
      <c r="AJ64" s="2106"/>
      <c r="AK64" s="2106"/>
      <c r="AL64" s="2106"/>
      <c r="AM64" s="2106"/>
    </row>
    <row customHeight="1" ht="14.25">
      <c r="T65" s="2106"/>
      <c r="U65" s="2106"/>
      <c r="V65" s="2106"/>
      <c r="W65" s="2106"/>
      <c r="X65" s="2106"/>
      <c r="Y65" s="2106"/>
      <c r="Z65" s="2106"/>
      <c r="AA65" s="2106"/>
      <c r="AB65" s="2106"/>
      <c r="AC65" s="2106"/>
      <c r="AD65" s="2106"/>
      <c r="AE65" s="2106"/>
      <c r="AF65" s="2106"/>
      <c r="AG65" s="2106"/>
      <c r="AH65" s="2106"/>
      <c r="AI65" s="2106"/>
      <c r="AJ65" s="2106"/>
      <c r="AK65" s="2106"/>
      <c r="AL65" s="2106"/>
      <c r="AM65" s="2106"/>
    </row>
  </sheetData>
  <sheetProtection formatColumns="0" formatRows="0" autoFilter="0" sort="0" insertRows="0" insertColumns="1" deleteRows="0" deleteColumns="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0A2C72-883F-A871-9D98-8AD10540E8AF}" mc:Ignorable="x14ac xr xr2 xr3">
  <sheetPr>
    <tabColor theme="6" tint="0.4"/>
  </sheetPr>
  <dimension ref="A1:AV71"/>
  <sheetViews>
    <sheetView topLeftCell="A1" showGridLines="0" zoomScale="90" workbookViewId="0">
      <selection activeCell="A1" sqref="A1"/>
    </sheetView>
  </sheetViews>
  <sheetFormatPr defaultColWidth="10.57421875" customHeight="1" defaultRowHeight="14.25"/>
  <cols>
    <col min="1" max="1" style="2984" width="10.57421875" hidden="1"/>
    <col min="2" max="2" style="2984" width="11.00390625" hidden="1" customWidth="1"/>
    <col min="3" max="3" style="2984" width="10.57421875" hidden="1"/>
    <col min="4" max="4" style="2984" width="11.8515625" hidden="1" customWidth="1"/>
    <col min="5" max="5" style="2984" width="10.00390625" hidden="1" customWidth="1"/>
    <col min="6" max="6" style="2984" width="8.7109375" hidden="1" customWidth="1"/>
    <col min="7" max="7" style="2984" width="7.57421875" hidden="1" customWidth="1"/>
    <col min="8" max="8" style="2984" width="11.421875" hidden="1" customWidth="1"/>
    <col min="9" max="9" style="2984" width="12.00390625" hidden="1" customWidth="1"/>
    <col min="10" max="10" style="2984" width="9.8515625" hidden="1" customWidth="1"/>
    <col min="11" max="12" style="2984" width="11.421875" hidden="1" customWidth="1"/>
    <col min="13" max="13" style="12162" width="19.140625" hidden="1" customWidth="1"/>
    <col min="14" max="15" style="3355" width="12.28125" hidden="1" customWidth="1"/>
    <col min="16" max="16" style="3355" width="23.421875" hidden="1" customWidth="1"/>
    <col min="17" max="17" style="3355" width="3.7109375" hidden="1" customWidth="1"/>
    <col min="18" max="20" style="3411" width="3.7109375" customWidth="1"/>
    <col min="21" max="21" style="3412" width="12.7109375" customWidth="1"/>
    <col min="22" max="22" style="2984" width="32.00390625" customWidth="1"/>
    <col min="23" max="23" style="2984" width="0.140625" customWidth="1"/>
    <col min="24" max="28" style="2984" width="21.7109375" hidden="1" customWidth="1"/>
    <col min="29" max="29" style="2984" width="11.7109375" hidden="1" customWidth="1"/>
    <col min="30" max="30" style="2984" width="3.7109375" hidden="1" customWidth="1"/>
    <col min="31" max="31" style="2984" width="11.7109375" hidden="1" customWidth="1"/>
    <col min="32" max="32" style="2984" width="8.57421875" hidden="1" customWidth="1"/>
    <col min="33" max="37" style="2984" width="21.7109375" customWidth="1"/>
    <col min="38" max="38" style="2984" width="11.7109375" customWidth="1"/>
    <col min="39" max="39" style="2984" width="3.7109375" customWidth="1"/>
    <col min="40" max="40" style="2984" width="11.7109375" customWidth="1"/>
    <col min="41" max="41" style="2984" width="8.57421875" customWidth="1"/>
    <col min="42" max="42" style="2984" width="4.7109375" customWidth="1"/>
    <col min="43" max="43" style="2984" width="115.7109375" customWidth="1"/>
    <col min="44" max="45" style="2612" width="10.57421875"/>
    <col min="46" max="46" style="2612" width="11.140625" customWidth="1"/>
    <col min="47" max="48" style="2612" width="10.57421875"/>
  </cols>
  <sheetData>
    <row customHeight="1" ht="14.25" hidden="1">
      <c r="AB1" s="323"/>
      <c r="AC1" s="323"/>
      <c r="AK1" s="323"/>
      <c r="AL1" s="323"/>
    </row>
    <row customHeight="1" ht="21" hidden="1">
      <c r="A2" s="1296"/>
      <c r="B2" s="1296"/>
      <c r="C2" s="1296"/>
      <c r="D2" s="1296"/>
      <c r="E2" s="2167">
        <v>1</v>
      </c>
      <c r="F2" s="1296"/>
      <c r="G2" s="1296"/>
      <c r="H2" s="1296"/>
      <c r="I2" s="1296"/>
      <c r="J2" s="1296"/>
      <c r="K2" s="1296"/>
      <c r="L2" s="1296"/>
      <c r="M2" s="1340"/>
      <c r="N2" s="694"/>
      <c r="O2" s="694"/>
      <c r="P2" s="694"/>
      <c r="Q2" s="357"/>
      <c r="R2" s="356"/>
      <c r="S2" s="356"/>
      <c r="T2" s="351"/>
      <c r="U2" s="1366">
        <f>INDEX(PT_DIFFERENTIATION_NUM_NTAR,MATCH(A2,PT_DIFFERENTIATION_NTAR_ID,0))</f>
      </c>
      <c r="V2" s="286" t="s">
        <v>204</v>
      </c>
      <c r="W2" s="288"/>
      <c r="X2" s="2101"/>
      <c r="Y2" s="2102"/>
      <c r="Z2" s="2102"/>
      <c r="AA2" s="2102"/>
      <c r="AB2" s="2102"/>
      <c r="AC2" s="2102"/>
      <c r="AD2" s="2102"/>
      <c r="AE2" s="2102"/>
      <c r="AF2" s="2103"/>
      <c r="AG2" s="2101">
        <f>INDEX(PT_DIFFERENTIATION_NTAR,MATCH(A2,PT_DIFFERENTIATION_NTAR_ID,0))</f>
      </c>
      <c r="AH2" s="2102"/>
      <c r="AI2" s="2102"/>
      <c r="AJ2" s="2102"/>
      <c r="AK2" s="2102"/>
      <c r="AL2" s="2102"/>
      <c r="AM2" s="2102"/>
      <c r="AN2" s="2102"/>
      <c r="AO2" s="2102"/>
      <c r="AP2" s="2103"/>
      <c r="AQ2" s="1286" t="s">
        <v>611</v>
      </c>
      <c r="AS2" s="506"/>
      <c r="AT2" s="506" t="str">
        <f>IF(V2="","",V2)</f>
        <v>Наименование тарифа</v>
      </c>
      <c r="AU2" s="506"/>
      <c r="AV2" s="506"/>
    </row>
    <row customHeight="1" ht="21" hidden="1">
      <c r="A3" s="1296"/>
      <c r="B3" s="1296"/>
      <c r="C3" s="1296"/>
      <c r="D3" s="1296"/>
      <c r="E3" s="2168"/>
      <c r="F3" s="2167">
        <v>1</v>
      </c>
      <c r="G3" s="1296"/>
      <c r="H3" s="1296"/>
      <c r="I3" s="1296"/>
      <c r="J3" s="1296"/>
      <c r="K3" s="1296"/>
      <c r="L3" s="1296"/>
      <c r="M3" s="1340"/>
      <c r="N3" s="694"/>
      <c r="O3" s="694"/>
      <c r="P3" s="694"/>
      <c r="Q3" s="1362"/>
      <c r="R3" s="348"/>
      <c r="S3" s="515"/>
      <c r="T3" s="349"/>
      <c r="U3" s="1366">
        <f>INDEX(PT_DIFFERENTIATION_NUM_TER,MATCH(B3,PT_DIFFERENTIATION_TER_ID,0))</f>
      </c>
      <c r="V3" s="298" t="s">
        <v>612</v>
      </c>
      <c r="W3" s="288"/>
      <c r="X3" s="2101"/>
      <c r="Y3" s="2102"/>
      <c r="Z3" s="2102"/>
      <c r="AA3" s="2102"/>
      <c r="AB3" s="2102"/>
      <c r="AC3" s="2102"/>
      <c r="AD3" s="2102"/>
      <c r="AE3" s="2102"/>
      <c r="AF3" s="2103"/>
      <c r="AG3" s="2101">
        <f>INDEX(PT_DIFFERENTIATION_TER,MATCH(B3,PT_DIFFERENTIATION_TER_ID,0))</f>
      </c>
      <c r="AH3" s="2102"/>
      <c r="AI3" s="2102"/>
      <c r="AJ3" s="2102"/>
      <c r="AK3" s="2102"/>
      <c r="AL3" s="2102"/>
      <c r="AM3" s="2102"/>
      <c r="AN3" s="2102"/>
      <c r="AO3" s="2102"/>
      <c r="AP3" s="2103"/>
      <c r="AQ3" s="1286" t="s">
        <v>613</v>
      </c>
      <c r="AS3" s="506"/>
      <c r="AT3" s="506" t="str">
        <f>IF(V3="","",V3)</f>
        <v>Территория действия тарифа</v>
      </c>
      <c r="AU3" s="506"/>
      <c r="AV3" s="506"/>
    </row>
    <row customHeight="1" ht="22.5" hidden="1">
      <c r="A4" s="1296"/>
      <c r="B4" s="1296"/>
      <c r="C4" s="1296"/>
      <c r="D4" s="1296"/>
      <c r="E4" s="2168"/>
      <c r="F4" s="2168"/>
      <c r="G4" s="2167">
        <v>1</v>
      </c>
      <c r="H4" s="1296"/>
      <c r="I4" s="1296"/>
      <c r="J4" s="1296"/>
      <c r="K4" s="1296"/>
      <c r="L4" s="1296"/>
      <c r="M4" s="1340"/>
      <c r="N4" s="694"/>
      <c r="O4" s="694"/>
      <c r="P4" s="694"/>
      <c r="Q4" s="350"/>
      <c r="R4" s="348"/>
      <c r="S4" s="515"/>
      <c r="T4" s="349"/>
      <c r="U4" s="1366">
        <f>INDEX(PT_DIFFERENTIATION_NUM_CS,MATCH(C4,PT_DIFFERENTIATION_CS_ID,0))</f>
      </c>
      <c r="V4" s="299" t="s">
        <v>614</v>
      </c>
      <c r="W4" s="288"/>
      <c r="X4" s="2101"/>
      <c r="Y4" s="2102"/>
      <c r="Z4" s="2102"/>
      <c r="AA4" s="2102"/>
      <c r="AB4" s="2102"/>
      <c r="AC4" s="2102"/>
      <c r="AD4" s="2102"/>
      <c r="AE4" s="2102"/>
      <c r="AF4" s="2103"/>
      <c r="AG4" s="2101">
        <f>INDEX(PT_DIFFERENTIATION_CS,MATCH(C4,PT_DIFFERENTIATION_CS_ID,0))</f>
      </c>
      <c r="AH4" s="2102"/>
      <c r="AI4" s="2102"/>
      <c r="AJ4" s="2102"/>
      <c r="AK4" s="2102"/>
      <c r="AL4" s="2102"/>
      <c r="AM4" s="2102"/>
      <c r="AN4" s="2102"/>
      <c r="AO4" s="2102"/>
      <c r="AP4" s="2103"/>
      <c r="AQ4" s="1286" t="s">
        <v>615</v>
      </c>
      <c r="AS4" s="506"/>
      <c r="AT4" s="506" t="str">
        <f>IF(V4="","",V4)</f>
        <v>Наименование системы теплоснабжения </v>
      </c>
      <c r="AU4" s="506"/>
      <c r="AV4" s="506"/>
    </row>
    <row customHeight="1" ht="21" hidden="1">
      <c r="A5" s="1296"/>
      <c r="B5" s="1296"/>
      <c r="C5" s="1296"/>
      <c r="D5" s="1296"/>
      <c r="E5" s="2168"/>
      <c r="F5" s="2168"/>
      <c r="G5" s="2168"/>
      <c r="H5" s="2167">
        <v>1</v>
      </c>
      <c r="I5" s="1296"/>
      <c r="J5" s="1296"/>
      <c r="K5" s="1296"/>
      <c r="L5" s="1296"/>
      <c r="M5" s="1340"/>
      <c r="N5" s="694"/>
      <c r="O5" s="694"/>
      <c r="P5" s="694"/>
      <c r="Q5" s="350"/>
      <c r="R5" s="348"/>
      <c r="S5" s="515"/>
      <c r="T5" s="349"/>
      <c r="U5" s="1366">
        <f>INDEX(PT_DIFFERENTIATION_NUM_IST_TE,MATCH(D5,PT_DIFFERENTIATION_IST_TE_ID,0))</f>
      </c>
      <c r="V5" s="300" t="s">
        <v>616</v>
      </c>
      <c r="W5" s="288"/>
      <c r="X5" s="2101"/>
      <c r="Y5" s="2102"/>
      <c r="Z5" s="2102"/>
      <c r="AA5" s="2102"/>
      <c r="AB5" s="2102"/>
      <c r="AC5" s="2102"/>
      <c r="AD5" s="2102"/>
      <c r="AE5" s="2102"/>
      <c r="AF5" s="2103"/>
      <c r="AG5" s="2101">
        <f>INDEX(PT_DIFFERENTIATION_IST_TE,MATCH(D5,PT_DIFFERENTIATION_IST_TE_ID,0))</f>
      </c>
      <c r="AH5" s="2102"/>
      <c r="AI5" s="2102"/>
      <c r="AJ5" s="2102"/>
      <c r="AK5" s="2102"/>
      <c r="AL5" s="2102"/>
      <c r="AM5" s="2102"/>
      <c r="AN5" s="2102"/>
      <c r="AO5" s="2102"/>
      <c r="AP5" s="2103"/>
      <c r="AQ5" s="1286" t="s">
        <v>617</v>
      </c>
      <c r="AS5" s="506"/>
      <c r="AT5" s="506" t="str">
        <f>IF(V5="","",V5)</f>
        <v>Источник тепловой энергии  </v>
      </c>
      <c r="AU5" s="506"/>
      <c r="AV5" s="506"/>
    </row>
    <row customHeight="1" ht="14.25" hidden="1">
      <c r="A6" s="1296"/>
      <c r="B6" s="1296"/>
      <c r="C6" s="1296"/>
      <c r="D6" s="1296"/>
      <c r="E6" s="2168"/>
      <c r="F6" s="2168"/>
      <c r="G6" s="2168"/>
      <c r="H6" s="2168"/>
      <c r="I6" s="1971">
        <f>U5&amp;".1"</f>
      </c>
      <c r="J6" s="1296"/>
      <c r="K6" s="1296"/>
      <c r="L6" s="1296"/>
      <c r="M6" s="1340" t="s">
        <v>618</v>
      </c>
      <c r="N6" s="515"/>
      <c r="Q6" s="2111">
        <v>1</v>
      </c>
      <c r="R6" s="1361"/>
      <c r="S6" s="1361"/>
      <c r="T6" s="352"/>
      <c r="U6" s="1049"/>
      <c r="V6" s="1413"/>
      <c r="W6" s="1414"/>
      <c r="X6" s="2147"/>
      <c r="Y6" s="2148"/>
      <c r="Z6" s="2148"/>
      <c r="AA6" s="2148"/>
      <c r="AB6" s="2148"/>
      <c r="AC6" s="2148"/>
      <c r="AD6" s="2148"/>
      <c r="AE6" s="2148"/>
      <c r="AF6" s="2149"/>
      <c r="AG6" s="2147"/>
      <c r="AH6" s="2148"/>
      <c r="AI6" s="2148"/>
      <c r="AJ6" s="2148"/>
      <c r="AK6" s="2148"/>
      <c r="AL6" s="2148"/>
      <c r="AM6" s="2148"/>
      <c r="AN6" s="2148"/>
      <c r="AO6" s="2148"/>
      <c r="AP6" s="2149"/>
      <c r="AQ6" s="1415"/>
      <c r="AS6" s="506"/>
      <c r="AT6" s="506" t="str">
        <f>IF(V6="","",V6)</f>
        <v/>
      </c>
      <c r="AU6" s="506"/>
      <c r="AV6" s="506"/>
    </row>
    <row customHeight="1" ht="21" hidden="1">
      <c r="A7" s="1296"/>
      <c r="B7" s="1296"/>
      <c r="C7" s="1296"/>
      <c r="D7" s="1296"/>
      <c r="E7" s="2168"/>
      <c r="F7" s="2168"/>
      <c r="G7" s="2168"/>
      <c r="H7" s="2168"/>
      <c r="I7" s="1955"/>
      <c r="J7" s="1971">
        <f>I6&amp;".1"</f>
      </c>
      <c r="K7" s="1296"/>
      <c r="L7" s="1296"/>
      <c r="M7" s="1340" t="s">
        <v>621</v>
      </c>
      <c r="N7" s="515"/>
      <c r="O7" s="323"/>
      <c r="Q7" s="2111"/>
      <c r="R7" s="2111">
        <v>1</v>
      </c>
      <c r="S7" s="524"/>
      <c r="T7" s="353"/>
      <c r="U7" s="1366">
        <f>$J7</f>
      </c>
      <c r="V7" s="274" t="s">
        <v>622</v>
      </c>
      <c r="W7" s="288"/>
      <c r="X7" s="2095"/>
      <c r="Y7" s="2096"/>
      <c r="Z7" s="2096"/>
      <c r="AA7" s="2096"/>
      <c r="AB7" s="2096"/>
      <c r="AC7" s="2088"/>
      <c r="AD7" s="2088"/>
      <c r="AE7" s="2088"/>
      <c r="AF7" s="2171"/>
      <c r="AG7" s="2095"/>
      <c r="AH7" s="2096"/>
      <c r="AI7" s="2096"/>
      <c r="AJ7" s="2096"/>
      <c r="AK7" s="2096"/>
      <c r="AL7" s="2096"/>
      <c r="AM7" s="2096"/>
      <c r="AN7" s="2096"/>
      <c r="AO7" s="2096"/>
      <c r="AP7" s="2097"/>
      <c r="AQ7" s="1286" t="s">
        <v>623</v>
      </c>
      <c r="AS7" s="506"/>
      <c r="AT7" s="506" t="str">
        <f>IF(V7="","",V7)</f>
        <v>Группа потребителей</v>
      </c>
      <c r="AU7" s="506"/>
      <c r="AV7" s="506"/>
    </row>
    <row customHeight="1" ht="21" hidden="1">
      <c r="A8" s="1296"/>
      <c r="B8" s="1296"/>
      <c r="C8" s="1296"/>
      <c r="D8" s="1296"/>
      <c r="E8" s="2168"/>
      <c r="F8" s="2168"/>
      <c r="G8" s="2168"/>
      <c r="H8" s="2168"/>
      <c r="I8" s="1955"/>
      <c r="J8" s="1955"/>
      <c r="K8" s="1971">
        <f>J7&amp;".1"</f>
      </c>
      <c r="L8" s="125"/>
      <c r="M8" s="1340" t="s">
        <v>624</v>
      </c>
      <c r="N8" s="515"/>
      <c r="O8" s="323"/>
      <c r="P8" s="323"/>
      <c r="Q8" s="2111"/>
      <c r="R8" s="2111"/>
      <c r="S8" s="2111">
        <v>1</v>
      </c>
      <c r="T8" s="353"/>
      <c r="U8" s="1366">
        <f>$K8</f>
      </c>
      <c r="V8" s="1377"/>
      <c r="W8" s="288"/>
      <c r="X8" s="757"/>
      <c r="Y8" s="757"/>
      <c r="Z8" s="757"/>
      <c r="AA8" s="757"/>
      <c r="AB8" s="1435"/>
      <c r="AC8" s="2112"/>
      <c r="AD8" s="1981" t="s">
        <v>63</v>
      </c>
      <c r="AE8" s="2112"/>
      <c r="AF8" s="1981" t="s">
        <v>63</v>
      </c>
      <c r="AG8" s="1437"/>
      <c r="AH8" s="757"/>
      <c r="AI8" s="757"/>
      <c r="AJ8" s="757"/>
      <c r="AK8" s="1285"/>
      <c r="AL8" s="2112"/>
      <c r="AM8" s="1981" t="s">
        <v>63</v>
      </c>
      <c r="AN8" s="2112"/>
      <c r="AO8" s="1981" t="s">
        <v>63</v>
      </c>
      <c r="AP8" s="320"/>
      <c r="AQ8" s="1337" t="s">
        <v>666</v>
      </c>
      <c r="AR8" s="517">
        <f>STRCHECKDATE(X10:AP10)</f>
      </c>
      <c r="AS8" s="506"/>
      <c r="AT8" s="506" t="str">
        <f>IF(V8="","",V8)</f>
        <v/>
      </c>
      <c r="AU8" s="506"/>
      <c r="AV8" s="506"/>
    </row>
    <row customHeight="1" ht="21" hidden="1">
      <c r="A9" s="1296"/>
      <c r="B9" s="1296"/>
      <c r="C9" s="1296"/>
      <c r="D9" s="1296"/>
      <c r="E9" s="2168"/>
      <c r="F9" s="2168"/>
      <c r="G9" s="2168"/>
      <c r="H9" s="2168"/>
      <c r="I9" s="1955"/>
      <c r="J9" s="1955"/>
      <c r="K9" s="1955"/>
      <c r="L9" s="1971">
        <f>K8&amp;".1"</f>
      </c>
      <c r="M9" s="1340"/>
      <c r="N9" s="515"/>
      <c r="O9" s="323"/>
      <c r="P9" s="323"/>
      <c r="Q9" s="2111"/>
      <c r="R9" s="2111"/>
      <c r="S9" s="2111"/>
      <c r="T9" s="353"/>
      <c r="U9" s="1366">
        <f>$L9</f>
      </c>
      <c r="V9" s="1421"/>
      <c r="W9" s="288"/>
      <c r="X9" s="320"/>
      <c r="Y9" s="757"/>
      <c r="Z9" s="757"/>
      <c r="AA9" s="757"/>
      <c r="AB9" s="1435"/>
      <c r="AC9" s="2152"/>
      <c r="AD9" s="1981"/>
      <c r="AE9" s="2152"/>
      <c r="AF9" s="1981"/>
      <c r="AG9" s="1437"/>
      <c r="AH9" s="757"/>
      <c r="AI9" s="757"/>
      <c r="AJ9" s="757"/>
      <c r="AK9" s="1285"/>
      <c r="AL9" s="2152"/>
      <c r="AM9" s="1981"/>
      <c r="AN9" s="2152"/>
      <c r="AO9" s="1981"/>
      <c r="AP9" s="320"/>
      <c r="AQ9" s="2137" t="s">
        <v>667</v>
      </c>
      <c r="AS9" s="506"/>
      <c r="AT9" s="506"/>
      <c r="AU9" s="506"/>
      <c r="AV9" s="506"/>
    </row>
    <row customHeight="1" ht="14.25" hidden="1">
      <c r="A10" s="1296"/>
      <c r="B10" s="1296"/>
      <c r="C10" s="1296"/>
      <c r="D10" s="1296"/>
      <c r="E10" s="2168"/>
      <c r="F10" s="2168"/>
      <c r="G10" s="2168"/>
      <c r="H10" s="2168"/>
      <c r="I10" s="1955"/>
      <c r="J10" s="1955"/>
      <c r="K10" s="1955"/>
      <c r="L10" s="1971"/>
      <c r="M10" s="1340"/>
      <c r="N10" s="515"/>
      <c r="O10" s="323"/>
      <c r="P10" s="323"/>
      <c r="Q10" s="2111"/>
      <c r="R10" s="2111"/>
      <c r="S10" s="2111"/>
      <c r="T10" s="353"/>
      <c r="U10" s="1372"/>
      <c r="V10" s="288"/>
      <c r="W10" s="288"/>
      <c r="X10" s="320"/>
      <c r="Y10" s="320"/>
      <c r="Z10" s="320"/>
      <c r="AA10" s="320"/>
      <c r="AB10" s="1436" t="str">
        <f>AC8&amp;"-"&amp;AE8</f>
        <v>-</v>
      </c>
      <c r="AC10" s="2152"/>
      <c r="AD10" s="1981"/>
      <c r="AE10" s="2152"/>
      <c r="AF10" s="1981"/>
      <c r="AG10" s="1412"/>
      <c r="AH10" s="320"/>
      <c r="AI10" s="320"/>
      <c r="AJ10" s="320"/>
      <c r="AK10" s="324" t="str">
        <f>AL8&amp;"-"&amp;AN8</f>
        <v>-</v>
      </c>
      <c r="AL10" s="2152"/>
      <c r="AM10" s="1981"/>
      <c r="AN10" s="2152"/>
      <c r="AO10" s="1981"/>
      <c r="AP10" s="320"/>
      <c r="AQ10" s="2138"/>
      <c r="AS10" s="506"/>
      <c r="AT10" s="506" t="str">
        <f>IF(V10="","",V10)</f>
        <v/>
      </c>
      <c r="AU10" s="506"/>
      <c r="AV10" s="506"/>
    </row>
    <row customHeight="1" ht="11.25" hidden="1">
      <c r="A11" s="1296"/>
      <c r="B11" s="1296"/>
      <c r="C11" s="1296"/>
      <c r="D11" s="1296"/>
      <c r="E11" s="2168"/>
      <c r="F11" s="2168"/>
      <c r="G11" s="2168"/>
      <c r="H11" s="2168"/>
      <c r="I11" s="1955"/>
      <c r="J11" s="1955"/>
      <c r="K11" s="1971"/>
      <c r="L11" s="1296"/>
      <c r="M11" s="1340"/>
      <c r="N11" s="515"/>
      <c r="O11" s="323"/>
      <c r="P11" s="323"/>
      <c r="Q11" s="2111"/>
      <c r="R11" s="2111"/>
      <c r="S11" s="2111"/>
      <c r="T11" s="353"/>
      <c r="U11" s="1308"/>
      <c r="V11" s="276" t="s">
        <v>668</v>
      </c>
      <c r="W11" s="1422"/>
      <c r="X11" s="1423"/>
      <c r="Y11" s="1423"/>
      <c r="Z11" s="1423"/>
      <c r="AA11" s="1423"/>
      <c r="AB11" s="1424"/>
      <c r="AC11" s="2152"/>
      <c r="AD11" s="1981"/>
      <c r="AE11" s="2152"/>
      <c r="AF11" s="1981"/>
      <c r="AG11" s="1423"/>
      <c r="AH11" s="1423"/>
      <c r="AI11" s="1423"/>
      <c r="AJ11" s="1423"/>
      <c r="AK11" s="1424"/>
      <c r="AL11" s="2152"/>
      <c r="AM11" s="1981"/>
      <c r="AN11" s="2152"/>
      <c r="AO11" s="1981"/>
      <c r="AP11" s="1425"/>
      <c r="AQ11" s="2138"/>
      <c r="AS11" s="506"/>
      <c r="AT11" s="506"/>
      <c r="AU11" s="506"/>
      <c r="AV11" s="506"/>
    </row>
    <row customHeight="1" ht="15" hidden="1">
      <c r="A12" s="1296"/>
      <c r="B12" s="1296"/>
      <c r="C12" s="1296"/>
      <c r="D12" s="1296"/>
      <c r="E12" s="2168"/>
      <c r="F12" s="2168"/>
      <c r="G12" s="2168"/>
      <c r="H12" s="2168"/>
      <c r="I12" s="1955"/>
      <c r="J12" s="1971"/>
      <c r="K12" s="1296"/>
      <c r="L12" s="1296"/>
      <c r="M12" s="1340"/>
      <c r="N12" s="515"/>
      <c r="O12" s="323"/>
      <c r="Q12" s="2111"/>
      <c r="R12" s="2111"/>
      <c r="S12" s="1361"/>
      <c r="T12" s="352"/>
      <c r="U12" s="1308"/>
      <c r="V12" s="275" t="s">
        <v>626</v>
      </c>
      <c r="W12" s="367"/>
      <c r="X12" s="367"/>
      <c r="Y12" s="367"/>
      <c r="Z12" s="367"/>
      <c r="AA12" s="367"/>
      <c r="AB12" s="367"/>
      <c r="AC12" s="1438"/>
      <c r="AD12" s="1438"/>
      <c r="AE12" s="1438"/>
      <c r="AF12" s="1438"/>
      <c r="AG12" s="367"/>
      <c r="AH12" s="367"/>
      <c r="AI12" s="367"/>
      <c r="AJ12" s="367"/>
      <c r="AK12" s="367"/>
      <c r="AL12" s="367"/>
      <c r="AM12" s="367"/>
      <c r="AN12" s="367"/>
      <c r="AO12" s="367"/>
      <c r="AP12" s="319"/>
      <c r="AQ12" s="2139"/>
      <c r="AS12" s="506"/>
      <c r="AT12" s="506" t="str">
        <f>IF(V12="","",V12)</f>
        <v>Добавить вид теплоносителя (параметры теплоносителя)</v>
      </c>
      <c r="AU12" s="506"/>
      <c r="AV12" s="506"/>
    </row>
    <row customHeight="1" ht="11.25" hidden="1">
      <c r="A13" s="1296"/>
      <c r="B13" s="1296"/>
      <c r="C13" s="1296"/>
      <c r="D13" s="1296"/>
      <c r="E13" s="2168"/>
      <c r="F13" s="2168"/>
      <c r="G13" s="2168"/>
      <c r="H13" s="2168"/>
      <c r="I13" s="1971"/>
      <c r="J13" s="1296"/>
      <c r="K13" s="1296"/>
      <c r="L13" s="1296"/>
      <c r="M13" s="1340"/>
      <c r="N13" s="515"/>
      <c r="Q13" s="2111"/>
      <c r="R13" s="1361"/>
      <c r="S13" s="1361"/>
      <c r="T13" s="352"/>
      <c r="U13" s="1308"/>
      <c r="V13" s="364" t="s">
        <v>627</v>
      </c>
      <c r="W13" s="367"/>
      <c r="X13" s="367"/>
      <c r="Y13" s="367"/>
      <c r="Z13" s="367"/>
      <c r="AA13" s="367"/>
      <c r="AB13" s="367"/>
      <c r="AC13" s="367"/>
      <c r="AD13" s="367"/>
      <c r="AE13" s="367"/>
      <c r="AF13" s="366"/>
      <c r="AG13" s="367"/>
      <c r="AH13" s="367"/>
      <c r="AI13" s="367"/>
      <c r="AJ13" s="367"/>
      <c r="AK13" s="367"/>
      <c r="AL13" s="367"/>
      <c r="AM13" s="367"/>
      <c r="AN13" s="367"/>
      <c r="AO13" s="366"/>
      <c r="AP13" s="367"/>
      <c r="AQ13" s="291"/>
      <c r="AS13" s="506"/>
      <c r="AT13" s="506" t="str">
        <f>IF(V13="","",V13)</f>
        <v>Добавить группу потребителей</v>
      </c>
      <c r="AU13" s="506"/>
      <c r="AV13" s="506"/>
    </row>
    <row customHeight="1" ht="14.25" hidden="1">
      <c r="A14" s="1296"/>
      <c r="B14" s="1296"/>
      <c r="C14" s="1296"/>
      <c r="D14" s="1296"/>
      <c r="E14" s="2168"/>
      <c r="F14" s="2168"/>
      <c r="G14" s="2168"/>
      <c r="H14" s="2167"/>
      <c r="I14" s="1296"/>
      <c r="J14" s="1296"/>
      <c r="K14" s="1296"/>
      <c r="L14" s="1296"/>
      <c r="M14" s="1340"/>
      <c r="N14" s="694"/>
      <c r="O14" s="694"/>
      <c r="P14" s="515"/>
      <c r="Q14" s="356"/>
      <c r="R14" s="376"/>
      <c r="S14" s="351"/>
      <c r="T14" s="356"/>
      <c r="U14" s="1416"/>
      <c r="V14" s="1417"/>
      <c r="W14" s="1418"/>
      <c r="X14" s="1418"/>
      <c r="Y14" s="1418"/>
      <c r="Z14" s="1418"/>
      <c r="AA14" s="1418"/>
      <c r="AB14" s="1418"/>
      <c r="AC14" s="1418"/>
      <c r="AD14" s="1418"/>
      <c r="AE14" s="1418"/>
      <c r="AF14" s="1418"/>
      <c r="AG14" s="1418"/>
      <c r="AH14" s="1418"/>
      <c r="AI14" s="1418"/>
      <c r="AJ14" s="1418"/>
      <c r="AK14" s="1418"/>
      <c r="AL14" s="1418"/>
      <c r="AM14" s="1418"/>
      <c r="AN14" s="1418"/>
      <c r="AO14" s="1418"/>
      <c r="AP14" s="1418"/>
      <c r="AQ14" s="1419"/>
      <c r="AS14" s="506"/>
      <c r="AT14" s="506" t="str">
        <f>IF(V14="","",V14)</f>
        <v/>
      </c>
      <c r="AU14" s="506"/>
      <c r="AV14" s="506"/>
    </row>
    <row s="3314" customFormat="1" customHeight="1" ht="14.25" hidden="1">
      <c r="A15" s="1404"/>
      <c r="B15" s="1404"/>
      <c r="C15" s="1404"/>
      <c r="D15" s="1404"/>
      <c r="E15" s="2168"/>
      <c r="F15" s="2168"/>
      <c r="G15" s="2167"/>
      <c r="H15" s="1404"/>
      <c r="I15" s="1404"/>
      <c r="J15" s="1404"/>
      <c r="K15" s="1404"/>
      <c r="L15" s="1404"/>
      <c r="M15" s="1407"/>
      <c r="N15" s="1408"/>
      <c r="O15" s="1408"/>
      <c r="P15" s="347"/>
      <c r="Q15" s="1346"/>
      <c r="R15" s="1347"/>
      <c r="S15" s="1346"/>
      <c r="T15" s="1346"/>
      <c r="U15" s="1348"/>
      <c r="V15" s="1349" t="s">
        <v>254</v>
      </c>
      <c r="W15" s="1350"/>
      <c r="X15" s="1350"/>
      <c r="Y15" s="1350"/>
      <c r="Z15" s="1350"/>
      <c r="AA15" s="1350"/>
      <c r="AB15" s="1350"/>
      <c r="AC15" s="1350"/>
      <c r="AD15" s="1350"/>
      <c r="AE15" s="1350"/>
      <c r="AF15" s="1350"/>
      <c r="AG15" s="1350"/>
      <c r="AH15" s="1350"/>
      <c r="AI15" s="1350"/>
      <c r="AJ15" s="1350"/>
      <c r="AK15" s="1350"/>
      <c r="AL15" s="1350"/>
      <c r="AM15" s="1350"/>
      <c r="AN15" s="1350"/>
      <c r="AO15" s="1350"/>
      <c r="AP15" s="1350"/>
      <c r="AQ15" s="1350"/>
      <c r="AS15" s="795"/>
      <c r="AT15" s="795" t="str">
        <f>IF(V15="","",V15)</f>
        <v>Добавить источник для дифференциации</v>
      </c>
      <c r="AU15" s="795"/>
      <c r="AV15" s="795"/>
    </row>
    <row s="3314" customFormat="1" customHeight="1" ht="14.25" hidden="1">
      <c r="A16" s="1404"/>
      <c r="B16" s="1404"/>
      <c r="C16" s="1404"/>
      <c r="D16" s="1404"/>
      <c r="E16" s="2168"/>
      <c r="F16" s="2167"/>
      <c r="G16" s="1404"/>
      <c r="H16" s="1404"/>
      <c r="I16" s="1404"/>
      <c r="J16" s="1404"/>
      <c r="K16" s="1404"/>
      <c r="L16" s="1404"/>
      <c r="M16" s="1407"/>
      <c r="N16" s="1409"/>
      <c r="O16" s="1409"/>
      <c r="P16" s="347"/>
      <c r="Q16" s="1346"/>
      <c r="R16" s="1347"/>
      <c r="S16" s="1346"/>
      <c r="T16" s="1346"/>
      <c r="U16" s="1352"/>
      <c r="V16" s="1353" t="s">
        <v>255</v>
      </c>
      <c r="W16" s="1354"/>
      <c r="X16" s="1354"/>
      <c r="Y16" s="1354"/>
      <c r="Z16" s="1354"/>
      <c r="AA16" s="1354"/>
      <c r="AB16" s="1354"/>
      <c r="AC16" s="1354"/>
      <c r="AD16" s="1354"/>
      <c r="AE16" s="1354"/>
      <c r="AF16" s="1354"/>
      <c r="AG16" s="1354"/>
      <c r="AH16" s="1354"/>
      <c r="AI16" s="1354"/>
      <c r="AJ16" s="1354"/>
      <c r="AK16" s="1354"/>
      <c r="AL16" s="1354"/>
      <c r="AM16" s="1354"/>
      <c r="AN16" s="1354"/>
      <c r="AO16" s="1354"/>
      <c r="AP16" s="1354"/>
      <c r="AQ16" s="1354"/>
      <c r="AS16" s="795"/>
      <c r="AT16" s="795" t="str">
        <f>IF(V16="","",V16)</f>
        <v>Добавить централизованную систему для дифференциации</v>
      </c>
      <c r="AU16" s="795"/>
      <c r="AV16" s="795"/>
    </row>
    <row s="3314" customFormat="1" customHeight="1" ht="14.25" hidden="1">
      <c r="A17" s="1404"/>
      <c r="B17" s="1404"/>
      <c r="C17" s="1404"/>
      <c r="D17" s="1404"/>
      <c r="E17" s="2167"/>
      <c r="F17" s="1404"/>
      <c r="G17" s="1404"/>
      <c r="H17" s="1404"/>
      <c r="I17" s="1404"/>
      <c r="J17" s="1404"/>
      <c r="K17" s="1404"/>
      <c r="L17" s="1404"/>
      <c r="M17" s="1407"/>
      <c r="N17" s="1409"/>
      <c r="O17" s="1409"/>
      <c r="P17" s="347"/>
      <c r="Q17" s="1346"/>
      <c r="R17" s="1347"/>
      <c r="S17" s="1346"/>
      <c r="T17" s="1346"/>
      <c r="U17" s="1352"/>
      <c r="V17" s="1355" t="s">
        <v>329</v>
      </c>
      <c r="W17" s="1354"/>
      <c r="X17" s="1354"/>
      <c r="Y17" s="1354"/>
      <c r="Z17" s="1354"/>
      <c r="AA17" s="1354"/>
      <c r="AB17" s="1354"/>
      <c r="AC17" s="1354"/>
      <c r="AD17" s="1354"/>
      <c r="AE17" s="1354"/>
      <c r="AF17" s="1354"/>
      <c r="AG17" s="1354"/>
      <c r="AH17" s="1354"/>
      <c r="AI17" s="1354"/>
      <c r="AJ17" s="1354"/>
      <c r="AK17" s="1354"/>
      <c r="AL17" s="1354"/>
      <c r="AM17" s="1354"/>
      <c r="AN17" s="1354"/>
      <c r="AO17" s="1354"/>
      <c r="AP17" s="1354"/>
      <c r="AQ17" s="1354"/>
      <c r="AS17" s="795"/>
      <c r="AT17" s="795" t="str">
        <f>IF(V17="","",V17)</f>
        <v>Добавить территорию для дифференциации</v>
      </c>
      <c r="AU17" s="795"/>
      <c r="AV17" s="795"/>
    </row>
    <row customHeight="1" ht="14.25" hidden="1">
      <c r="AF18" s="323"/>
      <c r="AO18" s="323"/>
    </row>
    <row customHeight="1" ht="14.25" hidden="1">
      <c r="AG19" s="1390"/>
      <c r="AH19" s="1390"/>
      <c r="AI19" s="1390"/>
      <c r="AJ19" s="1390"/>
      <c r="AK19" s="1391"/>
      <c r="AL19" s="2105"/>
      <c r="AM19" s="2104" t="s">
        <v>63</v>
      </c>
      <c r="AN19" s="2105"/>
      <c r="AO19" s="2104" t="s">
        <v>63</v>
      </c>
    </row>
    <row customHeight="1" ht="14.25" hidden="1">
      <c r="AG20" s="1390"/>
      <c r="AH20" s="1390"/>
      <c r="AI20" s="1390"/>
      <c r="AJ20" s="1390"/>
      <c r="AK20" s="1391"/>
      <c r="AL20" s="2105"/>
      <c r="AM20" s="2104"/>
      <c r="AN20" s="2105"/>
      <c r="AO20" s="2104"/>
    </row>
    <row customHeight="1" ht="14.25" hidden="1">
      <c r="AG21" s="1390"/>
      <c r="AH21" s="1390"/>
      <c r="AI21" s="1390"/>
      <c r="AJ21" s="1390"/>
      <c r="AK21" s="1391"/>
      <c r="AL21" s="2105"/>
      <c r="AM21" s="2104"/>
      <c r="AN21" s="2105"/>
      <c r="AO21" s="2104"/>
    </row>
    <row customHeight="1" ht="14.25" hidden="1">
      <c r="AG22" s="1390"/>
      <c r="AH22" s="1390"/>
      <c r="AI22" s="1390"/>
      <c r="AJ22" s="1390"/>
      <c r="AK22" s="324" t="str">
        <f>AL19&amp;"-"&amp;AN19</f>
        <v>-</v>
      </c>
      <c r="AL22" s="2104"/>
      <c r="AM22" s="2104"/>
      <c r="AN22" s="2104"/>
      <c r="AO22" s="2104"/>
    </row>
    <row customHeight="1" ht="14.25" hidden="1">
      <c r="AO23" s="323"/>
    </row>
    <row s="2683" customFormat="1" customHeight="1" ht="22.5" hidden="1">
      <c r="A24" s="1163"/>
      <c r="B24" s="1163"/>
      <c r="C24" s="1163"/>
      <c r="D24" s="1163"/>
      <c r="E24" s="1163"/>
      <c r="F24" s="1163"/>
      <c r="G24" s="1163"/>
      <c r="H24" s="1163"/>
      <c r="I24" s="1163"/>
      <c r="J24" s="1163"/>
      <c r="K24" s="1163"/>
      <c r="L24" s="1163"/>
      <c r="M24" s="1357"/>
      <c r="N24" s="1358"/>
      <c r="O24" s="1358"/>
      <c r="P24" s="1375" t="s">
        <v>629</v>
      </c>
      <c r="Q24" s="1392"/>
      <c r="R24" s="1401"/>
      <c r="S24" s="1401"/>
      <c r="T24" s="1401"/>
      <c r="U24" s="735"/>
      <c r="AC24" s="1397"/>
      <c r="AE24" s="1397"/>
      <c r="AF24" s="1396"/>
      <c r="AL24" s="1397"/>
      <c r="AN24" s="1397"/>
      <c r="AO24" s="1396"/>
      <c r="AR24" s="517"/>
      <c r="AS24" s="517"/>
      <c r="AT24" s="517"/>
      <c r="AU24" s="517"/>
      <c r="AV24" s="517"/>
    </row>
    <row s="2683" customFormat="1" customHeight="1" ht="14.25" hidden="1">
      <c r="A25" s="1163"/>
      <c r="B25" s="1163"/>
      <c r="C25" s="1163"/>
      <c r="D25" s="1163"/>
      <c r="E25" s="1163"/>
      <c r="F25" s="1163"/>
      <c r="G25" s="1163"/>
      <c r="H25" s="1163"/>
      <c r="I25" s="1163"/>
      <c r="J25" s="1163"/>
      <c r="K25" s="1163"/>
      <c r="L25" s="1163"/>
      <c r="M25" s="1357"/>
      <c r="N25" s="1358"/>
      <c r="O25" s="1358"/>
      <c r="P25" s="1358"/>
      <c r="Q25" s="1392"/>
      <c r="R25" s="1401"/>
      <c r="S25" s="1401"/>
      <c r="T25" s="1401"/>
      <c r="U25" s="735"/>
      <c r="AF25" s="1396"/>
      <c r="AO25" s="1396"/>
      <c r="AR25" s="517"/>
      <c r="AS25" s="517"/>
      <c r="AT25" s="517"/>
      <c r="AU25" s="517"/>
      <c r="AV25" s="517"/>
    </row>
    <row s="2683" customFormat="1" customHeight="1" ht="14.25" hidden="1">
      <c r="A26" s="1163"/>
      <c r="B26" s="1163"/>
      <c r="C26" s="1163"/>
      <c r="D26" s="1163"/>
      <c r="E26" s="1163"/>
      <c r="F26" s="1163"/>
      <c r="G26" s="1163"/>
      <c r="H26" s="1163"/>
      <c r="I26" s="1163"/>
      <c r="J26" s="1163"/>
      <c r="K26" s="1163"/>
      <c r="L26" s="1163"/>
      <c r="M26" s="1357"/>
      <c r="N26" s="1358"/>
      <c r="O26" s="1358"/>
      <c r="P26" s="1340" t="s">
        <v>630</v>
      </c>
      <c r="Q26" s="1392"/>
      <c r="R26" s="1401"/>
      <c r="S26" s="1401"/>
      <c r="T26" s="1401"/>
      <c r="U26" s="735"/>
      <c r="V26" s="1168" t="s">
        <v>631</v>
      </c>
      <c r="AD26" s="172" t="s">
        <v>632</v>
      </c>
      <c r="AF26" s="172" t="s">
        <v>633</v>
      </c>
      <c r="AG26" s="1168" t="s">
        <v>631</v>
      </c>
      <c r="AM26" s="172" t="s">
        <v>634</v>
      </c>
      <c r="AO26" s="172" t="s">
        <v>633</v>
      </c>
      <c r="AR26" s="517"/>
      <c r="AS26" s="517"/>
      <c r="AT26" s="517"/>
      <c r="AU26" s="517"/>
      <c r="AV26" s="517"/>
    </row>
    <row customHeight="1" ht="14.25" hidden="1">
      <c r="P27" s="1340"/>
    </row>
    <row customHeight="1" ht="14.25" hidden="1">
      <c r="P28" s="1340"/>
    </row>
    <row customHeight="1" ht="14.25">
      <c r="R29" s="377"/>
      <c r="S29" s="377"/>
      <c r="T29" s="377"/>
      <c r="U29" s="1305"/>
      <c r="V29" s="361"/>
      <c r="W29" s="361"/>
      <c r="X29" s="515"/>
      <c r="Y29" s="515"/>
      <c r="Z29" s="515"/>
      <c r="AA29" s="515"/>
      <c r="AB29" s="515"/>
      <c r="AC29" s="515"/>
      <c r="AD29" s="515"/>
      <c r="AE29" s="515"/>
      <c r="AF29" s="515"/>
      <c r="AG29" s="515"/>
      <c r="AH29" s="515"/>
      <c r="AI29" s="515"/>
      <c r="AJ29" s="515"/>
      <c r="AK29" s="515"/>
      <c r="AL29" s="515"/>
      <c r="AM29" s="515"/>
      <c r="AN29" s="515"/>
      <c r="AO29" s="515"/>
    </row>
    <row customHeight="1" ht="54">
      <c r="R30" s="377"/>
      <c r="S30" s="377"/>
      <c r="T30" s="377"/>
      <c r="U30" s="2140"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40"/>
      <c r="W30" s="2140"/>
      <c r="X30" s="2140"/>
      <c r="Y30" s="2140"/>
      <c r="Z30" s="2140"/>
      <c r="AA30" s="2140"/>
      <c r="AB30" s="2140"/>
      <c r="AC30" s="2140"/>
      <c r="AD30" s="2140"/>
      <c r="AE30" s="2140"/>
      <c r="AF30" s="2140"/>
      <c r="AG30" s="2140"/>
      <c r="AH30" s="2140"/>
      <c r="AI30" s="2140"/>
      <c r="AJ30" s="2140"/>
      <c r="AK30" s="2140"/>
      <c r="AL30" s="2140"/>
      <c r="AM30" s="2140"/>
      <c r="AN30" s="2140"/>
      <c r="AO30" s="1261"/>
    </row>
    <row customHeight="1" ht="14.25">
      <c r="R31" s="377"/>
      <c r="S31" s="377"/>
      <c r="T31" s="377"/>
      <c r="U31" s="2141" t="str">
        <f>IF(org=0,"Не определено",org)</f>
        <v>АО "Мурманэнергосбыт"</v>
      </c>
      <c r="V31" s="2141"/>
      <c r="W31" s="2141"/>
      <c r="X31" s="2141"/>
      <c r="Y31" s="2141"/>
      <c r="Z31" s="2141"/>
      <c r="AA31" s="2141"/>
      <c r="AB31" s="2141"/>
      <c r="AC31" s="2141"/>
      <c r="AD31" s="2141"/>
      <c r="AE31" s="2141"/>
      <c r="AF31" s="2141"/>
      <c r="AG31" s="2141"/>
      <c r="AH31" s="2141"/>
      <c r="AI31" s="2141"/>
      <c r="AJ31" s="2141"/>
      <c r="AK31" s="2141"/>
      <c r="AL31" s="2141"/>
      <c r="AM31" s="2141"/>
      <c r="AN31" s="2141"/>
      <c r="AO31" s="1261"/>
    </row>
    <row customHeight="1" ht="14.25">
      <c r="R32" s="377"/>
      <c r="S32" s="377"/>
      <c r="T32" s="377"/>
      <c r="U32" s="1305"/>
      <c r="V32" s="361"/>
      <c r="W32" s="361"/>
      <c r="X32" s="316"/>
      <c r="Y32" s="316"/>
      <c r="Z32" s="316"/>
      <c r="AA32" s="316"/>
      <c r="AB32" s="316"/>
      <c r="AC32" s="316"/>
      <c r="AD32" s="316"/>
      <c r="AE32" s="316"/>
      <c r="AF32" s="316"/>
      <c r="AG32" s="316"/>
      <c r="AH32" s="316"/>
      <c r="AI32" s="316"/>
      <c r="AJ32" s="316"/>
      <c r="AK32" s="316"/>
      <c r="AL32" s="316"/>
      <c r="AM32" s="316"/>
      <c r="AN32" s="316"/>
      <c r="AO32" s="316"/>
      <c r="AP32" s="515"/>
    </row>
    <row s="3345" customFormat="1" customHeight="1" ht="25.5">
      <c r="A33" s="1267"/>
      <c r="B33" s="1267"/>
      <c r="C33" s="1267"/>
      <c r="D33" s="1267"/>
      <c r="E33" s="1267"/>
      <c r="F33" s="1267"/>
      <c r="G33" s="1267"/>
      <c r="H33" s="1267"/>
      <c r="I33" s="1267"/>
      <c r="J33" s="1267"/>
      <c r="K33" s="1267"/>
      <c r="L33" s="1267"/>
      <c r="M33" s="1410"/>
      <c r="N33" s="1267"/>
      <c r="O33" s="1267"/>
      <c r="P33" s="1267"/>
      <c r="U33" s="2098" t="s">
        <v>38</v>
      </c>
      <c r="V33" s="2098"/>
      <c r="W33" s="1402"/>
      <c r="X33" s="2100" t="str">
        <f>IF(TITLE_NAME_OR_PR_CHANGE="",IF(TITLE_NAME_OR_PR="","",TITLE_NAME_OR_PR),TITLE_NAME_OR_PR_CHANGE)</f>
        <v>Комитет по тарифному регулированию Мурманской области</v>
      </c>
      <c r="Y33" s="2100"/>
      <c r="Z33" s="2100"/>
      <c r="AA33" s="2100"/>
      <c r="AB33" s="2100"/>
      <c r="AC33" s="2100"/>
      <c r="AD33" s="2100"/>
      <c r="AE33" s="2100"/>
      <c r="AF33" s="322"/>
      <c r="AG33" s="2100" t="str">
        <f>IF(TITLE_NAME_OR_PR_CHANGE="",IF(TITLE_NAME_OR_PR="","",TITLE_NAME_OR_PR),TITLE_NAME_OR_PR_CHANGE)</f>
        <v>Комитет по тарифному регулированию Мурманской области</v>
      </c>
      <c r="AH33" s="2100"/>
      <c r="AI33" s="2100"/>
      <c r="AJ33" s="2100"/>
      <c r="AK33" s="2100"/>
      <c r="AL33" s="2100"/>
      <c r="AM33" s="2100"/>
      <c r="AN33" s="2100"/>
      <c r="AO33" s="322"/>
      <c r="AP33" s="322"/>
      <c r="AQ33" s="268"/>
      <c r="AR33" s="368"/>
      <c r="AS33" s="368"/>
      <c r="AT33" s="368"/>
      <c r="AU33" s="368"/>
      <c r="AV33" s="368"/>
    </row>
    <row s="3345" customFormat="1" customHeight="1" ht="18.75">
      <c r="A34" s="1267"/>
      <c r="B34" s="1267"/>
      <c r="C34" s="1267"/>
      <c r="D34" s="1267"/>
      <c r="E34" s="1267"/>
      <c r="F34" s="1267"/>
      <c r="G34" s="1267"/>
      <c r="H34" s="1267"/>
      <c r="I34" s="1267"/>
      <c r="J34" s="1267"/>
      <c r="K34" s="1267"/>
      <c r="L34" s="1267"/>
      <c r="M34" s="1410"/>
      <c r="N34" s="1267"/>
      <c r="O34" s="1267"/>
      <c r="P34" s="1267"/>
      <c r="U34" s="2098" t="s">
        <v>635</v>
      </c>
      <c r="V34" s="2098"/>
      <c r="W34" s="1402"/>
      <c r="X34" s="2099" t="str">
        <f>IF(TITLE_DATE_PR_CHANGE="",IF(TITLE_DATE_PR="","",TITLE_DATE_PR),TITLE_DATE_PR_CHANGE)</f>
        <v>45205</v>
      </c>
      <c r="Y34" s="2099"/>
      <c r="Z34" s="2099"/>
      <c r="AA34" s="2099"/>
      <c r="AB34" s="2099"/>
      <c r="AC34" s="2099"/>
      <c r="AD34" s="2099"/>
      <c r="AE34" s="2099"/>
      <c r="AF34" s="322"/>
      <c r="AG34" s="2099" t="str">
        <f>IF(TITLE_DATE_PR_CHANGE="",IF(TITLE_DATE_PR="","",TITLE_DATE_PR),TITLE_DATE_PR_CHANGE)</f>
        <v>45205</v>
      </c>
      <c r="AH34" s="2099"/>
      <c r="AI34" s="2099"/>
      <c r="AJ34" s="2099"/>
      <c r="AK34" s="2099"/>
      <c r="AL34" s="2099"/>
      <c r="AM34" s="2099"/>
      <c r="AN34" s="2099"/>
      <c r="AO34" s="322"/>
      <c r="AP34" s="322"/>
      <c r="AQ34" s="268"/>
      <c r="AR34" s="368"/>
      <c r="AS34" s="368"/>
      <c r="AT34" s="368"/>
      <c r="AU34" s="368"/>
      <c r="AV34" s="368"/>
    </row>
    <row s="3345" customFormat="1" customHeight="1" ht="18.75">
      <c r="A35" s="1267"/>
      <c r="B35" s="1267"/>
      <c r="C35" s="1267"/>
      <c r="D35" s="1267"/>
      <c r="E35" s="1267"/>
      <c r="F35" s="1267"/>
      <c r="G35" s="1267"/>
      <c r="H35" s="1267"/>
      <c r="I35" s="1267"/>
      <c r="J35" s="1267"/>
      <c r="K35" s="1267"/>
      <c r="L35" s="1267"/>
      <c r="M35" s="1410"/>
      <c r="N35" s="1267"/>
      <c r="O35" s="1267"/>
      <c r="P35" s="1267"/>
      <c r="U35" s="2098" t="s">
        <v>636</v>
      </c>
      <c r="V35" s="2098"/>
      <c r="W35" s="1402"/>
      <c r="X35" s="2100" t="str">
        <f>IF(TITLE_NUMBER_PR_CHANGE="",IF(TITLE_NUMBER_PR="","",TITLE_NUMBER_PR),TITLE_NUMBER_PR_CHANGE)</f>
        <v>36/2</v>
      </c>
      <c r="Y35" s="2100"/>
      <c r="Z35" s="2100"/>
      <c r="AA35" s="2100"/>
      <c r="AB35" s="2100"/>
      <c r="AC35" s="2100"/>
      <c r="AD35" s="2100"/>
      <c r="AE35" s="2100"/>
      <c r="AF35" s="322"/>
      <c r="AG35" s="2100" t="str">
        <f>IF(TITLE_NUMBER_PR_CHANGE="",IF(TITLE_NUMBER_PR="","",TITLE_NUMBER_PR),TITLE_NUMBER_PR_CHANGE)</f>
        <v>36/2</v>
      </c>
      <c r="AH35" s="2100"/>
      <c r="AI35" s="2100"/>
      <c r="AJ35" s="2100"/>
      <c r="AK35" s="2100"/>
      <c r="AL35" s="2100"/>
      <c r="AM35" s="2100"/>
      <c r="AN35" s="2100"/>
      <c r="AO35" s="322"/>
      <c r="AP35" s="322"/>
      <c r="AQ35" s="268"/>
      <c r="AR35" s="368"/>
      <c r="AS35" s="368"/>
      <c r="AT35" s="368"/>
      <c r="AU35" s="368"/>
      <c r="AV35" s="368"/>
    </row>
    <row s="3345" customFormat="1" customHeight="1" ht="18.75">
      <c r="A36" s="1267"/>
      <c r="B36" s="1267"/>
      <c r="C36" s="1267"/>
      <c r="D36" s="1267"/>
      <c r="E36" s="1267"/>
      <c r="F36" s="1267"/>
      <c r="G36" s="1267"/>
      <c r="H36" s="1267"/>
      <c r="I36" s="1267"/>
      <c r="J36" s="1267"/>
      <c r="K36" s="1267"/>
      <c r="L36" s="1267"/>
      <c r="M36" s="1410"/>
      <c r="N36" s="1267"/>
      <c r="O36" s="1267"/>
      <c r="P36" s="1267"/>
      <c r="U36" s="2098" t="s">
        <v>40</v>
      </c>
      <c r="V36" s="2098"/>
      <c r="W36" s="1402"/>
      <c r="X36" s="2100" t="str">
        <f>IF(TITLE_IST_PUB_CHANGE="",IF(TITLE_IST_PUB="","",TITLE_IST_PUB),TITLE_IST_PUB_CHANGE)</f>
        <v>https://npa.gov-murman.ru/bitrix/components/b1team/govmurman.element.file/download.php?ID=495002&amp;FID=732763</v>
      </c>
      <c r="Y36" s="2100"/>
      <c r="Z36" s="2100"/>
      <c r="AA36" s="2100"/>
      <c r="AB36" s="2100"/>
      <c r="AC36" s="2100"/>
      <c r="AD36" s="2100"/>
      <c r="AE36" s="2100"/>
      <c r="AF36" s="322"/>
      <c r="AG36" s="2100" t="str">
        <f>IF(TITLE_IST_PUB_CHANGE="",IF(TITLE_IST_PUB="","",TITLE_IST_PUB),TITLE_IST_PUB_CHANGE)</f>
        <v>https://npa.gov-murman.ru/bitrix/components/b1team/govmurman.element.file/download.php?ID=495002&amp;FID=732763</v>
      </c>
      <c r="AH36" s="2100"/>
      <c r="AI36" s="2100"/>
      <c r="AJ36" s="2100"/>
      <c r="AK36" s="2100"/>
      <c r="AL36" s="2100"/>
      <c r="AM36" s="2100"/>
      <c r="AN36" s="2100"/>
      <c r="AO36" s="322"/>
      <c r="AP36" s="322"/>
      <c r="AQ36" s="268"/>
      <c r="AR36" s="368"/>
      <c r="AS36" s="368"/>
      <c r="AT36" s="368"/>
      <c r="AU36" s="368"/>
      <c r="AV36" s="368"/>
    </row>
    <row customHeight="1" ht="14.25" hidden="1">
      <c r="R37" s="377"/>
      <c r="S37" s="377"/>
      <c r="T37" s="377"/>
      <c r="U37" s="1305"/>
      <c r="V37" s="361"/>
      <c r="W37" s="361"/>
      <c r="X37" s="316"/>
      <c r="Y37" s="316"/>
      <c r="Z37" s="316"/>
      <c r="AA37" s="316"/>
      <c r="AB37" s="316"/>
      <c r="AC37" s="316"/>
      <c r="AD37" s="316"/>
      <c r="AE37" s="316"/>
      <c r="AF37" s="316"/>
      <c r="AG37" s="316"/>
      <c r="AH37" s="316"/>
      <c r="AI37" s="316"/>
      <c r="AJ37" s="316"/>
      <c r="AK37" s="316"/>
      <c r="AL37" s="316"/>
      <c r="AM37" s="316"/>
      <c r="AN37" s="316"/>
      <c r="AO37" s="316"/>
      <c r="AP37" s="515"/>
    </row>
    <row s="3345" customFormat="1" customHeight="1" ht="18.75" hidden="1">
      <c r="A38" s="1267"/>
      <c r="B38" s="1267"/>
      <c r="C38" s="1267"/>
      <c r="D38" s="1267"/>
      <c r="E38" s="1267"/>
      <c r="F38" s="1267"/>
      <c r="G38" s="1267"/>
      <c r="H38" s="1267"/>
      <c r="I38" s="1267"/>
      <c r="J38" s="1267"/>
      <c r="K38" s="1267"/>
      <c r="L38" s="1267"/>
      <c r="M38" s="1410"/>
      <c r="N38" s="1267"/>
      <c r="O38" s="1267"/>
      <c r="P38" s="1267"/>
      <c r="U38" s="2098" t="s">
        <v>637</v>
      </c>
      <c r="V38" s="2098"/>
      <c r="W38" s="1402"/>
      <c r="X38" s="2099" t="str">
        <f>IF(TITLE_DATE_PR_CHANGE="",IF(TITLE_DATE_PR="","",TITLE_DATE_PR),TITLE_DATE_PR_CHANGE)</f>
        <v>45205</v>
      </c>
      <c r="Y38" s="2099"/>
      <c r="Z38" s="2099"/>
      <c r="AA38" s="2099"/>
      <c r="AB38" s="2099"/>
      <c r="AC38" s="2099"/>
      <c r="AD38" s="2099"/>
      <c r="AE38" s="2099"/>
      <c r="AF38" s="322"/>
      <c r="AG38" s="2099" t="str">
        <f>IF(TITLE_DATE_PR_CHANGE="",IF(TITLE_DATE_PR="","",TITLE_DATE_PR),TITLE_DATE_PR_CHANGE)</f>
        <v>45205</v>
      </c>
      <c r="AH38" s="2099"/>
      <c r="AI38" s="2099"/>
      <c r="AJ38" s="2099"/>
      <c r="AK38" s="2099"/>
      <c r="AL38" s="2099"/>
      <c r="AM38" s="2099"/>
      <c r="AN38" s="2099"/>
      <c r="AO38" s="322"/>
      <c r="AP38" s="322"/>
      <c r="AQ38" s="268"/>
      <c r="AR38" s="368"/>
      <c r="AS38" s="368"/>
      <c r="AT38" s="368"/>
      <c r="AU38" s="368"/>
      <c r="AV38" s="368"/>
    </row>
    <row s="3345" customFormat="1" customHeight="1" ht="18.75" hidden="1">
      <c r="A39" s="1267"/>
      <c r="B39" s="1267"/>
      <c r="C39" s="1267"/>
      <c r="D39" s="1267"/>
      <c r="E39" s="1267"/>
      <c r="F39" s="1267"/>
      <c r="G39" s="1267"/>
      <c r="H39" s="1267"/>
      <c r="I39" s="1267"/>
      <c r="J39" s="1267"/>
      <c r="K39" s="1267"/>
      <c r="L39" s="1267"/>
      <c r="M39" s="1410"/>
      <c r="N39" s="1267"/>
      <c r="O39" s="1267"/>
      <c r="P39" s="1267"/>
      <c r="U39" s="2098" t="s">
        <v>638</v>
      </c>
      <c r="V39" s="2098"/>
      <c r="W39" s="1402"/>
      <c r="X39" s="2100" t="str">
        <f>IF(TITLE_NUMBER_PR_CHANGE="",IF(TITLE_NUMBER_PR="","",TITLE_NUMBER_PR),TITLE_NUMBER_PR_CHANGE)</f>
        <v>36/2</v>
      </c>
      <c r="Y39" s="2100"/>
      <c r="Z39" s="2100"/>
      <c r="AA39" s="2100"/>
      <c r="AB39" s="2100"/>
      <c r="AC39" s="2100"/>
      <c r="AD39" s="2100"/>
      <c r="AE39" s="2100"/>
      <c r="AF39" s="322"/>
      <c r="AG39" s="2100" t="str">
        <f>IF(TITLE_NUMBER_PR_CHANGE="",IF(TITLE_NUMBER_PR="","",TITLE_NUMBER_PR),TITLE_NUMBER_PR_CHANGE)</f>
        <v>36/2</v>
      </c>
      <c r="AH39" s="2100"/>
      <c r="AI39" s="2100"/>
      <c r="AJ39" s="2100"/>
      <c r="AK39" s="2100"/>
      <c r="AL39" s="2100"/>
      <c r="AM39" s="2100"/>
      <c r="AN39" s="2100"/>
      <c r="AO39" s="322"/>
      <c r="AP39" s="322"/>
      <c r="AQ39" s="268"/>
      <c r="AR39" s="368"/>
      <c r="AS39" s="368"/>
      <c r="AT39" s="368"/>
      <c r="AU39" s="368"/>
      <c r="AV39" s="368"/>
    </row>
    <row s="3345" customFormat="1" customHeight="1" ht="0">
      <c r="A40" s="1267"/>
      <c r="B40" s="1267"/>
      <c r="C40" s="1267"/>
      <c r="D40" s="1267"/>
      <c r="E40" s="1267"/>
      <c r="F40" s="1267"/>
      <c r="G40" s="1267"/>
      <c r="H40" s="1267"/>
      <c r="I40" s="1267"/>
      <c r="J40" s="1267"/>
      <c r="K40" s="1267"/>
      <c r="L40" s="1267"/>
      <c r="M40" s="1410"/>
      <c r="N40" s="1267"/>
      <c r="O40" s="1267"/>
      <c r="P40" s="1267"/>
      <c r="U40" s="318"/>
      <c r="V40" s="318"/>
      <c r="W40" s="1370"/>
      <c r="X40" s="322"/>
      <c r="Y40" s="322"/>
      <c r="Z40" s="322"/>
      <c r="AA40" s="322"/>
      <c r="AB40" s="322"/>
      <c r="AC40" s="322"/>
      <c r="AD40" s="322"/>
      <c r="AE40" s="322"/>
      <c r="AF40" s="266" t="s">
        <v>639</v>
      </c>
      <c r="AG40" s="322"/>
      <c r="AH40" s="322"/>
      <c r="AI40" s="322"/>
      <c r="AJ40" s="322"/>
      <c r="AK40" s="322"/>
      <c r="AL40" s="322"/>
      <c r="AM40" s="322"/>
      <c r="AN40" s="322"/>
      <c r="AO40" s="266" t="s">
        <v>639</v>
      </c>
      <c r="AR40" s="368"/>
      <c r="AS40" s="368"/>
      <c r="AT40" s="368"/>
      <c r="AU40" s="368"/>
      <c r="AV40" s="368"/>
    </row>
    <row customHeight="1" ht="14.25">
      <c r="R41" s="377"/>
      <c r="S41" s="377"/>
      <c r="T41" s="377"/>
      <c r="U41" s="1305"/>
      <c r="V41" s="361"/>
      <c r="W41" s="1262"/>
      <c r="X41" s="2124"/>
      <c r="Y41" s="2124"/>
      <c r="Z41" s="2124"/>
      <c r="AA41" s="2124"/>
      <c r="AB41" s="2124"/>
      <c r="AC41" s="2124"/>
      <c r="AD41" s="2124"/>
      <c r="AE41" s="2124"/>
      <c r="AF41" s="2124"/>
      <c r="AG41" s="2124"/>
      <c r="AH41" s="2124"/>
      <c r="AI41" s="2124"/>
      <c r="AJ41" s="2124"/>
      <c r="AK41" s="2124"/>
      <c r="AL41" s="2124"/>
      <c r="AM41" s="2124"/>
      <c r="AN41" s="2124"/>
      <c r="AO41" s="2124"/>
    </row>
    <row customHeight="1" ht="14.25">
      <c r="R42" s="377"/>
      <c r="S42" s="377"/>
      <c r="T42" s="377"/>
      <c r="U42" s="1971" t="s">
        <v>513</v>
      </c>
      <c r="V42" s="1971"/>
      <c r="W42" s="1971"/>
      <c r="X42" s="1971"/>
      <c r="Y42" s="1971"/>
      <c r="Z42" s="1971"/>
      <c r="AA42" s="1971"/>
      <c r="AB42" s="1971"/>
      <c r="AC42" s="1971"/>
      <c r="AD42" s="1971"/>
      <c r="AE42" s="1971"/>
      <c r="AF42" s="1971"/>
      <c r="AG42" s="1971"/>
      <c r="AH42" s="1971"/>
      <c r="AI42" s="1971"/>
      <c r="AJ42" s="1971"/>
      <c r="AK42" s="1971"/>
      <c r="AL42" s="1971"/>
      <c r="AM42" s="1971"/>
      <c r="AN42" s="1971"/>
      <c r="AO42" s="1971"/>
      <c r="AP42" s="1971"/>
      <c r="AQ42" s="1971" t="s">
        <v>514</v>
      </c>
    </row>
    <row customHeight="1" ht="14.25">
      <c r="R43" s="377"/>
      <c r="S43" s="377"/>
      <c r="T43" s="377"/>
      <c r="U43" s="2125" t="s">
        <v>89</v>
      </c>
      <c r="V43" s="2062" t="s">
        <v>640</v>
      </c>
      <c r="W43" s="289"/>
      <c r="X43" s="2126" t="s">
        <v>641</v>
      </c>
      <c r="Y43" s="2146"/>
      <c r="Z43" s="2146"/>
      <c r="AA43" s="2146"/>
      <c r="AB43" s="2146"/>
      <c r="AC43" s="2127"/>
      <c r="AD43" s="2127"/>
      <c r="AE43" s="2128"/>
      <c r="AF43" s="2129" t="s">
        <v>642</v>
      </c>
      <c r="AG43" s="2126" t="s">
        <v>641</v>
      </c>
      <c r="AH43" s="2146"/>
      <c r="AI43" s="2146"/>
      <c r="AJ43" s="2146"/>
      <c r="AK43" s="2146"/>
      <c r="AL43" s="2127"/>
      <c r="AM43" s="2127"/>
      <c r="AN43" s="2128"/>
      <c r="AO43" s="2129" t="s">
        <v>643</v>
      </c>
      <c r="AP43" s="2132" t="s">
        <v>644</v>
      </c>
      <c r="AQ43" s="1971"/>
    </row>
    <row customHeight="1" ht="33.75">
      <c r="R44" s="377"/>
      <c r="S44" s="377"/>
      <c r="T44" s="377"/>
      <c r="U44" s="2125"/>
      <c r="V44" s="2062"/>
      <c r="W44" s="1038"/>
      <c r="X44" s="2144" t="s">
        <v>669</v>
      </c>
      <c r="Y44" s="2153" t="s">
        <v>670</v>
      </c>
      <c r="Z44" s="2153"/>
      <c r="AA44" s="2153"/>
      <c r="AB44" s="2153"/>
      <c r="AC44" s="2144" t="s">
        <v>648</v>
      </c>
      <c r="AD44" s="2162"/>
      <c r="AE44" s="2163"/>
      <c r="AF44" s="2130"/>
      <c r="AG44" s="2144" t="s">
        <v>669</v>
      </c>
      <c r="AH44" s="2153" t="s">
        <v>670</v>
      </c>
      <c r="AI44" s="2153"/>
      <c r="AJ44" s="2153"/>
      <c r="AK44" s="2153"/>
      <c r="AL44" s="2144" t="s">
        <v>648</v>
      </c>
      <c r="AM44" s="2162"/>
      <c r="AN44" s="2163"/>
      <c r="AO44" s="2130"/>
      <c r="AP44" s="2133"/>
      <c r="AQ44" s="1971"/>
    </row>
    <row customHeight="1" ht="14.25">
      <c r="R45" s="377"/>
      <c r="S45" s="377"/>
      <c r="T45" s="377"/>
      <c r="U45" s="2125"/>
      <c r="V45" s="2062"/>
      <c r="W45" s="1038"/>
      <c r="X45" s="2166"/>
      <c r="Y45" s="2154" t="s">
        <v>671</v>
      </c>
      <c r="Z45" s="2121" t="s">
        <v>672</v>
      </c>
      <c r="AA45" s="2157"/>
      <c r="AB45" s="2122"/>
      <c r="AC45" s="2145"/>
      <c r="AD45" s="2164"/>
      <c r="AE45" s="2165"/>
      <c r="AF45" s="2130"/>
      <c r="AG45" s="2166"/>
      <c r="AH45" s="2154" t="s">
        <v>671</v>
      </c>
      <c r="AI45" s="2121" t="s">
        <v>672</v>
      </c>
      <c r="AJ45" s="2157"/>
      <c r="AK45" s="2122"/>
      <c r="AL45" s="2145"/>
      <c r="AM45" s="2164"/>
      <c r="AN45" s="2165"/>
      <c r="AO45" s="2130"/>
      <c r="AP45" s="2133"/>
      <c r="AQ45" s="1971"/>
    </row>
    <row customHeight="1" ht="25.5">
      <c r="R46" s="377"/>
      <c r="S46" s="377"/>
      <c r="T46" s="377"/>
      <c r="U46" s="2125"/>
      <c r="V46" s="2062"/>
      <c r="W46" s="1038"/>
      <c r="X46" s="2166"/>
      <c r="Y46" s="2155"/>
      <c r="Z46" s="2154" t="s">
        <v>673</v>
      </c>
      <c r="AA46" s="2121" t="s">
        <v>674</v>
      </c>
      <c r="AB46" s="2122"/>
      <c r="AC46" s="2154" t="s">
        <v>658</v>
      </c>
      <c r="AD46" s="2158" t="s">
        <v>659</v>
      </c>
      <c r="AE46" s="2159"/>
      <c r="AF46" s="2130"/>
      <c r="AG46" s="2166"/>
      <c r="AH46" s="2155"/>
      <c r="AI46" s="2154" t="s">
        <v>673</v>
      </c>
      <c r="AJ46" s="2121" t="s">
        <v>674</v>
      </c>
      <c r="AK46" s="2122"/>
      <c r="AL46" s="2154" t="s">
        <v>658</v>
      </c>
      <c r="AM46" s="2158" t="s">
        <v>659</v>
      </c>
      <c r="AN46" s="2159"/>
      <c r="AO46" s="2130"/>
      <c r="AP46" s="2133"/>
      <c r="AQ46" s="1971"/>
    </row>
    <row customHeight="1" ht="62.25">
      <c r="A47" s="1288"/>
      <c r="B47" s="1288" t="s">
        <v>216</v>
      </c>
      <c r="C47" s="1288" t="s">
        <v>217</v>
      </c>
      <c r="D47" s="1288" t="s">
        <v>218</v>
      </c>
      <c r="E47" s="1340" t="s">
        <v>649</v>
      </c>
      <c r="F47" s="1340" t="s">
        <v>650</v>
      </c>
      <c r="G47" s="1340" t="s">
        <v>651</v>
      </c>
      <c r="H47" s="1340" t="s">
        <v>652</v>
      </c>
      <c r="I47" s="1340" t="s">
        <v>653</v>
      </c>
      <c r="J47" s="1340" t="s">
        <v>654</v>
      </c>
      <c r="K47" s="1340" t="s">
        <v>655</v>
      </c>
      <c r="L47" s="1340" t="s">
        <v>675</v>
      </c>
      <c r="M47" s="1340" t="s">
        <v>630</v>
      </c>
      <c r="R47" s="377"/>
      <c r="S47" s="377"/>
      <c r="T47" s="377"/>
      <c r="U47" s="2125"/>
      <c r="V47" s="2062"/>
      <c r="W47" s="290"/>
      <c r="X47" s="2145"/>
      <c r="Y47" s="2156"/>
      <c r="Z47" s="2156"/>
      <c r="AA47" s="1237" t="s">
        <v>676</v>
      </c>
      <c r="AB47" s="1237" t="s">
        <v>677</v>
      </c>
      <c r="AC47" s="2156"/>
      <c r="AD47" s="2160"/>
      <c r="AE47" s="2161"/>
      <c r="AF47" s="2131"/>
      <c r="AG47" s="2145"/>
      <c r="AH47" s="2156"/>
      <c r="AI47" s="2156"/>
      <c r="AJ47" s="1237" t="s">
        <v>676</v>
      </c>
      <c r="AK47" s="1237" t="s">
        <v>677</v>
      </c>
      <c r="AL47" s="2156"/>
      <c r="AM47" s="2160"/>
      <c r="AN47" s="2161"/>
      <c r="AO47" s="2131"/>
      <c r="AP47" s="2134"/>
      <c r="AQ47" s="1971"/>
    </row>
    <row s="2611" customFormat="1" customHeight="1" ht="11.25" hidden="1">
      <c r="A48" s="1288"/>
      <c r="B48" s="1288"/>
      <c r="C48" s="1288"/>
      <c r="D48" s="1288"/>
      <c r="E48" s="1288"/>
      <c r="F48" s="1288"/>
      <c r="G48" s="1288"/>
      <c r="H48" s="1288"/>
      <c r="I48" s="1288"/>
      <c r="J48" s="1288"/>
      <c r="K48" s="1288"/>
      <c r="L48" s="1288"/>
      <c r="M48" s="1340"/>
      <c r="N48" s="1358"/>
      <c r="O48" s="1358"/>
      <c r="P48" s="1358"/>
      <c r="Q48" s="1264"/>
      <c r="R48" s="1265"/>
      <c r="S48" s="1280">
        <v>1</v>
      </c>
      <c r="T48" s="1280"/>
      <c r="U48" s="1307" t="s">
        <v>193</v>
      </c>
      <c r="V48" s="1281" t="s">
        <v>104</v>
      </c>
      <c r="W48" s="1263" t="str">
        <f>OFFSET(W48,0,-1)</f>
        <v>2</v>
      </c>
      <c r="X48" s="1365">
        <f>OFFSET(X48,0,-1)+1</f>
        <v>3</v>
      </c>
      <c r="Y48" s="1371"/>
      <c r="Z48" s="1371"/>
      <c r="AA48" s="1371">
        <f>OFFSET(AA48,0,-1)+1</f>
        <v>1</v>
      </c>
      <c r="AB48" s="1371">
        <f>OFFSET(AB48,0,-1)+1</f>
        <v>2</v>
      </c>
      <c r="AC48" s="1365">
        <f>OFFSET(AC48,0,-1)+1</f>
        <v>3</v>
      </c>
      <c r="AD48" s="2123">
        <f>OFFSET(AD48,0,-1)+1</f>
        <v>4</v>
      </c>
      <c r="AE48" s="2123"/>
      <c r="AF48" s="1365">
        <f>OFFSET(AF48,0,-2)+1</f>
        <v>5</v>
      </c>
      <c r="AG48" s="1365">
        <f>OFFSET(AG48,0,-1)+1</f>
        <v>6</v>
      </c>
      <c r="AH48" s="1365"/>
      <c r="AI48" s="1365"/>
      <c r="AJ48" s="1365">
        <f>OFFSET(AJ48,0,-1)+1</f>
        <v>1</v>
      </c>
      <c r="AK48" s="1365">
        <f>OFFSET(AK48,0,-1)+1</f>
        <v>2</v>
      </c>
      <c r="AL48" s="1365">
        <f>OFFSET(AL48,0,-1)+1</f>
        <v>3</v>
      </c>
      <c r="AM48" s="2123">
        <f>OFFSET(AM48,0,-1)+1</f>
        <v>4</v>
      </c>
      <c r="AN48" s="2123"/>
      <c r="AO48" s="1365">
        <f>OFFSET(AO48,0,-2)+1</f>
        <v>5</v>
      </c>
      <c r="AP48" s="1263">
        <f>OFFSET(AP48,0,-1)</f>
        <v>5</v>
      </c>
      <c r="AQ48" s="1365">
        <f>OFFSET(AQ48,0,-1)+1</f>
        <v>6</v>
      </c>
      <c r="AR48" s="517"/>
      <c r="AS48" s="517"/>
      <c r="AT48" s="517"/>
      <c r="AU48" s="517"/>
      <c r="AV48" s="517"/>
    </row>
    <row customHeight="1" ht="21">
      <c r="A49" s="1296" t="s">
        <v>401</v>
      </c>
      <c r="B49" s="1296"/>
      <c r="C49" s="1296"/>
      <c r="D49" s="1296"/>
      <c r="E49" s="2167">
        <v>1</v>
      </c>
      <c r="F49" s="1296"/>
      <c r="G49" s="1296"/>
      <c r="H49" s="1296"/>
      <c r="I49" s="1296"/>
      <c r="J49" s="1296"/>
      <c r="K49" s="1296"/>
      <c r="L49" s="1296"/>
      <c r="M49" s="1340"/>
      <c r="N49" s="694"/>
      <c r="O49" s="694"/>
      <c r="P49" s="694"/>
      <c r="Q49" s="357"/>
      <c r="R49" s="356"/>
      <c r="S49" s="356"/>
      <c r="T49" s="351"/>
      <c r="U49" s="1366">
        <f>INDEX(PT_DIFFERENTIATION_NUM_NTAR,MATCH(A49,PT_DIFFERENTIATION_NTAR_ID,0))</f>
        <v>0</v>
      </c>
      <c r="V49" s="286" t="s">
        <v>204</v>
      </c>
      <c r="W49" s="288"/>
      <c r="X49" s="2101"/>
      <c r="Y49" s="2102"/>
      <c r="Z49" s="2102"/>
      <c r="AA49" s="2102"/>
      <c r="AB49" s="2102"/>
      <c r="AC49" s="2102"/>
      <c r="AD49" s="2102"/>
      <c r="AE49" s="2102"/>
      <c r="AF49" s="2103"/>
      <c r="AG49" s="2101" t="str">
        <f>INDEX(PT_DIFFERENTIATION_NTAR,MATCH(A49,PT_DIFFERENTIATION_NTAR_ID,0))</f>
        <v/>
      </c>
      <c r="AH49" s="2102"/>
      <c r="AI49" s="2102"/>
      <c r="AJ49" s="2102"/>
      <c r="AK49" s="2102"/>
      <c r="AL49" s="2102"/>
      <c r="AM49" s="2102"/>
      <c r="AN49" s="2102"/>
      <c r="AO49" s="2102"/>
      <c r="AP49" s="2103"/>
      <c r="AQ49" s="12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506"/>
      <c r="AT49" s="506" t="str">
        <f>IF(V49="","",V49)</f>
        <v>Наименование тарифа</v>
      </c>
      <c r="AU49" s="506"/>
      <c r="AV49" s="506"/>
    </row>
    <row customHeight="1" ht="21">
      <c r="A50" s="1296" t="s">
        <v>401</v>
      </c>
      <c r="B50" s="1296" t="s">
        <v>402</v>
      </c>
      <c r="C50" s="1296"/>
      <c r="D50" s="1296"/>
      <c r="E50" s="2168"/>
      <c r="F50" s="2167">
        <v>1</v>
      </c>
      <c r="G50" s="1296"/>
      <c r="H50" s="1296"/>
      <c r="I50" s="1296"/>
      <c r="J50" s="1296"/>
      <c r="K50" s="1296"/>
      <c r="L50" s="1296"/>
      <c r="M50" s="1340"/>
      <c r="N50" s="694"/>
      <c r="O50" s="694"/>
      <c r="P50" s="694"/>
      <c r="Q50" s="1362"/>
      <c r="R50" s="348"/>
      <c r="S50" s="515"/>
      <c r="T50" s="349"/>
      <c r="U50" s="1366" t="str">
        <f>INDEX(PT_DIFFERENTIATION_NUM_TER,MATCH(B50,PT_DIFFERENTIATION_TER_ID,0))</f>
        <v>.</v>
      </c>
      <c r="V50" s="298" t="s">
        <v>612</v>
      </c>
      <c r="W50" s="288"/>
      <c r="X50" s="2101"/>
      <c r="Y50" s="2102"/>
      <c r="Z50" s="2102"/>
      <c r="AA50" s="2102"/>
      <c r="AB50" s="2102"/>
      <c r="AC50" s="2102"/>
      <c r="AD50" s="2102"/>
      <c r="AE50" s="2102"/>
      <c r="AF50" s="2103"/>
      <c r="AG50" s="2101" t="str">
        <f>INDEX(PT_DIFFERENTIATION_TER,MATCH(B50,PT_DIFFERENTIATION_TER_ID,0))</f>
        <v/>
      </c>
      <c r="AH50" s="2102"/>
      <c r="AI50" s="2102"/>
      <c r="AJ50" s="2102"/>
      <c r="AK50" s="2102"/>
      <c r="AL50" s="2102"/>
      <c r="AM50" s="2102"/>
      <c r="AN50" s="2102"/>
      <c r="AO50" s="2102"/>
      <c r="AP50" s="2103"/>
      <c r="AQ50" s="1286" t="s">
        <v>613</v>
      </c>
      <c r="AS50" s="506"/>
      <c r="AT50" s="506" t="str">
        <f>IF(V50="","",V50)</f>
        <v>Территория действия тарифа</v>
      </c>
      <c r="AU50" s="506"/>
      <c r="AV50" s="506"/>
    </row>
    <row customHeight="1" ht="22.5">
      <c r="A51" s="1296" t="s">
        <v>401</v>
      </c>
      <c r="B51" s="1296" t="s">
        <v>402</v>
      </c>
      <c r="C51" s="1296" t="s">
        <v>403</v>
      </c>
      <c r="D51" s="1296"/>
      <c r="E51" s="2168"/>
      <c r="F51" s="2168"/>
      <c r="G51" s="2167">
        <v>1</v>
      </c>
      <c r="H51" s="1296"/>
      <c r="I51" s="1296"/>
      <c r="J51" s="1296"/>
      <c r="K51" s="1296"/>
      <c r="L51" s="1296"/>
      <c r="M51" s="1340"/>
      <c r="N51" s="694"/>
      <c r="O51" s="694"/>
      <c r="P51" s="694"/>
      <c r="Q51" s="350"/>
      <c r="R51" s="348"/>
      <c r="S51" s="515"/>
      <c r="T51" s="349"/>
      <c r="U51" s="1366" t="str">
        <f>INDEX(PT_DIFFERENTIATION_NUM_CS,MATCH(C51,PT_DIFFERENTIATION_CS_ID,0))</f>
        <v>..</v>
      </c>
      <c r="V51" s="299" t="s">
        <v>614</v>
      </c>
      <c r="W51" s="288"/>
      <c r="X51" s="2101"/>
      <c r="Y51" s="2102"/>
      <c r="Z51" s="2102"/>
      <c r="AA51" s="2102"/>
      <c r="AB51" s="2102"/>
      <c r="AC51" s="2102"/>
      <c r="AD51" s="2102"/>
      <c r="AE51" s="2102"/>
      <c r="AF51" s="2103"/>
      <c r="AG51" s="2101" t="str">
        <f>INDEX(PT_DIFFERENTIATION_CS,MATCH(C51,PT_DIFFERENTIATION_CS_ID,0))</f>
        <v/>
      </c>
      <c r="AH51" s="2102"/>
      <c r="AI51" s="2102"/>
      <c r="AJ51" s="2102"/>
      <c r="AK51" s="2102"/>
      <c r="AL51" s="2102"/>
      <c r="AM51" s="2102"/>
      <c r="AN51" s="2102"/>
      <c r="AO51" s="2102"/>
      <c r="AP51" s="2103"/>
      <c r="AQ51" s="1286" t="s">
        <v>615</v>
      </c>
      <c r="AS51" s="506"/>
      <c r="AT51" s="506" t="str">
        <f>IF(V51="","",V51)</f>
        <v>Наименование системы теплоснабжения </v>
      </c>
      <c r="AU51" s="506"/>
      <c r="AV51" s="506"/>
    </row>
    <row customHeight="1" ht="21">
      <c r="A52" s="1296" t="s">
        <v>401</v>
      </c>
      <c r="B52" s="1296" t="s">
        <v>402</v>
      </c>
      <c r="C52" s="1296" t="s">
        <v>403</v>
      </c>
      <c r="D52" s="1296" t="s">
        <v>404</v>
      </c>
      <c r="E52" s="2168"/>
      <c r="F52" s="2168"/>
      <c r="G52" s="2168"/>
      <c r="H52" s="2169">
        <v>1</v>
      </c>
      <c r="I52" s="1296"/>
      <c r="J52" s="1296"/>
      <c r="K52" s="1296"/>
      <c r="L52" s="1296"/>
      <c r="M52" s="1340"/>
      <c r="N52" s="694"/>
      <c r="O52" s="694"/>
      <c r="P52" s="694"/>
      <c r="Q52" s="350"/>
      <c r="R52" s="348"/>
      <c r="S52" s="515"/>
      <c r="T52" s="349"/>
      <c r="U52" s="1366" t="str">
        <f>INDEX(PT_DIFFERENTIATION_NUM_IST_TE,MATCH(D52,PT_DIFFERENTIATION_IST_TE_ID,0))</f>
        <v>...</v>
      </c>
      <c r="V52" s="300" t="s">
        <v>616</v>
      </c>
      <c r="W52" s="288"/>
      <c r="X52" s="2101"/>
      <c r="Y52" s="2102"/>
      <c r="Z52" s="2102"/>
      <c r="AA52" s="2102"/>
      <c r="AB52" s="2102"/>
      <c r="AC52" s="2102"/>
      <c r="AD52" s="2102"/>
      <c r="AE52" s="2102"/>
      <c r="AF52" s="2103"/>
      <c r="AG52" s="2101" t="str">
        <f>INDEX(PT_DIFFERENTIATION_IST_TE,MATCH(D52,PT_DIFFERENTIATION_IST_TE_ID,0))</f>
        <v/>
      </c>
      <c r="AH52" s="2102"/>
      <c r="AI52" s="2102"/>
      <c r="AJ52" s="2102"/>
      <c r="AK52" s="2102"/>
      <c r="AL52" s="2102"/>
      <c r="AM52" s="2102"/>
      <c r="AN52" s="2102"/>
      <c r="AO52" s="2102"/>
      <c r="AP52" s="2103"/>
      <c r="AQ52" s="1286" t="s">
        <v>617</v>
      </c>
      <c r="AS52" s="506"/>
      <c r="AT52" s="506" t="str">
        <f>IF(V52="","",V52)</f>
        <v>Источник тепловой энергии  </v>
      </c>
      <c r="AU52" s="506"/>
      <c r="AV52" s="506"/>
    </row>
    <row s="2612" customFormat="1" customHeight="1" ht="0">
      <c r="A53" s="1405" t="s">
        <v>401</v>
      </c>
      <c r="B53" s="1405" t="s">
        <v>402</v>
      </c>
      <c r="C53" s="1405" t="s">
        <v>403</v>
      </c>
      <c r="D53" s="1405" t="s">
        <v>404</v>
      </c>
      <c r="E53" s="2168"/>
      <c r="F53" s="2168"/>
      <c r="G53" s="2168"/>
      <c r="H53" s="2170"/>
      <c r="I53" s="1971" t="str">
        <f>U52&amp;".1"</f>
        <v>....1</v>
      </c>
      <c r="J53" s="1405"/>
      <c r="K53" s="1405"/>
      <c r="L53" s="1405"/>
      <c r="M53" s="1411" t="s">
        <v>618</v>
      </c>
      <c r="N53" s="1264"/>
      <c r="O53" s="1264"/>
      <c r="P53" s="1264"/>
      <c r="Q53" s="2111">
        <v>1</v>
      </c>
      <c r="R53" s="1361"/>
      <c r="S53" s="1361"/>
      <c r="T53" s="352"/>
      <c r="U53" s="1049"/>
      <c r="V53" s="1413"/>
      <c r="W53" s="1414"/>
      <c r="X53" s="2147"/>
      <c r="Y53" s="2148"/>
      <c r="Z53" s="2148"/>
      <c r="AA53" s="2148"/>
      <c r="AB53" s="2148"/>
      <c r="AC53" s="2148"/>
      <c r="AD53" s="2148"/>
      <c r="AE53" s="2148"/>
      <c r="AF53" s="2149"/>
      <c r="AG53" s="2147"/>
      <c r="AH53" s="2148"/>
      <c r="AI53" s="2148"/>
      <c r="AJ53" s="2148"/>
      <c r="AK53" s="2148"/>
      <c r="AL53" s="2148"/>
      <c r="AM53" s="2148"/>
      <c r="AN53" s="2148"/>
      <c r="AO53" s="2148"/>
      <c r="AP53" s="2149"/>
      <c r="AQ53" s="1415"/>
      <c r="AS53" s="506"/>
      <c r="AT53" s="506" t="str">
        <f>IF(V53="","",V53)</f>
        <v/>
      </c>
      <c r="AU53" s="506"/>
      <c r="AV53" s="506"/>
    </row>
    <row customHeight="1" ht="21">
      <c r="A54" s="1296" t="s">
        <v>401</v>
      </c>
      <c r="B54" s="1296" t="s">
        <v>402</v>
      </c>
      <c r="C54" s="1296" t="s">
        <v>403</v>
      </c>
      <c r="D54" s="1296" t="s">
        <v>404</v>
      </c>
      <c r="E54" s="2168"/>
      <c r="F54" s="2168"/>
      <c r="G54" s="2168"/>
      <c r="H54" s="2170"/>
      <c r="I54" s="1955"/>
      <c r="J54" s="1971" t="str">
        <f>I53&amp;".1"</f>
        <v>....1.1</v>
      </c>
      <c r="K54" s="1296"/>
      <c r="L54" s="1296"/>
      <c r="M54" s="1340" t="s">
        <v>621</v>
      </c>
      <c r="Q54" s="2111"/>
      <c r="R54" s="2111">
        <v>1</v>
      </c>
      <c r="S54" s="524"/>
      <c r="T54" s="353"/>
      <c r="U54" s="1366" t="str">
        <f>$J54</f>
        <v>....1.1</v>
      </c>
      <c r="V54" s="274" t="s">
        <v>622</v>
      </c>
      <c r="W54" s="288"/>
      <c r="X54" s="2095"/>
      <c r="Y54" s="2096"/>
      <c r="Z54" s="2096"/>
      <c r="AA54" s="2096"/>
      <c r="AB54" s="2096"/>
      <c r="AC54" s="2088"/>
      <c r="AD54" s="2088"/>
      <c r="AE54" s="2088"/>
      <c r="AF54" s="2171"/>
      <c r="AG54" s="2095"/>
      <c r="AH54" s="2096"/>
      <c r="AI54" s="2096"/>
      <c r="AJ54" s="2096"/>
      <c r="AK54" s="2096"/>
      <c r="AL54" s="2096"/>
      <c r="AM54" s="2096"/>
      <c r="AN54" s="2096"/>
      <c r="AO54" s="2096"/>
      <c r="AP54" s="2097"/>
      <c r="AQ54" s="1286" t="s">
        <v>623</v>
      </c>
      <c r="AS54" s="506"/>
      <c r="AT54" s="506" t="str">
        <f>IF(V54="","",V54)</f>
        <v>Группа потребителей</v>
      </c>
      <c r="AU54" s="506"/>
      <c r="AV54" s="506"/>
    </row>
    <row customHeight="1" ht="21">
      <c r="A55" s="1296" t="s">
        <v>401</v>
      </c>
      <c r="B55" s="1296" t="s">
        <v>402</v>
      </c>
      <c r="C55" s="1296" t="s">
        <v>403</v>
      </c>
      <c r="D55" s="1296" t="s">
        <v>404</v>
      </c>
      <c r="E55" s="2168"/>
      <c r="F55" s="2168"/>
      <c r="G55" s="2168"/>
      <c r="H55" s="2170"/>
      <c r="I55" s="1955"/>
      <c r="J55" s="1955"/>
      <c r="K55" s="1971" t="str">
        <f>J54&amp;".1"</f>
        <v>....1.1.1</v>
      </c>
      <c r="L55" s="125"/>
      <c r="M55" s="1340" t="s">
        <v>624</v>
      </c>
      <c r="Q55" s="2111"/>
      <c r="R55" s="2111"/>
      <c r="S55" s="524">
        <v>1</v>
      </c>
      <c r="T55" s="353"/>
      <c r="U55" s="1366" t="str">
        <f>$K55</f>
        <v>....1.1.1</v>
      </c>
      <c r="V55" s="1377"/>
      <c r="W55" s="288"/>
      <c r="X55" s="757"/>
      <c r="Y55" s="757"/>
      <c r="Z55" s="757"/>
      <c r="AA55" s="757"/>
      <c r="AB55" s="1435"/>
      <c r="AC55" s="2112"/>
      <c r="AD55" s="1981" t="s">
        <v>63</v>
      </c>
      <c r="AE55" s="2112"/>
      <c r="AF55" s="1981" t="s">
        <v>63</v>
      </c>
      <c r="AG55" s="1437"/>
      <c r="AH55" s="757"/>
      <c r="AI55" s="757"/>
      <c r="AJ55" s="757"/>
      <c r="AK55" s="1285"/>
      <c r="AL55" s="2112"/>
      <c r="AM55" s="1981" t="s">
        <v>63</v>
      </c>
      <c r="AN55" s="2112"/>
      <c r="AO55" s="1981" t="s">
        <v>63</v>
      </c>
      <c r="AP55" s="1378"/>
      <c r="AQ55" s="1337" t="s">
        <v>666</v>
      </c>
      <c r="AR55" s="517">
        <f>STRCHECKDATE(X57:AP57)</f>
      </c>
      <c r="AS55" s="506"/>
      <c r="AT55" s="506" t="str">
        <f>IF(V55="","",V55)</f>
        <v/>
      </c>
      <c r="AU55" s="506"/>
      <c r="AV55" s="506"/>
    </row>
    <row customHeight="1" ht="11.25">
      <c r="A56" s="1296" t="s">
        <v>401</v>
      </c>
      <c r="B56" s="1296" t="s">
        <v>402</v>
      </c>
      <c r="C56" s="1296" t="s">
        <v>403</v>
      </c>
      <c r="D56" s="1296" t="s">
        <v>404</v>
      </c>
      <c r="E56" s="2168"/>
      <c r="F56" s="2168"/>
      <c r="G56" s="2168"/>
      <c r="H56" s="2170"/>
      <c r="I56" s="1955"/>
      <c r="J56" s="1955"/>
      <c r="K56" s="1955"/>
      <c r="L56" s="1971" t="str">
        <f>K55&amp;".1"</f>
        <v>....1.1.1.1</v>
      </c>
      <c r="M56" s="1340"/>
      <c r="Q56" s="2111"/>
      <c r="R56" s="2111"/>
      <c r="S56" s="524">
        <v>1</v>
      </c>
      <c r="T56" s="353"/>
      <c r="U56" s="1366" t="str">
        <f>$L56</f>
        <v>....1.1.1.1</v>
      </c>
      <c r="V56" s="1421"/>
      <c r="W56" s="288"/>
      <c r="X56" s="320"/>
      <c r="Y56" s="757"/>
      <c r="Z56" s="757"/>
      <c r="AA56" s="757"/>
      <c r="AB56" s="1435"/>
      <c r="AC56" s="2152"/>
      <c r="AD56" s="1981"/>
      <c r="AE56" s="2152"/>
      <c r="AF56" s="1981"/>
      <c r="AG56" s="1437"/>
      <c r="AH56" s="757"/>
      <c r="AI56" s="757"/>
      <c r="AJ56" s="757"/>
      <c r="AK56" s="1285"/>
      <c r="AL56" s="2152"/>
      <c r="AM56" s="1981"/>
      <c r="AN56" s="2152"/>
      <c r="AO56" s="1981"/>
      <c r="AP56" s="1378"/>
      <c r="AQ56" s="2137" t="s">
        <v>667</v>
      </c>
      <c r="AR56" s="517">
        <f>STRCHECKDATE(X58:AP58)</f>
      </c>
      <c r="AS56" s="506"/>
      <c r="AT56" s="506" t="str">
        <f>IF(V56="","",V56)</f>
        <v/>
      </c>
      <c r="AU56" s="506"/>
      <c r="AV56" s="506"/>
    </row>
    <row customHeight="1" ht="0">
      <c r="A57" s="1296" t="s">
        <v>401</v>
      </c>
      <c r="B57" s="1296" t="s">
        <v>402</v>
      </c>
      <c r="C57" s="1296" t="s">
        <v>403</v>
      </c>
      <c r="D57" s="1296" t="s">
        <v>404</v>
      </c>
      <c r="E57" s="2168"/>
      <c r="F57" s="2168"/>
      <c r="G57" s="2168"/>
      <c r="H57" s="2170"/>
      <c r="I57" s="1955"/>
      <c r="J57" s="1955"/>
      <c r="K57" s="1955"/>
      <c r="L57" s="1971"/>
      <c r="M57" s="1340"/>
      <c r="Q57" s="2111"/>
      <c r="R57" s="2111"/>
      <c r="S57" s="524"/>
      <c r="T57" s="353"/>
      <c r="U57" s="1372"/>
      <c r="V57" s="288"/>
      <c r="W57" s="288"/>
      <c r="X57" s="320"/>
      <c r="Y57" s="320"/>
      <c r="Z57" s="320"/>
      <c r="AA57" s="320"/>
      <c r="AB57" s="1436" t="str">
        <f>AC55&amp;"-"&amp;AE55</f>
        <v>-</v>
      </c>
      <c r="AC57" s="2152"/>
      <c r="AD57" s="1981"/>
      <c r="AE57" s="2152"/>
      <c r="AF57" s="1981"/>
      <c r="AG57" s="1412"/>
      <c r="AH57" s="320"/>
      <c r="AI57" s="320"/>
      <c r="AJ57" s="320"/>
      <c r="AK57" s="324" t="str">
        <f>AL55&amp;"-"&amp;AN55</f>
        <v>-</v>
      </c>
      <c r="AL57" s="2152"/>
      <c r="AM57" s="1981"/>
      <c r="AN57" s="2152"/>
      <c r="AO57" s="1981"/>
      <c r="AP57" s="1379"/>
      <c r="AQ57" s="2138"/>
      <c r="AS57" s="506"/>
      <c r="AT57" s="506" t="str">
        <f>IF(V57="","",V57)</f>
        <v/>
      </c>
      <c r="AU57" s="506"/>
      <c r="AV57" s="506"/>
    </row>
    <row customHeight="1" ht="11.25">
      <c r="A58" s="1296" t="s">
        <v>401</v>
      </c>
      <c r="B58" s="1296" t="s">
        <v>402</v>
      </c>
      <c r="C58" s="1296" t="s">
        <v>403</v>
      </c>
      <c r="D58" s="1296" t="s">
        <v>404</v>
      </c>
      <c r="E58" s="2168"/>
      <c r="F58" s="2168"/>
      <c r="G58" s="2168"/>
      <c r="H58" s="2170"/>
      <c r="I58" s="1955"/>
      <c r="J58" s="1955"/>
      <c r="K58" s="1971"/>
      <c r="L58" s="1296"/>
      <c r="M58" s="1340"/>
      <c r="Q58" s="2111"/>
      <c r="R58" s="2111"/>
      <c r="S58" s="1361"/>
      <c r="T58" s="352"/>
      <c r="U58" s="1308"/>
      <c r="V58" s="276" t="s">
        <v>668</v>
      </c>
      <c r="W58" s="367"/>
      <c r="X58" s="367"/>
      <c r="Y58" s="367"/>
      <c r="Z58" s="367"/>
      <c r="AA58" s="367"/>
      <c r="AB58" s="367"/>
      <c r="AC58" s="2152"/>
      <c r="AD58" s="1981"/>
      <c r="AE58" s="2152"/>
      <c r="AF58" s="1981"/>
      <c r="AG58" s="367"/>
      <c r="AH58" s="367"/>
      <c r="AI58" s="367"/>
      <c r="AJ58" s="367"/>
      <c r="AK58" s="367"/>
      <c r="AL58" s="2152"/>
      <c r="AM58" s="1981"/>
      <c r="AN58" s="2152"/>
      <c r="AO58" s="1981"/>
      <c r="AP58" s="319"/>
      <c r="AQ58" s="2138"/>
      <c r="AS58" s="506"/>
      <c r="AT58" s="506" t="str">
        <f>IF(V58="","",V58)</f>
        <v>Добавить наименование поставщика</v>
      </c>
      <c r="AU58" s="506"/>
      <c r="AV58" s="506"/>
    </row>
    <row customHeight="1" ht="11.25">
      <c r="A59" s="1296" t="s">
        <v>401</v>
      </c>
      <c r="B59" s="1296" t="s">
        <v>402</v>
      </c>
      <c r="C59" s="1296" t="s">
        <v>403</v>
      </c>
      <c r="D59" s="1296" t="s">
        <v>404</v>
      </c>
      <c r="E59" s="2168"/>
      <c r="F59" s="2168"/>
      <c r="G59" s="2168"/>
      <c r="H59" s="2170"/>
      <c r="I59" s="1955"/>
      <c r="J59" s="1971"/>
      <c r="K59" s="1296"/>
      <c r="L59" s="1296"/>
      <c r="M59" s="1340"/>
      <c r="Q59" s="2111"/>
      <c r="R59" s="2111"/>
      <c r="S59" s="1361"/>
      <c r="T59" s="352"/>
      <c r="U59" s="1308"/>
      <c r="V59" s="275" t="s">
        <v>626</v>
      </c>
      <c r="W59" s="367"/>
      <c r="X59" s="367"/>
      <c r="Y59" s="367"/>
      <c r="Z59" s="367"/>
      <c r="AA59" s="367"/>
      <c r="AB59" s="367"/>
      <c r="AC59" s="1438"/>
      <c r="AD59" s="1438"/>
      <c r="AE59" s="1438"/>
      <c r="AF59" s="1438"/>
      <c r="AG59" s="367"/>
      <c r="AH59" s="367"/>
      <c r="AI59" s="367"/>
      <c r="AJ59" s="367"/>
      <c r="AK59" s="367"/>
      <c r="AL59" s="367"/>
      <c r="AM59" s="367"/>
      <c r="AN59" s="367"/>
      <c r="AO59" s="367"/>
      <c r="AP59" s="319"/>
      <c r="AQ59" s="2139"/>
      <c r="AS59" s="506"/>
      <c r="AT59" s="506" t="str">
        <f>IF(V59="","",V59)</f>
        <v>Добавить вид теплоносителя (параметры теплоносителя)</v>
      </c>
      <c r="AU59" s="506"/>
      <c r="AV59" s="506"/>
    </row>
    <row customHeight="1" ht="11.25">
      <c r="A60" s="1296" t="s">
        <v>401</v>
      </c>
      <c r="B60" s="1296" t="s">
        <v>402</v>
      </c>
      <c r="C60" s="1296" t="s">
        <v>403</v>
      </c>
      <c r="D60" s="1296" t="s">
        <v>404</v>
      </c>
      <c r="E60" s="2168"/>
      <c r="F60" s="2168"/>
      <c r="G60" s="2168"/>
      <c r="H60" s="2170"/>
      <c r="I60" s="1971"/>
      <c r="J60" s="1296"/>
      <c r="K60" s="1296"/>
      <c r="L60" s="1296"/>
      <c r="M60" s="1340"/>
      <c r="Q60" s="2111"/>
      <c r="R60" s="1361"/>
      <c r="S60" s="1361"/>
      <c r="T60" s="352"/>
      <c r="U60" s="1308"/>
      <c r="V60" s="364" t="s">
        <v>627</v>
      </c>
      <c r="W60" s="367"/>
      <c r="X60" s="367"/>
      <c r="Y60" s="367"/>
      <c r="Z60" s="367"/>
      <c r="AA60" s="367"/>
      <c r="AB60" s="367"/>
      <c r="AC60" s="367"/>
      <c r="AD60" s="367"/>
      <c r="AE60" s="367"/>
      <c r="AF60" s="366"/>
      <c r="AG60" s="367"/>
      <c r="AH60" s="367"/>
      <c r="AI60" s="367"/>
      <c r="AJ60" s="367"/>
      <c r="AK60" s="367"/>
      <c r="AL60" s="367"/>
      <c r="AM60" s="367"/>
      <c r="AN60" s="367"/>
      <c r="AO60" s="366"/>
      <c r="AP60" s="367"/>
      <c r="AQ60" s="291"/>
      <c r="AS60" s="506"/>
      <c r="AT60" s="506" t="str">
        <f>IF(V60="","",V60)</f>
        <v>Добавить группу потребителей</v>
      </c>
      <c r="AU60" s="506"/>
      <c r="AV60" s="506"/>
    </row>
    <row customHeight="1" ht="0">
      <c r="A61" s="1296" t="s">
        <v>401</v>
      </c>
      <c r="B61" s="1296" t="s">
        <v>402</v>
      </c>
      <c r="C61" s="1296" t="s">
        <v>403</v>
      </c>
      <c r="D61" s="1296" t="s">
        <v>404</v>
      </c>
      <c r="E61" s="2168"/>
      <c r="F61" s="2168"/>
      <c r="G61" s="2168"/>
      <c r="H61" s="2169"/>
      <c r="I61" s="1296"/>
      <c r="J61" s="1296"/>
      <c r="K61" s="1296"/>
      <c r="L61" s="1296"/>
      <c r="M61" s="1340"/>
      <c r="N61" s="694"/>
      <c r="O61" s="694"/>
      <c r="P61" s="515"/>
      <c r="Q61" s="356"/>
      <c r="R61" s="376"/>
      <c r="S61" s="351"/>
      <c r="T61" s="356"/>
      <c r="U61" s="1416"/>
      <c r="V61" s="1417"/>
      <c r="W61" s="1418"/>
      <c r="X61" s="1418"/>
      <c r="Y61" s="1418"/>
      <c r="Z61" s="1418"/>
      <c r="AA61" s="1418"/>
      <c r="AB61" s="1418"/>
      <c r="AC61" s="1418"/>
      <c r="AD61" s="1418"/>
      <c r="AE61" s="1418"/>
      <c r="AF61" s="1418"/>
      <c r="AG61" s="1418"/>
      <c r="AH61" s="1418"/>
      <c r="AI61" s="1418"/>
      <c r="AJ61" s="1418"/>
      <c r="AK61" s="1418"/>
      <c r="AL61" s="1418"/>
      <c r="AM61" s="1418"/>
      <c r="AN61" s="1418"/>
      <c r="AO61" s="1418"/>
      <c r="AP61" s="1418"/>
      <c r="AQ61" s="1419"/>
      <c r="AS61" s="506"/>
      <c r="AT61" s="506" t="str">
        <f>IF(V61="","",V61)</f>
        <v/>
      </c>
      <c r="AU61" s="506"/>
      <c r="AV61" s="506"/>
    </row>
    <row s="3314" customFormat="1" customHeight="1" ht="0">
      <c r="A62" s="1405" t="s">
        <v>401</v>
      </c>
      <c r="B62" s="1405" t="s">
        <v>402</v>
      </c>
      <c r="C62" s="1405" t="s">
        <v>403</v>
      </c>
      <c r="D62" s="1404"/>
      <c r="E62" s="2168"/>
      <c r="F62" s="2168"/>
      <c r="G62" s="2167"/>
      <c r="H62" s="1404"/>
      <c r="I62" s="1404"/>
      <c r="J62" s="1404"/>
      <c r="K62" s="1404"/>
      <c r="L62" s="1404"/>
      <c r="M62" s="1407"/>
      <c r="N62" s="1408"/>
      <c r="O62" s="1408"/>
      <c r="P62" s="347"/>
      <c r="Q62" s="1346"/>
      <c r="R62" s="1347"/>
      <c r="S62" s="1346"/>
      <c r="T62" s="1346"/>
      <c r="U62" s="1352"/>
      <c r="V62" s="1355" t="s">
        <v>254</v>
      </c>
      <c r="W62" s="1354"/>
      <c r="X62" s="1354"/>
      <c r="Y62" s="1354"/>
      <c r="Z62" s="1354"/>
      <c r="AA62" s="1354"/>
      <c r="AB62" s="1354"/>
      <c r="AC62" s="1354"/>
      <c r="AD62" s="1354"/>
      <c r="AE62" s="1354"/>
      <c r="AF62" s="1354"/>
      <c r="AG62" s="1354"/>
      <c r="AH62" s="1354"/>
      <c r="AI62" s="1354"/>
      <c r="AJ62" s="1354"/>
      <c r="AK62" s="1354"/>
      <c r="AL62" s="1354"/>
      <c r="AM62" s="1354"/>
      <c r="AN62" s="1354"/>
      <c r="AO62" s="1354"/>
      <c r="AP62" s="1354"/>
      <c r="AQ62" s="1354"/>
      <c r="AS62" s="795"/>
      <c r="AT62" s="795" t="str">
        <f>IF(V62="","",V62)</f>
        <v>Добавить источник для дифференциации</v>
      </c>
      <c r="AU62" s="795"/>
      <c r="AV62" s="795"/>
    </row>
    <row s="3314" customFormat="1" customHeight="1" ht="0">
      <c r="A63" s="1405" t="s">
        <v>401</v>
      </c>
      <c r="B63" s="1405" t="s">
        <v>402</v>
      </c>
      <c r="C63" s="1404"/>
      <c r="D63" s="1404"/>
      <c r="E63" s="2168"/>
      <c r="F63" s="2167"/>
      <c r="G63" s="1404"/>
      <c r="H63" s="1404"/>
      <c r="I63" s="1404"/>
      <c r="J63" s="1404"/>
      <c r="K63" s="1404"/>
      <c r="L63" s="1404"/>
      <c r="M63" s="1407"/>
      <c r="N63" s="1409"/>
      <c r="O63" s="1409"/>
      <c r="P63" s="347"/>
      <c r="Q63" s="1346"/>
      <c r="R63" s="1347"/>
      <c r="S63" s="1346"/>
      <c r="T63" s="1346"/>
      <c r="U63" s="1352"/>
      <c r="V63" s="1355" t="s">
        <v>255</v>
      </c>
      <c r="W63" s="1354"/>
      <c r="X63" s="1354"/>
      <c r="Y63" s="1354"/>
      <c r="Z63" s="1354"/>
      <c r="AA63" s="1354"/>
      <c r="AB63" s="1354"/>
      <c r="AC63" s="1354"/>
      <c r="AD63" s="1354"/>
      <c r="AE63" s="1354"/>
      <c r="AF63" s="1354"/>
      <c r="AG63" s="1354"/>
      <c r="AH63" s="1354"/>
      <c r="AI63" s="1354"/>
      <c r="AJ63" s="1354"/>
      <c r="AK63" s="1354"/>
      <c r="AL63" s="1354"/>
      <c r="AM63" s="1354"/>
      <c r="AN63" s="1354"/>
      <c r="AO63" s="1354"/>
      <c r="AP63" s="1354"/>
      <c r="AQ63" s="1354"/>
      <c r="AS63" s="795"/>
      <c r="AT63" s="795" t="str">
        <f>IF(V63="","",V63)</f>
        <v>Добавить централизованную систему для дифференциации</v>
      </c>
      <c r="AU63" s="795"/>
      <c r="AV63" s="795"/>
    </row>
    <row s="2612" customFormat="1" customHeight="1" ht="0">
      <c r="A64" s="1405" t="s">
        <v>401</v>
      </c>
      <c r="B64" s="1405"/>
      <c r="C64" s="1405"/>
      <c r="D64" s="1405"/>
      <c r="E64" s="2167"/>
      <c r="F64" s="1405"/>
      <c r="G64" s="1405"/>
      <c r="H64" s="1405"/>
      <c r="I64" s="1405"/>
      <c r="J64" s="1405"/>
      <c r="K64" s="1405"/>
      <c r="L64" s="1405"/>
      <c r="M64" s="1411"/>
      <c r="N64" s="1409"/>
      <c r="O64" s="1409"/>
      <c r="P64" s="347"/>
      <c r="Q64" s="385"/>
      <c r="R64" s="1374"/>
      <c r="S64" s="385"/>
      <c r="T64" s="385"/>
      <c r="U64" s="1352"/>
      <c r="V64" s="1355" t="s">
        <v>329</v>
      </c>
      <c r="W64" s="1354"/>
      <c r="X64" s="1354"/>
      <c r="Y64" s="1354"/>
      <c r="Z64" s="1354"/>
      <c r="AA64" s="1354"/>
      <c r="AB64" s="1354"/>
      <c r="AC64" s="1354"/>
      <c r="AD64" s="1354"/>
      <c r="AE64" s="1354"/>
      <c r="AF64" s="1354"/>
      <c r="AG64" s="1354"/>
      <c r="AH64" s="1354"/>
      <c r="AI64" s="1354"/>
      <c r="AJ64" s="1354"/>
      <c r="AK64" s="1354"/>
      <c r="AL64" s="1354"/>
      <c r="AM64" s="1354"/>
      <c r="AN64" s="1354"/>
      <c r="AO64" s="1354"/>
      <c r="AP64" s="1354"/>
      <c r="AQ64" s="1354"/>
      <c r="AS64" s="506"/>
      <c r="AT64" s="506" t="str">
        <f>IF(V64="","",V64)</f>
        <v>Добавить территорию для дифференциации</v>
      </c>
      <c r="AU64" s="506"/>
      <c r="AV64" s="506"/>
    </row>
    <row s="3314" customFormat="1" customHeight="1" ht="5.25">
      <c r="A65" s="1404"/>
      <c r="B65" s="1404"/>
      <c r="C65" s="1404"/>
      <c r="D65" s="1404"/>
      <c r="E65" s="1405"/>
      <c r="F65" s="1404"/>
      <c r="G65" s="1404"/>
      <c r="H65" s="1404"/>
      <c r="I65" s="1404"/>
      <c r="J65" s="1404"/>
      <c r="K65" s="1404"/>
      <c r="L65" s="1404"/>
      <c r="M65" s="1407"/>
      <c r="N65" s="1409"/>
      <c r="O65" s="1409"/>
      <c r="P65" s="347"/>
      <c r="Q65" s="1346"/>
      <c r="R65" s="1347"/>
      <c r="S65" s="1346"/>
      <c r="T65" s="1346"/>
      <c r="U65" s="1352"/>
      <c r="V65" s="1355" t="s">
        <v>398</v>
      </c>
      <c r="W65" s="1354"/>
      <c r="X65" s="1354"/>
      <c r="Y65" s="1354"/>
      <c r="Z65" s="1354"/>
      <c r="AA65" s="1354"/>
      <c r="AB65" s="1354"/>
      <c r="AC65" s="1354"/>
      <c r="AD65" s="1354"/>
      <c r="AE65" s="1354"/>
      <c r="AF65" s="1354"/>
      <c r="AG65" s="1354"/>
      <c r="AH65" s="1354"/>
      <c r="AI65" s="1354"/>
      <c r="AJ65" s="1354"/>
      <c r="AK65" s="1354"/>
      <c r="AL65" s="1354"/>
      <c r="AM65" s="1354"/>
      <c r="AN65" s="1354"/>
      <c r="AO65" s="1354"/>
      <c r="AP65" s="1354"/>
      <c r="AQ65" s="1354"/>
      <c r="AS65" s="795"/>
      <c r="AT65" s="795" t="str">
        <f>IF(V65="","",V65)</f>
        <v>Добавить наименование тарифа</v>
      </c>
      <c r="AU65" s="795"/>
      <c r="AV65" s="795"/>
    </row>
    <row customHeight="1" ht="11.25">
      <c r="N66" s="1163"/>
      <c r="O66" s="1163"/>
      <c r="P66" s="515"/>
      <c r="Q66" s="1163"/>
      <c r="R66" s="1163"/>
      <c r="S66" s="1163"/>
      <c r="T66" s="1163"/>
      <c r="U66" s="1163"/>
      <c r="AR66" s="1163"/>
      <c r="AS66" s="1163"/>
      <c r="AT66" s="1163"/>
      <c r="AU66" s="1163"/>
      <c r="AV66" s="1163"/>
    </row>
    <row customHeight="1" ht="33.75">
      <c r="P67" s="515"/>
      <c r="U67" s="1273"/>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row>
    <row customHeight="1" ht="19.5">
      <c r="P68" s="515"/>
      <c r="V68" s="2106"/>
      <c r="W68" s="2106"/>
      <c r="X68" s="2106"/>
      <c r="Y68" s="2106"/>
      <c r="Z68" s="2106"/>
      <c r="AA68" s="2106"/>
      <c r="AB68" s="2106"/>
      <c r="AC68" s="2106"/>
      <c r="AD68" s="2106"/>
      <c r="AE68" s="2106"/>
      <c r="AF68" s="2106"/>
      <c r="AG68" s="2106"/>
      <c r="AH68" s="2106"/>
      <c r="AI68" s="2106"/>
      <c r="AJ68" s="2106"/>
      <c r="AK68" s="2106"/>
      <c r="AL68" s="2106"/>
      <c r="AM68" s="2106"/>
      <c r="AN68" s="2106"/>
      <c r="AO68" s="2106"/>
      <c r="AP68" s="2106"/>
      <c r="AQ68" s="2106"/>
    </row>
    <row customHeight="1" ht="14.25">
      <c r="P69" s="515"/>
    </row>
    <row customHeight="1" ht="27">
      <c r="P70" s="515"/>
      <c r="V70" s="2106"/>
      <c r="W70" s="2106"/>
      <c r="X70" s="2106"/>
      <c r="Y70" s="2106"/>
      <c r="Z70" s="2106"/>
      <c r="AA70" s="2106"/>
      <c r="AB70" s="2106"/>
      <c r="AC70" s="2106"/>
      <c r="AD70" s="2106"/>
      <c r="AE70" s="2106"/>
      <c r="AF70" s="2106"/>
      <c r="AG70" s="2106"/>
      <c r="AH70" s="2106"/>
      <c r="AI70" s="2106"/>
      <c r="AJ70" s="2106"/>
      <c r="AK70" s="2106"/>
      <c r="AL70" s="2106"/>
      <c r="AM70" s="2106"/>
      <c r="AN70" s="2106"/>
      <c r="AO70" s="2106"/>
      <c r="AP70" s="2106"/>
      <c r="AQ70" s="2106"/>
    </row>
    <row customHeight="1" ht="18">
      <c r="P71" s="515"/>
      <c r="V71" s="2106"/>
      <c r="W71" s="2106"/>
      <c r="X71" s="2106"/>
      <c r="Y71" s="2106"/>
      <c r="Z71" s="2106"/>
      <c r="AA71" s="2106"/>
      <c r="AB71" s="2106"/>
      <c r="AC71" s="2106"/>
      <c r="AD71" s="2106"/>
      <c r="AE71" s="2106"/>
      <c r="AF71" s="2106"/>
      <c r="AG71" s="2106"/>
      <c r="AH71" s="2106"/>
      <c r="AI71" s="2106"/>
      <c r="AJ71" s="2106"/>
      <c r="AK71" s="2106"/>
      <c r="AL71" s="2106"/>
      <c r="AM71" s="2106"/>
      <c r="AN71" s="2106"/>
      <c r="AO71" s="2106"/>
      <c r="AP71" s="2106"/>
      <c r="AQ71" s="2106"/>
    </row>
  </sheetData>
  <sheetProtection formatColumns="0" formatRows="0" autoFilter="0" sort="0" insertRows="0" insertColumns="1" deleteRows="0" deleteColumns="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B63222-90B7-D0BA-130C-B63AD82C9CEE}" mc:Ignorable="x14ac xr xr2 xr3">
  <sheetPr>
    <tabColor theme="6" tint="0.4"/>
  </sheetPr>
  <dimension ref="A1:AZ69"/>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2.00390625" hidden="1" customWidth="1"/>
    <col min="10" max="10" style="2683" width="9.8515625" hidden="1" customWidth="1"/>
    <col min="11" max="11" style="2683" width="11.421875" hidden="1" customWidth="1"/>
    <col min="12" max="12" style="3333" width="19.140625" hidden="1" customWidth="1"/>
    <col min="13" max="14" style="3334" width="12.28125" hidden="1" customWidth="1"/>
    <col min="15" max="15" style="3334" width="23.421875" hidden="1" customWidth="1"/>
    <col min="16" max="16" style="3334" width="3.7109375" hidden="1" customWidth="1"/>
    <col min="17" max="17" style="3336" width="3.7109375" hidden="1" customWidth="1"/>
    <col min="18" max="18" style="3411" width="3.7109375" customWidth="1"/>
    <col min="19" max="19" style="3412" width="12.7109375" customWidth="1"/>
    <col min="20" max="20" style="2984" width="32.00390625" customWidth="1"/>
    <col min="21" max="21" style="2984" width="0.140625" customWidth="1"/>
    <col min="22" max="23" style="2984" width="21.7109375" hidden="1" customWidth="1"/>
    <col min="24" max="24" style="2984" width="11.7109375" hidden="1" customWidth="1"/>
    <col min="25" max="25" style="2984" width="3.7109375" hidden="1" customWidth="1"/>
    <col min="26" max="26" style="2984" width="11.7109375" hidden="1" customWidth="1"/>
    <col min="27" max="27" style="2984" width="8.57421875" hidden="1" customWidth="1"/>
    <col min="28" max="28" style="2984" width="5.421875" customWidth="1"/>
    <col min="29" max="30" style="2984" width="3.7109375" customWidth="1"/>
    <col min="31" max="31" style="2984" width="24.7109375" customWidth="1"/>
    <col min="32" max="34" style="2984" width="3.7109375" customWidth="1"/>
    <col min="35" max="35" style="2984" width="24.7109375" customWidth="1"/>
    <col min="36" max="38" style="2984" width="3.7109375" customWidth="1"/>
    <col min="39" max="39" style="2984" width="18.8515625" customWidth="1"/>
    <col min="40" max="41" style="2984" width="21.7109375" customWidth="1"/>
    <col min="42" max="42" style="2984" width="11.7109375" customWidth="1"/>
    <col min="43" max="43" style="2984" width="3.7109375" customWidth="1"/>
    <col min="44" max="44" style="2984" width="11.7109375" customWidth="1"/>
    <col min="45" max="45" style="2984" width="8.57421875" customWidth="1"/>
    <col min="46" max="46" style="2984" width="4.7109375" customWidth="1"/>
    <col min="47" max="47" style="2984" width="115.7109375" customWidth="1"/>
    <col min="48" max="49" style="2612" width="10.57421875"/>
    <col min="50" max="50" style="2612" width="11.140625" customWidth="1"/>
    <col min="51" max="52" style="2612" width="10.57421875"/>
  </cols>
  <sheetData>
    <row customHeight="1" ht="14.25" hidden="1">
      <c r="W1" s="323"/>
      <c r="X1" s="323"/>
      <c r="AO1" s="323"/>
      <c r="AP1" s="323"/>
    </row>
    <row customHeight="1" ht="21" hidden="1">
      <c r="A2" s="1393"/>
      <c r="B2" s="1393"/>
      <c r="C2" s="1393"/>
      <c r="D2" s="1393"/>
      <c r="E2" s="2107">
        <v>1</v>
      </c>
      <c r="F2" s="1393"/>
      <c r="G2" s="1393"/>
      <c r="H2" s="1393"/>
      <c r="I2" s="1393"/>
      <c r="J2" s="1393"/>
      <c r="K2" s="1393"/>
      <c r="L2" s="1394"/>
      <c r="M2" s="1395"/>
      <c r="N2" s="1395"/>
      <c r="O2" s="1395"/>
      <c r="P2" s="1439"/>
      <c r="Q2" s="879"/>
      <c r="R2" s="351"/>
      <c r="S2" s="1366">
        <f>INDEX(PT_DIFFERENTIATION_NUM_NTAR,MATCH(A2,PT_DIFFERENTIATION_NTAR_ID,0))</f>
      </c>
      <c r="T2" s="286" t="s">
        <v>204</v>
      </c>
      <c r="U2" s="288"/>
      <c r="V2" s="2102"/>
      <c r="W2" s="2102"/>
      <c r="X2" s="2102"/>
      <c r="Y2" s="2102"/>
      <c r="Z2" s="2102"/>
      <c r="AA2" s="2103"/>
      <c r="AB2" s="2101">
        <f>INDEX(PT_DIFFERENTIATION_NTAR,MATCH(A2,PT_DIFFERENTIATION_NTAR_ID,0))</f>
      </c>
      <c r="AC2" s="2102"/>
      <c r="AD2" s="2102"/>
      <c r="AE2" s="2102"/>
      <c r="AF2" s="2102"/>
      <c r="AG2" s="2102"/>
      <c r="AH2" s="2102"/>
      <c r="AI2" s="2102"/>
      <c r="AJ2" s="2102"/>
      <c r="AK2" s="2102"/>
      <c r="AL2" s="2102"/>
      <c r="AM2" s="2102"/>
      <c r="AN2" s="2102"/>
      <c r="AO2" s="2102"/>
      <c r="AP2" s="2102"/>
      <c r="AQ2" s="2102"/>
      <c r="AR2" s="2102"/>
      <c r="AS2" s="2102"/>
      <c r="AT2" s="2103"/>
      <c r="AU2" s="1286" t="s">
        <v>611</v>
      </c>
      <c r="AW2" s="506"/>
      <c r="AX2" s="506" t="str">
        <f>IF(T2="","",T2)</f>
        <v>Наименование тарифа</v>
      </c>
      <c r="AY2" s="506"/>
      <c r="AZ2" s="506"/>
    </row>
    <row customHeight="1" ht="21" hidden="1">
      <c r="A3" s="1393"/>
      <c r="B3" s="1393"/>
      <c r="C3" s="1393"/>
      <c r="D3" s="1393"/>
      <c r="E3" s="2108"/>
      <c r="F3" s="2107">
        <v>1</v>
      </c>
      <c r="G3" s="1393"/>
      <c r="H3" s="1393"/>
      <c r="I3" s="1393"/>
      <c r="J3" s="1393"/>
      <c r="K3" s="1393"/>
      <c r="L3" s="1394"/>
      <c r="M3" s="1395"/>
      <c r="N3" s="1395"/>
      <c r="O3" s="1395"/>
      <c r="P3" s="1440"/>
      <c r="Q3" s="1441"/>
      <c r="R3" s="349"/>
      <c r="S3" s="1366">
        <f>INDEX(PT_DIFFERENTIATION_NUM_TER,MATCH(B3,PT_DIFFERENTIATION_TER_ID,0))</f>
      </c>
      <c r="T3" s="298" t="s">
        <v>612</v>
      </c>
      <c r="U3" s="288"/>
      <c r="V3" s="2102"/>
      <c r="W3" s="2102"/>
      <c r="X3" s="2102"/>
      <c r="Y3" s="2102"/>
      <c r="Z3" s="2102"/>
      <c r="AA3" s="2103"/>
      <c r="AB3" s="2101">
        <f>INDEX(PT_DIFFERENTIATION_TER,MATCH(B3,PT_DIFFERENTIATION_TER_ID,0))</f>
      </c>
      <c r="AC3" s="2102"/>
      <c r="AD3" s="2102"/>
      <c r="AE3" s="2102"/>
      <c r="AF3" s="2102"/>
      <c r="AG3" s="2102"/>
      <c r="AH3" s="2102"/>
      <c r="AI3" s="2102"/>
      <c r="AJ3" s="2102"/>
      <c r="AK3" s="2102"/>
      <c r="AL3" s="2102"/>
      <c r="AM3" s="2102"/>
      <c r="AN3" s="2102"/>
      <c r="AO3" s="2102"/>
      <c r="AP3" s="2102"/>
      <c r="AQ3" s="2102"/>
      <c r="AR3" s="2102"/>
      <c r="AS3" s="2102"/>
      <c r="AT3" s="2103"/>
      <c r="AU3" s="1286" t="s">
        <v>613</v>
      </c>
      <c r="AW3" s="506"/>
      <c r="AX3" s="506" t="str">
        <f>IF(T3="","",T3)</f>
        <v>Территория действия тарифа</v>
      </c>
      <c r="AY3" s="506"/>
      <c r="AZ3" s="506"/>
    </row>
    <row customHeight="1" ht="22.5" hidden="1">
      <c r="A4" s="1393"/>
      <c r="B4" s="1393"/>
      <c r="C4" s="1393"/>
      <c r="D4" s="1393"/>
      <c r="E4" s="2108"/>
      <c r="F4" s="2108"/>
      <c r="G4" s="2107">
        <v>1</v>
      </c>
      <c r="H4" s="1393"/>
      <c r="I4" s="1393"/>
      <c r="J4" s="1393"/>
      <c r="K4" s="1393"/>
      <c r="L4" s="1394"/>
      <c r="M4" s="1395"/>
      <c r="N4" s="1395"/>
      <c r="O4" s="1395"/>
      <c r="P4" s="1442"/>
      <c r="Q4" s="1441"/>
      <c r="R4" s="349"/>
      <c r="S4" s="1366">
        <f>INDEX(PT_DIFFERENTIATION_NUM_CS,MATCH(C4,PT_DIFFERENTIATION_CS_ID,0))</f>
      </c>
      <c r="T4" s="299" t="s">
        <v>614</v>
      </c>
      <c r="U4" s="288"/>
      <c r="V4" s="2102"/>
      <c r="W4" s="2102"/>
      <c r="X4" s="2102"/>
      <c r="Y4" s="2102"/>
      <c r="Z4" s="2102"/>
      <c r="AA4" s="2103"/>
      <c r="AB4" s="2101">
        <f>INDEX(PT_DIFFERENTIATION_CS,MATCH(C4,PT_DIFFERENTIATION_CS_ID,0))</f>
      </c>
      <c r="AC4" s="2102"/>
      <c r="AD4" s="2102"/>
      <c r="AE4" s="2102"/>
      <c r="AF4" s="2102"/>
      <c r="AG4" s="2102"/>
      <c r="AH4" s="2102"/>
      <c r="AI4" s="2102"/>
      <c r="AJ4" s="2102"/>
      <c r="AK4" s="2102"/>
      <c r="AL4" s="2102"/>
      <c r="AM4" s="2102"/>
      <c r="AN4" s="2102"/>
      <c r="AO4" s="2102"/>
      <c r="AP4" s="2102"/>
      <c r="AQ4" s="2102"/>
      <c r="AR4" s="2102"/>
      <c r="AS4" s="2102"/>
      <c r="AT4" s="2103"/>
      <c r="AU4" s="1286" t="s">
        <v>615</v>
      </c>
      <c r="AW4" s="506"/>
      <c r="AX4" s="506" t="str">
        <f>IF(T4="","",T4)</f>
        <v>Наименование системы теплоснабжения </v>
      </c>
      <c r="AY4" s="506"/>
      <c r="AZ4" s="506"/>
    </row>
    <row customHeight="1" ht="21" hidden="1">
      <c r="A5" s="1393"/>
      <c r="B5" s="1393"/>
      <c r="C5" s="1393"/>
      <c r="D5" s="1393"/>
      <c r="E5" s="2108"/>
      <c r="F5" s="2108"/>
      <c r="G5" s="2108"/>
      <c r="H5" s="2107">
        <v>1</v>
      </c>
      <c r="I5" s="1393"/>
      <c r="J5" s="1393"/>
      <c r="K5" s="1393"/>
      <c r="L5" s="1394"/>
      <c r="M5" s="1395"/>
      <c r="N5" s="1395"/>
      <c r="O5" s="1395"/>
      <c r="P5" s="1442"/>
      <c r="Q5" s="1441"/>
      <c r="R5" s="349"/>
      <c r="S5" s="1366">
        <f>INDEX(PT_DIFFERENTIATION_NUM_IST_TE,MATCH(D5,PT_DIFFERENTIATION_IST_TE_ID,0))</f>
      </c>
      <c r="T5" s="300" t="s">
        <v>616</v>
      </c>
      <c r="U5" s="288"/>
      <c r="V5" s="2102"/>
      <c r="W5" s="2102"/>
      <c r="X5" s="2102"/>
      <c r="Y5" s="2102"/>
      <c r="Z5" s="2102"/>
      <c r="AA5" s="2103"/>
      <c r="AB5" s="2101">
        <f>INDEX(PT_DIFFERENTIATION_IST_TE,MATCH(D5,PT_DIFFERENTIATION_IST_TE_ID,0))</f>
      </c>
      <c r="AC5" s="2102"/>
      <c r="AD5" s="2102"/>
      <c r="AE5" s="2102"/>
      <c r="AF5" s="2102"/>
      <c r="AG5" s="2102"/>
      <c r="AH5" s="2102"/>
      <c r="AI5" s="2102"/>
      <c r="AJ5" s="2102"/>
      <c r="AK5" s="2102"/>
      <c r="AL5" s="2102"/>
      <c r="AM5" s="2102"/>
      <c r="AN5" s="2102"/>
      <c r="AO5" s="2102"/>
      <c r="AP5" s="2102"/>
      <c r="AQ5" s="2102"/>
      <c r="AR5" s="2102"/>
      <c r="AS5" s="2102"/>
      <c r="AT5" s="2103"/>
      <c r="AU5" s="1286" t="s">
        <v>617</v>
      </c>
      <c r="AW5" s="506"/>
      <c r="AX5" s="506" t="str">
        <f>IF(T5="","",T5)</f>
        <v>Источник тепловой энергии  </v>
      </c>
      <c r="AY5" s="506"/>
      <c r="AZ5" s="506"/>
    </row>
    <row s="2612" customFormat="1" customHeight="1" ht="14.25" hidden="1">
      <c r="A6" s="1373"/>
      <c r="B6" s="1373"/>
      <c r="C6" s="1373"/>
      <c r="D6" s="1373"/>
      <c r="E6" s="2108"/>
      <c r="F6" s="2108"/>
      <c r="G6" s="2108"/>
      <c r="H6" s="2108"/>
      <c r="I6" s="2109">
        <f>S5&amp;".1"</f>
      </c>
      <c r="J6" s="1373"/>
      <c r="K6" s="1373"/>
      <c r="L6" s="1376" t="s">
        <v>618</v>
      </c>
      <c r="M6" s="516"/>
      <c r="N6" s="516"/>
      <c r="O6" s="516"/>
      <c r="P6" s="2111">
        <v>1</v>
      </c>
      <c r="Q6" s="1361"/>
      <c r="R6" s="352"/>
      <c r="S6" s="1049"/>
      <c r="T6" s="1413"/>
      <c r="U6" s="1414"/>
      <c r="V6" s="2148"/>
      <c r="W6" s="2148"/>
      <c r="X6" s="2148"/>
      <c r="Y6" s="2148"/>
      <c r="Z6" s="2148"/>
      <c r="AA6" s="2149"/>
      <c r="AB6" s="2147"/>
      <c r="AC6" s="2148"/>
      <c r="AD6" s="2148"/>
      <c r="AE6" s="2148"/>
      <c r="AF6" s="2148"/>
      <c r="AG6" s="2148"/>
      <c r="AH6" s="2148"/>
      <c r="AI6" s="2148"/>
      <c r="AJ6" s="2148"/>
      <c r="AK6" s="2148"/>
      <c r="AL6" s="2148"/>
      <c r="AM6" s="2148"/>
      <c r="AN6" s="2148"/>
      <c r="AO6" s="2148"/>
      <c r="AP6" s="2148"/>
      <c r="AQ6" s="2148"/>
      <c r="AR6" s="2148"/>
      <c r="AS6" s="2148"/>
      <c r="AT6" s="2149"/>
      <c r="AU6" s="1415"/>
      <c r="AW6" s="506"/>
      <c r="AX6" s="506" t="str">
        <f>IF(T6="","",T6)</f>
        <v/>
      </c>
      <c r="AY6" s="506"/>
      <c r="AZ6" s="506"/>
    </row>
    <row s="2612" customFormat="1" customHeight="1" ht="14.25" hidden="1">
      <c r="A7" s="1373"/>
      <c r="B7" s="1373"/>
      <c r="C7" s="1373"/>
      <c r="D7" s="1373"/>
      <c r="E7" s="2108"/>
      <c r="F7" s="2108"/>
      <c r="G7" s="2108"/>
      <c r="H7" s="2108"/>
      <c r="I7" s="2110"/>
      <c r="J7" s="2109">
        <f>S5&amp;".1"</f>
      </c>
      <c r="K7" s="1373"/>
      <c r="L7" s="1376"/>
      <c r="M7" s="516"/>
      <c r="N7" s="516"/>
      <c r="O7" s="516"/>
      <c r="P7" s="2111"/>
      <c r="Q7" s="2111">
        <v>1</v>
      </c>
      <c r="R7" s="353"/>
      <c r="S7" s="1049"/>
      <c r="T7" s="1429"/>
      <c r="U7" s="1414"/>
      <c r="V7" s="2148"/>
      <c r="W7" s="2148"/>
      <c r="X7" s="2148"/>
      <c r="Y7" s="2148"/>
      <c r="Z7" s="2148"/>
      <c r="AA7" s="2149"/>
      <c r="AB7" s="2147"/>
      <c r="AC7" s="2148"/>
      <c r="AD7" s="2148"/>
      <c r="AE7" s="2148"/>
      <c r="AF7" s="2148"/>
      <c r="AG7" s="2148"/>
      <c r="AH7" s="2148"/>
      <c r="AI7" s="2148"/>
      <c r="AJ7" s="2148"/>
      <c r="AK7" s="2148"/>
      <c r="AL7" s="2148"/>
      <c r="AM7" s="2148"/>
      <c r="AN7" s="2148"/>
      <c r="AO7" s="2148"/>
      <c r="AP7" s="2148"/>
      <c r="AQ7" s="2148"/>
      <c r="AR7" s="2148"/>
      <c r="AS7" s="2148"/>
      <c r="AT7" s="2149"/>
      <c r="AU7" s="1415"/>
      <c r="AW7" s="506"/>
      <c r="AX7" s="506" t="str">
        <f>IF(T7="","",T7)</f>
        <v/>
      </c>
      <c r="AY7" s="506"/>
      <c r="AZ7" s="506"/>
    </row>
    <row customHeight="1" ht="21" hidden="1">
      <c r="A8" s="1393"/>
      <c r="B8" s="1393"/>
      <c r="C8" s="1393"/>
      <c r="D8" s="1393"/>
      <c r="E8" s="2108"/>
      <c r="F8" s="2108"/>
      <c r="G8" s="2108"/>
      <c r="H8" s="2108"/>
      <c r="I8" s="2110"/>
      <c r="J8" s="2110"/>
      <c r="K8" s="2109">
        <f>S5&amp;".1"</f>
      </c>
      <c r="L8" s="1394"/>
      <c r="P8" s="2111"/>
      <c r="Q8" s="2111"/>
      <c r="R8" s="2187">
        <v>1</v>
      </c>
      <c r="S8" s="2184">
        <f>$K8</f>
      </c>
      <c r="T8" s="2181"/>
      <c r="U8" s="288"/>
      <c r="V8" s="757"/>
      <c r="W8" s="1285"/>
      <c r="X8" s="2112"/>
      <c r="Y8" s="1981" t="s">
        <v>63</v>
      </c>
      <c r="Z8" s="2112"/>
      <c r="AA8" s="1981" t="s">
        <v>63</v>
      </c>
      <c r="AB8" s="1981" t="s">
        <v>58</v>
      </c>
      <c r="AC8" s="2180"/>
      <c r="AD8" s="2057">
        <v>1</v>
      </c>
      <c r="AE8" s="2193"/>
      <c r="AF8" s="1981" t="s">
        <v>58</v>
      </c>
      <c r="AG8" s="2180"/>
      <c r="AH8" s="2057">
        <v>1</v>
      </c>
      <c r="AI8" s="2193"/>
      <c r="AJ8" s="1981" t="s">
        <v>58</v>
      </c>
      <c r="AK8" s="301"/>
      <c r="AL8" s="1367">
        <v>1</v>
      </c>
      <c r="AM8" s="1428"/>
      <c r="AN8" s="757"/>
      <c r="AO8" s="1285"/>
      <c r="AP8" s="1774"/>
      <c r="AQ8" s="1489" t="s">
        <v>63</v>
      </c>
      <c r="AR8" s="1774"/>
      <c r="AS8" s="1489" t="s">
        <v>63</v>
      </c>
      <c r="AT8" s="1378"/>
      <c r="AU8" s="2137" t="s">
        <v>678</v>
      </c>
      <c r="AV8" s="517">
        <f>STRCHECKDATE(V11:AT11)</f>
      </c>
      <c r="AW8" s="506"/>
      <c r="AX8" s="506" t="str">
        <f>IF(T8="","",T8)</f>
        <v/>
      </c>
      <c r="AY8" s="506"/>
      <c r="AZ8" s="506"/>
    </row>
    <row customHeight="1" ht="11.25" hidden="1">
      <c r="A9" s="1393"/>
      <c r="B9" s="1393"/>
      <c r="C9" s="1393"/>
      <c r="D9" s="1393"/>
      <c r="E9" s="2108"/>
      <c r="F9" s="2108"/>
      <c r="G9" s="2108"/>
      <c r="H9" s="2108"/>
      <c r="I9" s="2110"/>
      <c r="J9" s="2110"/>
      <c r="K9" s="2109"/>
      <c r="L9" s="1394"/>
      <c r="P9" s="2111"/>
      <c r="Q9" s="2111"/>
      <c r="R9" s="2187"/>
      <c r="S9" s="2185"/>
      <c r="T9" s="2182"/>
      <c r="U9" s="288"/>
      <c r="V9" s="1423"/>
      <c r="W9" s="1427"/>
      <c r="X9" s="2112"/>
      <c r="Y9" s="1981"/>
      <c r="Z9" s="2112"/>
      <c r="AA9" s="1981"/>
      <c r="AB9" s="1981"/>
      <c r="AC9" s="2180"/>
      <c r="AD9" s="2057"/>
      <c r="AE9" s="2193"/>
      <c r="AF9" s="1981"/>
      <c r="AG9" s="2180"/>
      <c r="AH9" s="2057"/>
      <c r="AI9" s="2193"/>
      <c r="AJ9" s="1981"/>
      <c r="AK9" s="308"/>
      <c r="AL9" s="422"/>
      <c r="AM9" s="421" t="s">
        <v>679</v>
      </c>
      <c r="AN9" s="1423"/>
      <c r="AO9" s="1526"/>
      <c r="AP9" s="1423"/>
      <c r="AQ9" s="1423"/>
      <c r="AR9" s="1423"/>
      <c r="AS9" s="1423"/>
      <c r="AT9" s="1420"/>
      <c r="AU9" s="2138"/>
      <c r="AW9" s="506"/>
      <c r="AX9" s="506"/>
      <c r="AY9" s="506"/>
      <c r="AZ9" s="506"/>
    </row>
    <row customHeight="1" ht="11.25" hidden="1">
      <c r="A10" s="1393"/>
      <c r="B10" s="1393"/>
      <c r="C10" s="1393"/>
      <c r="D10" s="1393"/>
      <c r="E10" s="2108"/>
      <c r="F10" s="2108"/>
      <c r="G10" s="2108"/>
      <c r="H10" s="2108"/>
      <c r="I10" s="2110"/>
      <c r="J10" s="2110"/>
      <c r="K10" s="2109"/>
      <c r="L10" s="1394"/>
      <c r="P10" s="2111"/>
      <c r="Q10" s="2111"/>
      <c r="R10" s="2187"/>
      <c r="S10" s="2185"/>
      <c r="T10" s="2182"/>
      <c r="U10" s="288"/>
      <c r="V10" s="1423"/>
      <c r="W10" s="1427"/>
      <c r="X10" s="2112"/>
      <c r="Y10" s="1981"/>
      <c r="Z10" s="2112"/>
      <c r="AA10" s="1981"/>
      <c r="AB10" s="1981"/>
      <c r="AC10" s="2180"/>
      <c r="AD10" s="2057"/>
      <c r="AE10" s="2193"/>
      <c r="AF10" s="1981"/>
      <c r="AG10" s="282"/>
      <c r="AH10" s="421"/>
      <c r="AI10" s="421" t="s">
        <v>680</v>
      </c>
      <c r="AJ10" s="1423"/>
      <c r="AK10" s="1423"/>
      <c r="AL10" s="1423"/>
      <c r="AM10" s="1423"/>
      <c r="AN10" s="1423"/>
      <c r="AO10" s="1526"/>
      <c r="AP10" s="1423"/>
      <c r="AQ10" s="1423"/>
      <c r="AR10" s="1423"/>
      <c r="AS10" s="1423"/>
      <c r="AT10" s="1420"/>
      <c r="AU10" s="2138"/>
      <c r="AW10" s="506"/>
      <c r="AX10" s="506"/>
      <c r="AY10" s="506"/>
      <c r="AZ10" s="506"/>
    </row>
    <row customHeight="1" ht="11.25" hidden="1">
      <c r="A11" s="1393"/>
      <c r="B11" s="1393"/>
      <c r="C11" s="1393"/>
      <c r="D11" s="1393"/>
      <c r="E11" s="2108"/>
      <c r="F11" s="2108"/>
      <c r="G11" s="2108"/>
      <c r="H11" s="2108"/>
      <c r="I11" s="2110"/>
      <c r="J11" s="2110"/>
      <c r="K11" s="2109"/>
      <c r="L11" s="1394"/>
      <c r="P11" s="2111"/>
      <c r="Q11" s="2111"/>
      <c r="R11" s="2187"/>
      <c r="S11" s="2186"/>
      <c r="T11" s="2183"/>
      <c r="U11" s="288"/>
      <c r="V11" s="1423"/>
      <c r="W11" s="1426" t="str">
        <f>X8&amp;"-"&amp;Z8</f>
        <v>-</v>
      </c>
      <c r="X11" s="2113"/>
      <c r="Y11" s="1981"/>
      <c r="Z11" s="2113"/>
      <c r="AA11" s="1981"/>
      <c r="AB11" s="1981"/>
      <c r="AC11" s="302"/>
      <c r="AD11" s="304"/>
      <c r="AE11" s="421" t="s">
        <v>681</v>
      </c>
      <c r="AF11" s="1423"/>
      <c r="AG11" s="1423"/>
      <c r="AH11" s="1423"/>
      <c r="AI11" s="1423"/>
      <c r="AJ11" s="1423"/>
      <c r="AK11" s="1423"/>
      <c r="AL11" s="1423"/>
      <c r="AM11" s="1423"/>
      <c r="AN11" s="1423"/>
      <c r="AO11" s="1424" t="str">
        <f>AP8&amp;"-"&amp;AR8</f>
        <v>-</v>
      </c>
      <c r="AP11" s="1423"/>
      <c r="AQ11" s="1423"/>
      <c r="AR11" s="1423"/>
      <c r="AS11" s="1423"/>
      <c r="AT11" s="1379"/>
      <c r="AU11" s="2138"/>
      <c r="AW11" s="506"/>
      <c r="AX11" s="506" t="str">
        <f>IF(T11="","",T11)</f>
        <v/>
      </c>
      <c r="AY11" s="506"/>
      <c r="AZ11" s="506"/>
    </row>
    <row customHeight="1" ht="11.25" hidden="1">
      <c r="A12" s="1393"/>
      <c r="B12" s="1393"/>
      <c r="C12" s="1393"/>
      <c r="D12" s="1393"/>
      <c r="E12" s="2108"/>
      <c r="F12" s="2108"/>
      <c r="G12" s="2108"/>
      <c r="H12" s="2108"/>
      <c r="I12" s="2110"/>
      <c r="J12" s="2109"/>
      <c r="K12" s="1393"/>
      <c r="L12" s="1394"/>
      <c r="P12" s="2111"/>
      <c r="Q12" s="2111"/>
      <c r="R12" s="352"/>
      <c r="S12" s="1308"/>
      <c r="T12" s="275" t="s">
        <v>682</v>
      </c>
      <c r="U12" s="367"/>
      <c r="V12" s="367"/>
      <c r="W12" s="367"/>
      <c r="X12" s="367"/>
      <c r="Y12" s="367"/>
      <c r="Z12" s="367"/>
      <c r="AA12" s="367"/>
      <c r="AB12" s="367"/>
      <c r="AC12" s="367"/>
      <c r="AD12" s="367"/>
      <c r="AE12" s="367"/>
      <c r="AF12" s="367"/>
      <c r="AG12" s="367"/>
      <c r="AH12" s="367"/>
      <c r="AI12" s="367"/>
      <c r="AJ12" s="367"/>
      <c r="AK12" s="367"/>
      <c r="AL12" s="367"/>
      <c r="AM12" s="367"/>
      <c r="AN12" s="367"/>
      <c r="AO12" s="367"/>
      <c r="AP12" s="367"/>
      <c r="AQ12" s="367"/>
      <c r="AR12" s="367"/>
      <c r="AS12" s="367"/>
      <c r="AT12" s="319"/>
      <c r="AU12" s="2139"/>
      <c r="AW12" s="506"/>
      <c r="AX12" s="506" t="str">
        <f>IF(T12="","",T12)</f>
        <v>Добавить строку</v>
      </c>
      <c r="AY12" s="506"/>
      <c r="AZ12" s="506"/>
    </row>
    <row s="2612" customFormat="1" customHeight="1" ht="14.25" hidden="1">
      <c r="A13" s="1373"/>
      <c r="B13" s="1373"/>
      <c r="C13" s="1373"/>
      <c r="D13" s="1373"/>
      <c r="E13" s="2108"/>
      <c r="F13" s="2108"/>
      <c r="G13" s="2108"/>
      <c r="H13" s="2108"/>
      <c r="I13" s="2109"/>
      <c r="J13" s="1373"/>
      <c r="K13" s="1373"/>
      <c r="L13" s="1376"/>
      <c r="M13" s="516"/>
      <c r="N13" s="516"/>
      <c r="O13" s="516"/>
      <c r="P13" s="2111"/>
      <c r="Q13" s="1361"/>
      <c r="R13" s="352"/>
      <c r="S13" s="1416"/>
      <c r="T13" s="1417"/>
      <c r="U13" s="1418"/>
      <c r="V13" s="1418"/>
      <c r="W13" s="1418"/>
      <c r="X13" s="1418"/>
      <c r="Y13" s="1418"/>
      <c r="Z13" s="1418"/>
      <c r="AA13" s="1418"/>
      <c r="AB13" s="1418"/>
      <c r="AC13" s="1418"/>
      <c r="AD13" s="1418"/>
      <c r="AE13" s="1418"/>
      <c r="AF13" s="1418"/>
      <c r="AG13" s="1418"/>
      <c r="AH13" s="1418"/>
      <c r="AI13" s="1418"/>
      <c r="AJ13" s="1418"/>
      <c r="AK13" s="1418"/>
      <c r="AL13" s="1418"/>
      <c r="AM13" s="1418"/>
      <c r="AN13" s="1418"/>
      <c r="AO13" s="1418"/>
      <c r="AP13" s="1418"/>
      <c r="AQ13" s="1418"/>
      <c r="AR13" s="1418"/>
      <c r="AS13" s="1418"/>
      <c r="AT13" s="1418"/>
      <c r="AU13" s="1419"/>
      <c r="AW13" s="506"/>
      <c r="AX13" s="506" t="str">
        <f>IF(T13="","",T13)</f>
        <v/>
      </c>
      <c r="AY13" s="506"/>
      <c r="AZ13" s="506"/>
    </row>
    <row s="2612" customFormat="1" customHeight="1" ht="14.25" hidden="1">
      <c r="A14" s="1373"/>
      <c r="B14" s="1373"/>
      <c r="C14" s="1373"/>
      <c r="D14" s="1373"/>
      <c r="E14" s="2108"/>
      <c r="F14" s="2108"/>
      <c r="G14" s="2108"/>
      <c r="H14" s="2107"/>
      <c r="I14" s="1373"/>
      <c r="J14" s="1373"/>
      <c r="K14" s="1373"/>
      <c r="L14" s="1376"/>
      <c r="M14" s="1345"/>
      <c r="N14" s="1345"/>
      <c r="O14" s="524"/>
      <c r="P14" s="385"/>
      <c r="Q14" s="1374"/>
      <c r="R14" s="1431"/>
      <c r="S14" s="1416"/>
      <c r="T14" s="1417"/>
      <c r="U14" s="1418"/>
      <c r="V14" s="1418"/>
      <c r="W14" s="1418"/>
      <c r="X14" s="1418"/>
      <c r="Y14" s="1418"/>
      <c r="Z14" s="1418"/>
      <c r="AA14" s="1418"/>
      <c r="AB14" s="1418"/>
      <c r="AC14" s="1418"/>
      <c r="AD14" s="1418"/>
      <c r="AE14" s="1418"/>
      <c r="AF14" s="1418"/>
      <c r="AG14" s="1418"/>
      <c r="AH14" s="1418"/>
      <c r="AI14" s="1418"/>
      <c r="AJ14" s="1418"/>
      <c r="AK14" s="1418"/>
      <c r="AL14" s="1418"/>
      <c r="AM14" s="1418"/>
      <c r="AN14" s="1418"/>
      <c r="AO14" s="1418"/>
      <c r="AP14" s="1418"/>
      <c r="AQ14" s="1418"/>
      <c r="AR14" s="1418"/>
      <c r="AS14" s="1418"/>
      <c r="AT14" s="1418"/>
      <c r="AU14" s="1419"/>
      <c r="AW14" s="506"/>
      <c r="AX14" s="506" t="str">
        <f>IF(T14="","",T14)</f>
        <v/>
      </c>
      <c r="AY14" s="506"/>
      <c r="AZ14" s="506"/>
    </row>
    <row s="3314" customFormat="1" customHeight="1" ht="14.25" hidden="1">
      <c r="A15" s="1373"/>
      <c r="B15" s="1373"/>
      <c r="C15" s="1373"/>
      <c r="D15" s="1344"/>
      <c r="E15" s="2108"/>
      <c r="F15" s="2108"/>
      <c r="G15" s="2107"/>
      <c r="H15" s="1344"/>
      <c r="I15" s="1344"/>
      <c r="J15" s="1344"/>
      <c r="K15" s="1344"/>
      <c r="L15" s="1369"/>
      <c r="M15" s="1345"/>
      <c r="N15" s="1345"/>
      <c r="P15" s="1346"/>
      <c r="Q15" s="1347"/>
      <c r="R15" s="1346"/>
      <c r="S15" s="1352"/>
      <c r="T15" s="1355" t="s">
        <v>254</v>
      </c>
      <c r="U15" s="1354"/>
      <c r="V15" s="1354"/>
      <c r="W15" s="1354"/>
      <c r="X15" s="1354"/>
      <c r="Y15" s="1354"/>
      <c r="Z15" s="1354"/>
      <c r="AA15" s="1354"/>
      <c r="AB15" s="1354"/>
      <c r="AC15" s="1354"/>
      <c r="AD15" s="1354"/>
      <c r="AE15" s="1354"/>
      <c r="AF15" s="1354"/>
      <c r="AG15" s="1354"/>
      <c r="AH15" s="1354"/>
      <c r="AI15" s="1354"/>
      <c r="AJ15" s="1354"/>
      <c r="AK15" s="1354"/>
      <c r="AL15" s="1354"/>
      <c r="AM15" s="1354"/>
      <c r="AN15" s="1354"/>
      <c r="AO15" s="1354"/>
      <c r="AP15" s="1354"/>
      <c r="AQ15" s="1354"/>
      <c r="AR15" s="1354"/>
      <c r="AS15" s="1354"/>
      <c r="AT15" s="1354"/>
      <c r="AU15" s="1354"/>
      <c r="AW15" s="795"/>
      <c r="AX15" s="795" t="str">
        <f>IF(T15="","",T15)</f>
        <v>Добавить источник для дифференциации</v>
      </c>
      <c r="AY15" s="795"/>
      <c r="AZ15" s="795"/>
    </row>
    <row s="3314" customFormat="1" customHeight="1" ht="14.25" hidden="1">
      <c r="A16" s="1373"/>
      <c r="B16" s="1373"/>
      <c r="C16" s="1344"/>
      <c r="D16" s="1344"/>
      <c r="E16" s="2108"/>
      <c r="F16" s="2107"/>
      <c r="G16" s="1344"/>
      <c r="H16" s="1344"/>
      <c r="I16" s="1344"/>
      <c r="J16" s="1344"/>
      <c r="K16" s="1344"/>
      <c r="L16" s="1369"/>
      <c r="M16" s="1351"/>
      <c r="N16" s="1351"/>
      <c r="P16" s="1346"/>
      <c r="Q16" s="1347"/>
      <c r="R16" s="1346"/>
      <c r="S16" s="1352"/>
      <c r="T16" s="1355" t="s">
        <v>255</v>
      </c>
      <c r="U16" s="1354"/>
      <c r="V16" s="1354"/>
      <c r="W16" s="1354"/>
      <c r="X16" s="1354"/>
      <c r="Y16" s="1354"/>
      <c r="Z16" s="1354"/>
      <c r="AA16" s="1354"/>
      <c r="AB16" s="1354"/>
      <c r="AC16" s="1354"/>
      <c r="AD16" s="1354"/>
      <c r="AE16" s="1354"/>
      <c r="AF16" s="1354"/>
      <c r="AG16" s="1354"/>
      <c r="AH16" s="1354"/>
      <c r="AI16" s="1354"/>
      <c r="AJ16" s="1354"/>
      <c r="AK16" s="1354"/>
      <c r="AL16" s="1354"/>
      <c r="AM16" s="1354"/>
      <c r="AN16" s="1354"/>
      <c r="AO16" s="1354"/>
      <c r="AP16" s="1354"/>
      <c r="AQ16" s="1354"/>
      <c r="AR16" s="1354"/>
      <c r="AS16" s="1354"/>
      <c r="AT16" s="1354"/>
      <c r="AU16" s="1354"/>
      <c r="AW16" s="795"/>
      <c r="AX16" s="795" t="str">
        <f>IF(T16="","",T16)</f>
        <v>Добавить централизованную систему для дифференциации</v>
      </c>
      <c r="AY16" s="795"/>
      <c r="AZ16" s="795"/>
    </row>
    <row s="2612" customFormat="1" customHeight="1" ht="14.25" hidden="1">
      <c r="A17" s="1373"/>
      <c r="B17" s="1373"/>
      <c r="C17" s="1373"/>
      <c r="D17" s="1373"/>
      <c r="E17" s="2107"/>
      <c r="F17" s="1373"/>
      <c r="G17" s="1373"/>
      <c r="H17" s="1373"/>
      <c r="I17" s="1373"/>
      <c r="J17" s="1373"/>
      <c r="K17" s="1373"/>
      <c r="L17" s="1376"/>
      <c r="M17" s="1351"/>
      <c r="N17" s="1351"/>
      <c r="O17" s="524"/>
      <c r="P17" s="385"/>
      <c r="Q17" s="1374"/>
      <c r="R17" s="385"/>
      <c r="S17" s="1352"/>
      <c r="T17" s="1355" t="s">
        <v>329</v>
      </c>
      <c r="U17" s="1354"/>
      <c r="V17" s="1354"/>
      <c r="W17" s="1354"/>
      <c r="X17" s="1354"/>
      <c r="Y17" s="1354"/>
      <c r="Z17" s="1354"/>
      <c r="AA17" s="1354"/>
      <c r="AB17" s="1354"/>
      <c r="AC17" s="1354"/>
      <c r="AD17" s="1354"/>
      <c r="AE17" s="1354"/>
      <c r="AF17" s="1354"/>
      <c r="AG17" s="1354"/>
      <c r="AH17" s="1354"/>
      <c r="AI17" s="1354"/>
      <c r="AJ17" s="1354"/>
      <c r="AK17" s="1354"/>
      <c r="AL17" s="1354"/>
      <c r="AM17" s="1354"/>
      <c r="AN17" s="1354"/>
      <c r="AO17" s="1354"/>
      <c r="AP17" s="1354"/>
      <c r="AQ17" s="1354"/>
      <c r="AR17" s="1354"/>
      <c r="AS17" s="1354"/>
      <c r="AT17" s="1354"/>
      <c r="AU17" s="1354"/>
      <c r="AW17" s="506"/>
      <c r="AX17" s="506" t="str">
        <f>IF(T17="","",T17)</f>
        <v>Добавить территорию для дифференциации</v>
      </c>
      <c r="AY17" s="506"/>
      <c r="AZ17" s="506"/>
    </row>
    <row customHeight="1" ht="14.25" hidden="1">
      <c r="AA18" s="323"/>
      <c r="AS18" s="323"/>
    </row>
    <row customHeight="1" ht="14.25" hidden="1">
      <c r="AB19" s="1354" t="s">
        <v>58</v>
      </c>
      <c r="AC19" s="1531"/>
      <c r="AD19" s="554">
        <v>1</v>
      </c>
      <c r="AE19" s="1532"/>
      <c r="AF19" s="1354" t="s">
        <v>58</v>
      </c>
      <c r="AG19" s="1531"/>
      <c r="AH19" s="554">
        <v>1</v>
      </c>
      <c r="AI19" s="1532"/>
      <c r="AJ19" s="1354" t="s">
        <v>58</v>
      </c>
      <c r="AK19" s="1533"/>
      <c r="AL19" s="554">
        <v>1</v>
      </c>
      <c r="AM19" s="1536"/>
      <c r="AN19" s="1433"/>
      <c r="AO19" s="1434"/>
      <c r="AP19" s="1776"/>
      <c r="AQ19" s="1490" t="s">
        <v>63</v>
      </c>
      <c r="AR19" s="1776"/>
      <c r="AS19" s="1490" t="s">
        <v>63</v>
      </c>
    </row>
    <row customHeight="1" ht="14.25" hidden="1">
      <c r="AV20" s="502"/>
      <c r="AW20" s="502"/>
      <c r="AX20" s="502"/>
      <c r="AY20" s="502"/>
      <c r="AZ20" s="502"/>
    </row>
    <row customHeight="1" ht="14.25" hidden="1">
      <c r="O21" s="1397" t="s">
        <v>629</v>
      </c>
      <c r="X21" s="1375"/>
      <c r="Z21" s="1375"/>
      <c r="AA21" s="323"/>
      <c r="AP21" s="1375"/>
      <c r="AR21" s="1375"/>
      <c r="AS21" s="323"/>
      <c r="AV21" s="502"/>
      <c r="AW21" s="502"/>
      <c r="AX21" s="502"/>
      <c r="AY21" s="502"/>
      <c r="AZ21" s="502"/>
    </row>
    <row customHeight="1" ht="14.25" hidden="1">
      <c r="AA22" s="323"/>
      <c r="AS22" s="323"/>
      <c r="AV22" s="502"/>
      <c r="AW22" s="502"/>
      <c r="AX22" s="502"/>
      <c r="AY22" s="502"/>
      <c r="AZ22" s="502"/>
    </row>
    <row s="12221" customFormat="1" customHeight="1" ht="14.25" hidden="1">
      <c r="M23" s="1538"/>
      <c r="N23" s="1538"/>
      <c r="O23" s="1539" t="s">
        <v>630</v>
      </c>
      <c r="P23" s="1538"/>
      <c r="Q23" s="1540"/>
      <c r="R23" s="1540"/>
      <c r="Y23" s="1537" t="s">
        <v>632</v>
      </c>
      <c r="AA23" s="1537" t="s">
        <v>633</v>
      </c>
      <c r="AB23" s="1537" t="s">
        <v>683</v>
      </c>
      <c r="AE23" s="1537" t="s">
        <v>684</v>
      </c>
      <c r="AF23" s="1537" t="s">
        <v>683</v>
      </c>
      <c r="AI23" s="1537" t="s">
        <v>685</v>
      </c>
      <c r="AJ23" s="1537" t="s">
        <v>683</v>
      </c>
      <c r="AM23" s="1537" t="s">
        <v>686</v>
      </c>
      <c r="AQ23" s="1537" t="s">
        <v>632</v>
      </c>
      <c r="AS23" s="1537" t="s">
        <v>633</v>
      </c>
      <c r="AV23" s="1541"/>
      <c r="AW23" s="1541"/>
      <c r="AX23" s="1541"/>
      <c r="AY23" s="1541"/>
      <c r="AZ23" s="1541"/>
    </row>
    <row customHeight="1" ht="14.25" hidden="1">
      <c r="O24" s="1394"/>
      <c r="AV24" s="502"/>
      <c r="AW24" s="502"/>
      <c r="AX24" s="502"/>
      <c r="AY24" s="502"/>
      <c r="AZ24" s="502"/>
    </row>
    <row customHeight="1" ht="14.25" hidden="1">
      <c r="O25" s="1394"/>
      <c r="AV25" s="502"/>
      <c r="AW25" s="502"/>
      <c r="AX25" s="502"/>
      <c r="AY25" s="502"/>
      <c r="AZ25" s="502"/>
    </row>
    <row customHeight="1" ht="14.25">
      <c r="Q26" s="279"/>
      <c r="R26" s="377"/>
      <c r="S26" s="1305"/>
      <c r="T26" s="361"/>
      <c r="U26" s="361"/>
      <c r="V26" s="515"/>
      <c r="W26" s="515"/>
      <c r="X26" s="515"/>
      <c r="Y26" s="515"/>
      <c r="Z26" s="515"/>
      <c r="AA26" s="515"/>
      <c r="AB26" s="515"/>
      <c r="AC26" s="515"/>
      <c r="AD26" s="515"/>
      <c r="AE26" s="515"/>
      <c r="AF26" s="515"/>
      <c r="AG26" s="515"/>
      <c r="AH26" s="515"/>
      <c r="AI26" s="515"/>
      <c r="AJ26" s="515"/>
      <c r="AK26" s="515"/>
      <c r="AL26" s="515"/>
      <c r="AM26" s="515"/>
      <c r="AN26" s="515"/>
      <c r="AO26" s="515"/>
      <c r="AP26" s="515"/>
      <c r="AQ26" s="515"/>
      <c r="AR26" s="515"/>
      <c r="AS26" s="515"/>
    </row>
    <row customHeight="1" ht="26.25">
      <c r="Q27" s="279"/>
      <c r="R27" s="377"/>
      <c r="S27" s="214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40"/>
      <c r="U27" s="2140"/>
      <c r="V27" s="2140"/>
      <c r="W27" s="2140"/>
      <c r="X27" s="2140"/>
      <c r="Y27" s="2140"/>
      <c r="Z27" s="2140"/>
      <c r="AA27" s="2140"/>
      <c r="AB27" s="2140"/>
      <c r="AC27" s="2140"/>
      <c r="AD27" s="2140"/>
      <c r="AE27" s="2140"/>
      <c r="AF27" s="2140"/>
      <c r="AG27" s="2140"/>
      <c r="AH27" s="2140"/>
      <c r="AI27" s="2140"/>
      <c r="AJ27" s="2140"/>
      <c r="AK27" s="2140"/>
      <c r="AL27" s="2140"/>
      <c r="AM27" s="2140"/>
      <c r="AN27" s="2140"/>
      <c r="AO27" s="2140"/>
      <c r="AP27" s="2140"/>
      <c r="AQ27" s="2140"/>
      <c r="AR27" s="2140"/>
      <c r="AS27" s="1261"/>
    </row>
    <row customHeight="1" ht="14.25">
      <c r="Q28" s="279"/>
      <c r="R28" s="377"/>
      <c r="S28" s="2141" t="str">
        <f>IF(org=0,"Не определено",org)</f>
        <v>АО "Мурманэнергосбыт"</v>
      </c>
      <c r="T28" s="2141"/>
      <c r="U28" s="2141"/>
      <c r="V28" s="2141"/>
      <c r="W28" s="2141"/>
      <c r="X28" s="2141"/>
      <c r="Y28" s="2141"/>
      <c r="Z28" s="2141"/>
      <c r="AA28" s="2141"/>
      <c r="AB28" s="2141"/>
      <c r="AC28" s="2141"/>
      <c r="AD28" s="2141"/>
      <c r="AE28" s="2141"/>
      <c r="AF28" s="2141"/>
      <c r="AG28" s="2141"/>
      <c r="AH28" s="2141"/>
      <c r="AI28" s="2141"/>
      <c r="AJ28" s="2141"/>
      <c r="AK28" s="2141"/>
      <c r="AL28" s="2141"/>
      <c r="AM28" s="2141"/>
      <c r="AN28" s="2141"/>
      <c r="AO28" s="2141"/>
      <c r="AP28" s="2141"/>
      <c r="AQ28" s="2141"/>
      <c r="AR28" s="2141"/>
      <c r="AS28" s="1261"/>
    </row>
    <row customHeight="1" ht="14.25">
      <c r="Q29" s="279"/>
      <c r="R29" s="377"/>
      <c r="S29" s="1305"/>
      <c r="T29" s="361"/>
      <c r="U29" s="361"/>
      <c r="V29" s="316"/>
      <c r="W29" s="316"/>
      <c r="X29" s="316"/>
      <c r="Y29" s="316"/>
      <c r="Z29" s="316"/>
      <c r="AA29" s="316"/>
      <c r="AB29" s="316"/>
      <c r="AC29" s="316"/>
      <c r="AD29" s="316"/>
      <c r="AE29" s="316"/>
      <c r="AF29" s="316"/>
      <c r="AG29" s="316"/>
      <c r="AH29" s="316"/>
      <c r="AI29" s="316"/>
      <c r="AJ29" s="316"/>
      <c r="AK29" s="316"/>
      <c r="AL29" s="316"/>
      <c r="AM29" s="316"/>
      <c r="AN29" s="316"/>
      <c r="AO29" s="316"/>
      <c r="AP29" s="316"/>
      <c r="AQ29" s="316"/>
      <c r="AR29" s="316"/>
      <c r="AS29" s="316"/>
      <c r="AT29" s="515"/>
    </row>
    <row s="3345" customFormat="1" customHeight="1" ht="25.5">
      <c r="A30" s="1398"/>
      <c r="B30" s="1398"/>
      <c r="C30" s="1398"/>
      <c r="D30" s="1398"/>
      <c r="E30" s="1398"/>
      <c r="F30" s="1398"/>
      <c r="G30" s="1398"/>
      <c r="H30" s="1398"/>
      <c r="I30" s="1398"/>
      <c r="J30" s="1398"/>
      <c r="K30" s="1398"/>
      <c r="L30" s="1399"/>
      <c r="M30" s="1398"/>
      <c r="N30" s="1398"/>
      <c r="O30" s="1398"/>
      <c r="P30" s="1398"/>
      <c r="Q30" s="1398"/>
      <c r="S30" s="2098" t="s">
        <v>38</v>
      </c>
      <c r="T30" s="2098"/>
      <c r="U30" s="1402"/>
      <c r="V30" s="2100" t="str">
        <f>IF(TITLE_NAME_OR_PR_CHANGE="",IF(TITLE_NAME_OR_PR="","",TITLE_NAME_OR_PR),TITLE_NAME_OR_PR_CHANGE)</f>
        <v>Комитет по тарифному регулированию Мурманской области</v>
      </c>
      <c r="W30" s="2100"/>
      <c r="X30" s="2100"/>
      <c r="Y30" s="2100"/>
      <c r="Z30" s="2100"/>
      <c r="AA30" s="322"/>
      <c r="AB30" s="2100" t="str">
        <f>IF(TITLE_NAME_OR_PR_CHANGE="",IF(TITLE_NAME_OR_PR="","",TITLE_NAME_OR_PR),TITLE_NAME_OR_PR_CHANGE)</f>
        <v>Комитет по тарифному регулированию Мурманской области</v>
      </c>
      <c r="AC30" s="2100"/>
      <c r="AD30" s="2100"/>
      <c r="AE30" s="2100"/>
      <c r="AF30" s="2100"/>
      <c r="AG30" s="2100"/>
      <c r="AH30" s="2100"/>
      <c r="AI30" s="2100"/>
      <c r="AJ30" s="2100"/>
      <c r="AK30" s="2100"/>
      <c r="AL30" s="2100"/>
      <c r="AM30" s="2100"/>
      <c r="AN30" s="2100"/>
      <c r="AO30" s="2100"/>
      <c r="AP30" s="2100"/>
      <c r="AQ30" s="2100"/>
      <c r="AR30" s="2100"/>
      <c r="AS30" s="322"/>
      <c r="AT30" s="322"/>
      <c r="AU30" s="268"/>
      <c r="AV30" s="368"/>
      <c r="AW30" s="368"/>
      <c r="AX30" s="368"/>
      <c r="AY30" s="368"/>
      <c r="AZ30" s="368"/>
    </row>
    <row s="3345" customFormat="1" customHeight="1" ht="18.75">
      <c r="A31" s="1398"/>
      <c r="B31" s="1398"/>
      <c r="C31" s="1398"/>
      <c r="D31" s="1398"/>
      <c r="E31" s="1398"/>
      <c r="F31" s="1398"/>
      <c r="G31" s="1398"/>
      <c r="H31" s="1398"/>
      <c r="I31" s="1398"/>
      <c r="J31" s="1398"/>
      <c r="K31" s="1398"/>
      <c r="L31" s="1399"/>
      <c r="M31" s="1398"/>
      <c r="N31" s="1398"/>
      <c r="O31" s="1398"/>
      <c r="P31" s="1398"/>
      <c r="Q31" s="1398"/>
      <c r="S31" s="2098" t="s">
        <v>635</v>
      </c>
      <c r="T31" s="2098"/>
      <c r="U31" s="1402"/>
      <c r="V31" s="2099" t="str">
        <f>IF(TITLE_DATE_PR_CHANGE="",IF(TITLE_DATE_PR="","",TITLE_DATE_PR),TITLE_DATE_PR_CHANGE)</f>
        <v>45205</v>
      </c>
      <c r="W31" s="2099"/>
      <c r="X31" s="2099"/>
      <c r="Y31" s="2099"/>
      <c r="Z31" s="2099"/>
      <c r="AA31" s="322"/>
      <c r="AB31" s="2099" t="str">
        <f>IF(TITLE_DATE_PR_CHANGE="",IF(TITLE_DATE_PR="","",TITLE_DATE_PR),TITLE_DATE_PR_CHANGE)</f>
        <v>45205</v>
      </c>
      <c r="AC31" s="2099"/>
      <c r="AD31" s="2099"/>
      <c r="AE31" s="2099"/>
      <c r="AF31" s="2099"/>
      <c r="AG31" s="2099"/>
      <c r="AH31" s="2099"/>
      <c r="AI31" s="2099"/>
      <c r="AJ31" s="2099"/>
      <c r="AK31" s="2099"/>
      <c r="AL31" s="2099"/>
      <c r="AM31" s="2099"/>
      <c r="AN31" s="2099"/>
      <c r="AO31" s="2099"/>
      <c r="AP31" s="2099"/>
      <c r="AQ31" s="2099"/>
      <c r="AR31" s="2099"/>
      <c r="AS31" s="322"/>
      <c r="AT31" s="322"/>
      <c r="AU31" s="268"/>
      <c r="AV31" s="368"/>
      <c r="AW31" s="368"/>
      <c r="AX31" s="368"/>
      <c r="AY31" s="368"/>
      <c r="AZ31" s="368"/>
    </row>
    <row s="3345" customFormat="1" customHeight="1" ht="18.75">
      <c r="A32" s="1398"/>
      <c r="B32" s="1398"/>
      <c r="C32" s="1398"/>
      <c r="D32" s="1398"/>
      <c r="E32" s="1398"/>
      <c r="F32" s="1398"/>
      <c r="G32" s="1398"/>
      <c r="H32" s="1398"/>
      <c r="I32" s="1398"/>
      <c r="J32" s="1398"/>
      <c r="K32" s="1398"/>
      <c r="L32" s="1399"/>
      <c r="M32" s="1398"/>
      <c r="N32" s="1398"/>
      <c r="O32" s="1398"/>
      <c r="P32" s="1398"/>
      <c r="Q32" s="1398"/>
      <c r="S32" s="2098" t="s">
        <v>636</v>
      </c>
      <c r="T32" s="2098"/>
      <c r="U32" s="1402"/>
      <c r="V32" s="2100" t="str">
        <f>IF(TITLE_NUMBER_PR_CHANGE="",IF(TITLE_NUMBER_PR="","",TITLE_NUMBER_PR),TITLE_NUMBER_PR_CHANGE)</f>
        <v>36/2</v>
      </c>
      <c r="W32" s="2100"/>
      <c r="X32" s="2100"/>
      <c r="Y32" s="2100"/>
      <c r="Z32" s="2100"/>
      <c r="AA32" s="322"/>
      <c r="AB32" s="2100" t="str">
        <f>IF(TITLE_NUMBER_PR_CHANGE="",IF(TITLE_NUMBER_PR="","",TITLE_NUMBER_PR),TITLE_NUMBER_PR_CHANGE)</f>
        <v>36/2</v>
      </c>
      <c r="AC32" s="2100"/>
      <c r="AD32" s="2100"/>
      <c r="AE32" s="2100"/>
      <c r="AF32" s="2100"/>
      <c r="AG32" s="2100"/>
      <c r="AH32" s="2100"/>
      <c r="AI32" s="2100"/>
      <c r="AJ32" s="2100"/>
      <c r="AK32" s="2100"/>
      <c r="AL32" s="2100"/>
      <c r="AM32" s="2100"/>
      <c r="AN32" s="2100"/>
      <c r="AO32" s="2100"/>
      <c r="AP32" s="2100"/>
      <c r="AQ32" s="2100"/>
      <c r="AR32" s="2100"/>
      <c r="AS32" s="322"/>
      <c r="AT32" s="322"/>
      <c r="AU32" s="268"/>
      <c r="AV32" s="368"/>
      <c r="AW32" s="368"/>
      <c r="AX32" s="368"/>
      <c r="AY32" s="368"/>
      <c r="AZ32" s="368"/>
    </row>
    <row s="3345" customFormat="1" customHeight="1" ht="18.75">
      <c r="A33" s="1398"/>
      <c r="B33" s="1398"/>
      <c r="C33" s="1398"/>
      <c r="D33" s="1398"/>
      <c r="E33" s="1398"/>
      <c r="F33" s="1398"/>
      <c r="G33" s="1398"/>
      <c r="H33" s="1398"/>
      <c r="I33" s="1398"/>
      <c r="J33" s="1398"/>
      <c r="K33" s="1398"/>
      <c r="L33" s="1399"/>
      <c r="M33" s="1398"/>
      <c r="N33" s="1398"/>
      <c r="O33" s="1398"/>
      <c r="P33" s="1398"/>
      <c r="Q33" s="1398"/>
      <c r="S33" s="2098" t="s">
        <v>40</v>
      </c>
      <c r="T33" s="2098"/>
      <c r="U33" s="1402"/>
      <c r="V33" s="2100" t="str">
        <f>IF(TITLE_IST_PUB_CHANGE="",IF(TITLE_IST_PUB="","",TITLE_IST_PUB),TITLE_IST_PUB_CHANGE)</f>
        <v>https://npa.gov-murman.ru/bitrix/components/b1team/govmurman.element.file/download.php?ID=495002&amp;FID=732763</v>
      </c>
      <c r="W33" s="2100"/>
      <c r="X33" s="2100"/>
      <c r="Y33" s="2100"/>
      <c r="Z33" s="2100"/>
      <c r="AA33" s="322"/>
      <c r="AB33" s="2100" t="str">
        <f>IF(TITLE_IST_PUB_CHANGE="",IF(TITLE_IST_PUB="","",TITLE_IST_PUB),TITLE_IST_PUB_CHANGE)</f>
        <v>https://npa.gov-murman.ru/bitrix/components/b1team/govmurman.element.file/download.php?ID=495002&amp;FID=732763</v>
      </c>
      <c r="AC33" s="2100"/>
      <c r="AD33" s="2100"/>
      <c r="AE33" s="2100"/>
      <c r="AF33" s="2100"/>
      <c r="AG33" s="2100"/>
      <c r="AH33" s="2100"/>
      <c r="AI33" s="2100"/>
      <c r="AJ33" s="2100"/>
      <c r="AK33" s="2100"/>
      <c r="AL33" s="2100"/>
      <c r="AM33" s="2100"/>
      <c r="AN33" s="2100"/>
      <c r="AO33" s="2100"/>
      <c r="AP33" s="2100"/>
      <c r="AQ33" s="2100"/>
      <c r="AR33" s="2100"/>
      <c r="AS33" s="322"/>
      <c r="AT33" s="322"/>
      <c r="AU33" s="268"/>
      <c r="AV33" s="368"/>
      <c r="AW33" s="368"/>
      <c r="AX33" s="368"/>
      <c r="AY33" s="368"/>
      <c r="AZ33" s="368"/>
    </row>
    <row customHeight="1" ht="14.25" hidden="1">
      <c r="Q34" s="279"/>
      <c r="R34" s="377"/>
      <c r="S34" s="1305"/>
      <c r="T34" s="361"/>
      <c r="U34" s="361"/>
      <c r="V34" s="316"/>
      <c r="W34" s="316"/>
      <c r="X34" s="316"/>
      <c r="Y34" s="316"/>
      <c r="Z34" s="316"/>
      <c r="AA34" s="316"/>
      <c r="AB34" s="316"/>
      <c r="AC34" s="316"/>
      <c r="AD34" s="316"/>
      <c r="AE34" s="316"/>
      <c r="AF34" s="316"/>
      <c r="AG34" s="316"/>
      <c r="AH34" s="316"/>
      <c r="AI34" s="316"/>
      <c r="AJ34" s="316"/>
      <c r="AK34" s="316"/>
      <c r="AL34" s="316"/>
      <c r="AM34" s="316"/>
      <c r="AN34" s="316"/>
      <c r="AO34" s="316"/>
      <c r="AP34" s="316"/>
      <c r="AQ34" s="316"/>
      <c r="AR34" s="316"/>
      <c r="AS34" s="316"/>
      <c r="AT34" s="515"/>
    </row>
    <row s="3345" customFormat="1" customHeight="1" ht="18.75" hidden="1">
      <c r="A35" s="1398"/>
      <c r="B35" s="1398"/>
      <c r="C35" s="1398"/>
      <c r="D35" s="1398"/>
      <c r="E35" s="1398"/>
      <c r="F35" s="1398"/>
      <c r="G35" s="1398"/>
      <c r="H35" s="1398"/>
      <c r="I35" s="1398"/>
      <c r="J35" s="1398"/>
      <c r="K35" s="1398"/>
      <c r="L35" s="1399"/>
      <c r="M35" s="1398"/>
      <c r="N35" s="1398"/>
      <c r="O35" s="1398"/>
      <c r="P35" s="1398"/>
      <c r="Q35" s="1398"/>
      <c r="S35" s="2098" t="s">
        <v>635</v>
      </c>
      <c r="T35" s="2098"/>
      <c r="U35" s="1402"/>
      <c r="V35" s="2099" t="str">
        <f>IF(TITLE_DATE_PR_CHANGE="",IF(TITLE_DATE_PR="","",TITLE_DATE_PR),TITLE_DATE_PR_CHANGE)</f>
        <v>45205</v>
      </c>
      <c r="W35" s="2099"/>
      <c r="X35" s="2099"/>
      <c r="Y35" s="2099"/>
      <c r="Z35" s="2099"/>
      <c r="AA35" s="322"/>
      <c r="AB35" s="2099" t="str">
        <f>IF(TITLE_DATE_PR_CHANGE="",IF(TITLE_DATE_PR="","",TITLE_DATE_PR),TITLE_DATE_PR_CHANGE)</f>
        <v>45205</v>
      </c>
      <c r="AC35" s="2099"/>
      <c r="AD35" s="2099"/>
      <c r="AE35" s="2099"/>
      <c r="AF35" s="2099"/>
      <c r="AG35" s="2099"/>
      <c r="AH35" s="2099"/>
      <c r="AI35" s="2099"/>
      <c r="AJ35" s="2099"/>
      <c r="AK35" s="2099"/>
      <c r="AL35" s="2099"/>
      <c r="AM35" s="2099"/>
      <c r="AN35" s="2099"/>
      <c r="AO35" s="2099"/>
      <c r="AP35" s="2099"/>
      <c r="AQ35" s="2099"/>
      <c r="AR35" s="2099"/>
      <c r="AS35" s="322"/>
      <c r="AT35" s="322"/>
      <c r="AU35" s="268"/>
      <c r="AV35" s="368"/>
      <c r="AW35" s="368"/>
      <c r="AX35" s="368"/>
      <c r="AY35" s="368"/>
      <c r="AZ35" s="368"/>
    </row>
    <row s="3345" customFormat="1" customHeight="1" ht="18" hidden="1">
      <c r="A36" s="1398"/>
      <c r="B36" s="1398"/>
      <c r="C36" s="1398"/>
      <c r="D36" s="1398"/>
      <c r="E36" s="1398"/>
      <c r="F36" s="1398"/>
      <c r="G36" s="1398"/>
      <c r="H36" s="1398"/>
      <c r="I36" s="1398"/>
      <c r="J36" s="1398"/>
      <c r="K36" s="1398"/>
      <c r="L36" s="1399"/>
      <c r="M36" s="1398"/>
      <c r="N36" s="1398"/>
      <c r="O36" s="1398"/>
      <c r="P36" s="1398"/>
      <c r="Q36" s="1398"/>
      <c r="S36" s="2098" t="s">
        <v>636</v>
      </c>
      <c r="T36" s="2098"/>
      <c r="U36" s="1402"/>
      <c r="V36" s="2100" t="str">
        <f>IF(TITLE_NUMBER_PR_CHANGE="",IF(TITLE_NUMBER_PR="","",TITLE_NUMBER_PR),TITLE_NUMBER_PR_CHANGE)</f>
        <v>36/2</v>
      </c>
      <c r="W36" s="2100"/>
      <c r="X36" s="2100"/>
      <c r="Y36" s="2100"/>
      <c r="Z36" s="2100"/>
      <c r="AA36" s="322"/>
      <c r="AB36" s="2100" t="str">
        <f>IF(TITLE_NUMBER_PR_CHANGE="",IF(TITLE_NUMBER_PR="","",TITLE_NUMBER_PR),TITLE_NUMBER_PR_CHANGE)</f>
        <v>36/2</v>
      </c>
      <c r="AC36" s="2100"/>
      <c r="AD36" s="2100"/>
      <c r="AE36" s="2100"/>
      <c r="AF36" s="2100"/>
      <c r="AG36" s="2100"/>
      <c r="AH36" s="2100"/>
      <c r="AI36" s="2100"/>
      <c r="AJ36" s="2100"/>
      <c r="AK36" s="2100"/>
      <c r="AL36" s="2100"/>
      <c r="AM36" s="2100"/>
      <c r="AN36" s="2100"/>
      <c r="AO36" s="2100"/>
      <c r="AP36" s="2100"/>
      <c r="AQ36" s="2100"/>
      <c r="AR36" s="2100"/>
      <c r="AS36" s="322"/>
      <c r="AT36" s="322"/>
      <c r="AU36" s="268"/>
      <c r="AV36" s="368"/>
      <c r="AW36" s="368"/>
      <c r="AX36" s="368"/>
      <c r="AY36" s="368"/>
      <c r="AZ36" s="368"/>
    </row>
    <row s="3345" customFormat="1" customHeight="1" ht="0.75">
      <c r="A37" s="1398"/>
      <c r="B37" s="1398"/>
      <c r="C37" s="1398"/>
      <c r="D37" s="1398"/>
      <c r="E37" s="1398"/>
      <c r="F37" s="1398"/>
      <c r="G37" s="1398"/>
      <c r="H37" s="1398"/>
      <c r="I37" s="1398"/>
      <c r="J37" s="1398"/>
      <c r="K37" s="1398"/>
      <c r="L37" s="1399"/>
      <c r="M37" s="1398"/>
      <c r="N37" s="1398"/>
      <c r="O37" s="1398"/>
      <c r="P37" s="1398"/>
      <c r="Q37" s="1398"/>
      <c r="S37" s="318"/>
      <c r="T37" s="318"/>
      <c r="U37" s="1370"/>
      <c r="V37" s="322"/>
      <c r="W37" s="322"/>
      <c r="X37" s="322"/>
      <c r="Y37" s="322"/>
      <c r="Z37" s="322"/>
      <c r="AA37" s="266" t="s">
        <v>639</v>
      </c>
      <c r="AB37" s="322"/>
      <c r="AC37" s="322"/>
      <c r="AD37" s="322"/>
      <c r="AE37" s="322"/>
      <c r="AF37" s="322"/>
      <c r="AG37" s="322"/>
      <c r="AH37" s="322"/>
      <c r="AI37" s="322"/>
      <c r="AJ37" s="322"/>
      <c r="AK37" s="322"/>
      <c r="AL37" s="322"/>
      <c r="AM37" s="322"/>
      <c r="AN37" s="322"/>
      <c r="AO37" s="322"/>
      <c r="AP37" s="322"/>
      <c r="AQ37" s="322"/>
      <c r="AR37" s="322"/>
      <c r="AS37" s="266" t="s">
        <v>639</v>
      </c>
      <c r="AV37" s="368"/>
      <c r="AW37" s="368"/>
      <c r="AX37" s="368"/>
      <c r="AY37" s="368"/>
      <c r="AZ37" s="368"/>
    </row>
    <row customHeight="1" ht="14.25">
      <c r="Q38" s="279"/>
      <c r="R38" s="377"/>
      <c r="S38" s="1305"/>
      <c r="T38" s="361"/>
      <c r="U38" s="1262"/>
      <c r="V38" s="2124"/>
      <c r="W38" s="2124"/>
      <c r="X38" s="2124"/>
      <c r="Y38" s="2124"/>
      <c r="Z38" s="2124"/>
      <c r="AA38" s="2124"/>
      <c r="AB38" s="2124"/>
      <c r="AC38" s="2124"/>
      <c r="AD38" s="2124"/>
      <c r="AE38" s="2124"/>
      <c r="AF38" s="2124"/>
      <c r="AG38" s="2124"/>
      <c r="AH38" s="2124"/>
      <c r="AI38" s="2124"/>
      <c r="AJ38" s="2124"/>
      <c r="AK38" s="2124"/>
      <c r="AL38" s="2124"/>
      <c r="AM38" s="2124"/>
      <c r="AN38" s="2124"/>
      <c r="AO38" s="2124"/>
      <c r="AP38" s="2124"/>
      <c r="AQ38" s="2124"/>
      <c r="AR38" s="2124"/>
      <c r="AS38" s="2124"/>
    </row>
    <row customHeight="1" ht="14.25">
      <c r="Q39" s="279"/>
      <c r="R39" s="377"/>
      <c r="S39" s="1971" t="s">
        <v>513</v>
      </c>
      <c r="T39" s="1971"/>
      <c r="U39" s="1971"/>
      <c r="V39" s="1971"/>
      <c r="W39" s="1971"/>
      <c r="X39" s="1971"/>
      <c r="Y39" s="1971"/>
      <c r="Z39" s="1971"/>
      <c r="AA39" s="1971"/>
      <c r="AB39" s="2028"/>
      <c r="AC39" s="2028"/>
      <c r="AD39" s="2028"/>
      <c r="AE39" s="2028"/>
      <c r="AF39" s="1971"/>
      <c r="AG39" s="1971"/>
      <c r="AH39" s="1971"/>
      <c r="AI39" s="1971"/>
      <c r="AJ39" s="1971"/>
      <c r="AK39" s="1971"/>
      <c r="AL39" s="1971"/>
      <c r="AM39" s="1971"/>
      <c r="AN39" s="1971"/>
      <c r="AO39" s="1971"/>
      <c r="AP39" s="1971"/>
      <c r="AQ39" s="1971"/>
      <c r="AR39" s="1971"/>
      <c r="AS39" s="1971"/>
      <c r="AT39" s="1971"/>
      <c r="AU39" s="1971" t="s">
        <v>514</v>
      </c>
    </row>
    <row customHeight="1" ht="14.25">
      <c r="Q40" s="279"/>
      <c r="R40" s="377"/>
      <c r="S40" s="2125" t="s">
        <v>89</v>
      </c>
      <c r="T40" s="2062" t="s">
        <v>687</v>
      </c>
      <c r="U40" s="289"/>
      <c r="V40" s="2127"/>
      <c r="W40" s="2127"/>
      <c r="X40" s="2127"/>
      <c r="Y40" s="2127"/>
      <c r="Z40" s="2128"/>
      <c r="AA40" s="2189" t="s">
        <v>642</v>
      </c>
      <c r="AB40" s="2173" t="s">
        <v>688</v>
      </c>
      <c r="AC40" s="2146"/>
      <c r="AD40" s="2146"/>
      <c r="AE40" s="2174"/>
      <c r="AF40" s="2146" t="s">
        <v>689</v>
      </c>
      <c r="AG40" s="2146"/>
      <c r="AH40" s="2146"/>
      <c r="AI40" s="2174"/>
      <c r="AJ40" s="2173" t="s">
        <v>690</v>
      </c>
      <c r="AK40" s="2146"/>
      <c r="AL40" s="2146"/>
      <c r="AM40" s="2174"/>
      <c r="AN40" s="2173" t="s">
        <v>641</v>
      </c>
      <c r="AO40" s="2146"/>
      <c r="AP40" s="2127"/>
      <c r="AQ40" s="2127"/>
      <c r="AR40" s="2128"/>
      <c r="AS40" s="2129" t="s">
        <v>642</v>
      </c>
      <c r="AT40" s="2132" t="s">
        <v>644</v>
      </c>
      <c r="AU40" s="1971"/>
    </row>
    <row customHeight="1" ht="33.75">
      <c r="Q41" s="279"/>
      <c r="R41" s="377"/>
      <c r="S41" s="2125"/>
      <c r="T41" s="2062"/>
      <c r="U41" s="1038"/>
      <c r="V41" s="2029" t="s">
        <v>691</v>
      </c>
      <c r="W41" s="2030"/>
      <c r="X41" s="2144" t="s">
        <v>648</v>
      </c>
      <c r="Y41" s="2162"/>
      <c r="Z41" s="2163"/>
      <c r="AA41" s="2190"/>
      <c r="AB41" s="2175"/>
      <c r="AC41" s="2176"/>
      <c r="AD41" s="2176"/>
      <c r="AE41" s="2188"/>
      <c r="AF41" s="2176"/>
      <c r="AG41" s="2176"/>
      <c r="AH41" s="2176"/>
      <c r="AI41" s="2188"/>
      <c r="AJ41" s="2175"/>
      <c r="AK41" s="2176"/>
      <c r="AL41" s="2176"/>
      <c r="AM41" s="2176"/>
      <c r="AN41" s="1971" t="s">
        <v>692</v>
      </c>
      <c r="AO41" s="1971"/>
      <c r="AP41" s="2162" t="s">
        <v>648</v>
      </c>
      <c r="AQ41" s="2162"/>
      <c r="AR41" s="2163"/>
      <c r="AS41" s="2130"/>
      <c r="AT41" s="2133"/>
      <c r="AU41" s="1971"/>
    </row>
    <row customHeight="1" ht="14.25">
      <c r="Q42" s="279"/>
      <c r="R42" s="377"/>
      <c r="S42" s="2125"/>
      <c r="T42" s="2062"/>
      <c r="U42" s="1038"/>
      <c r="V42" s="2037"/>
      <c r="W42" s="2038"/>
      <c r="X42" s="2145"/>
      <c r="Y42" s="2164"/>
      <c r="Z42" s="2165"/>
      <c r="AA42" s="2190"/>
      <c r="AB42" s="2175"/>
      <c r="AC42" s="2176"/>
      <c r="AD42" s="2176"/>
      <c r="AE42" s="2188"/>
      <c r="AF42" s="2176"/>
      <c r="AG42" s="2176"/>
      <c r="AH42" s="2176"/>
      <c r="AI42" s="2188"/>
      <c r="AJ42" s="2175"/>
      <c r="AK42" s="2176"/>
      <c r="AL42" s="2176"/>
      <c r="AM42" s="2176"/>
      <c r="AN42" s="2192"/>
      <c r="AO42" s="2192"/>
      <c r="AP42" s="2164"/>
      <c r="AQ42" s="2164"/>
      <c r="AR42" s="2165"/>
      <c r="AS42" s="2130"/>
      <c r="AT42" s="2133"/>
      <c r="AU42" s="1971"/>
    </row>
    <row customHeight="1" ht="14.25">
      <c r="A43" s="1400"/>
      <c r="B43" s="1400" t="s">
        <v>216</v>
      </c>
      <c r="C43" s="1400" t="s">
        <v>217</v>
      </c>
      <c r="D43" s="1400" t="s">
        <v>218</v>
      </c>
      <c r="E43" s="1394" t="s">
        <v>649</v>
      </c>
      <c r="F43" s="1394" t="s">
        <v>650</v>
      </c>
      <c r="G43" s="1394" t="s">
        <v>651</v>
      </c>
      <c r="H43" s="1394" t="s">
        <v>652</v>
      </c>
      <c r="I43" s="1394" t="s">
        <v>653</v>
      </c>
      <c r="J43" s="1394" t="s">
        <v>654</v>
      </c>
      <c r="K43" s="1394" t="s">
        <v>655</v>
      </c>
      <c r="L43" s="1394" t="s">
        <v>630</v>
      </c>
      <c r="Q43" s="279"/>
      <c r="R43" s="377"/>
      <c r="S43" s="2125"/>
      <c r="T43" s="2062"/>
      <c r="U43" s="290"/>
      <c r="V43" s="1360" t="s">
        <v>693</v>
      </c>
      <c r="W43" s="1360" t="s">
        <v>694</v>
      </c>
      <c r="X43" s="1368" t="s">
        <v>658</v>
      </c>
      <c r="Y43" s="2121" t="s">
        <v>659</v>
      </c>
      <c r="Z43" s="2122"/>
      <c r="AA43" s="2191"/>
      <c r="AB43" s="2177"/>
      <c r="AC43" s="2178"/>
      <c r="AD43" s="2178"/>
      <c r="AE43" s="2179"/>
      <c r="AF43" s="2178"/>
      <c r="AG43" s="2178"/>
      <c r="AH43" s="2178"/>
      <c r="AI43" s="2179"/>
      <c r="AJ43" s="2177"/>
      <c r="AK43" s="2178"/>
      <c r="AL43" s="2178"/>
      <c r="AM43" s="2179"/>
      <c r="AN43" s="1903" t="s">
        <v>693</v>
      </c>
      <c r="AO43" s="1903" t="s">
        <v>694</v>
      </c>
      <c r="AP43" s="1368" t="s">
        <v>658</v>
      </c>
      <c r="AQ43" s="2121" t="s">
        <v>659</v>
      </c>
      <c r="AR43" s="2122"/>
      <c r="AS43" s="2131"/>
      <c r="AT43" s="2134"/>
      <c r="AU43" s="1971"/>
    </row>
    <row s="2611" customFormat="1" customHeight="1" ht="11.25" hidden="1">
      <c r="A44" s="1400"/>
      <c r="B44" s="1400"/>
      <c r="C44" s="1400"/>
      <c r="D44" s="1400"/>
      <c r="E44" s="1400"/>
      <c r="F44" s="1400"/>
      <c r="G44" s="1400"/>
      <c r="H44" s="1400"/>
      <c r="I44" s="1400"/>
      <c r="J44" s="1400"/>
      <c r="K44" s="1400"/>
      <c r="L44" s="1394"/>
      <c r="M44" s="1392"/>
      <c r="N44" s="1392"/>
      <c r="O44" s="1392"/>
      <c r="P44" s="516"/>
      <c r="Q44" s="1280"/>
      <c r="R44" s="1280">
        <v>1</v>
      </c>
      <c r="S44" s="1307" t="s">
        <v>193</v>
      </c>
      <c r="T44" s="1281" t="s">
        <v>104</v>
      </c>
      <c r="U44" s="1263" t="str">
        <f>OFFSET(U44,0,-1)</f>
        <v>2</v>
      </c>
      <c r="V44" s="1365">
        <f>OFFSET(V44,0,-1)+1</f>
        <v>3</v>
      </c>
      <c r="W44" s="1365">
        <f>OFFSET(W44,0,-1)+1</f>
        <v>4</v>
      </c>
      <c r="X44" s="1365">
        <f>OFFSET(X44,0,-1)+1</f>
        <v>5</v>
      </c>
      <c r="Y44" s="2123">
        <f>OFFSET(Y44,0,-1)+1</f>
        <v>6</v>
      </c>
      <c r="Z44" s="2123"/>
      <c r="AA44" s="1365">
        <f>OFFSET(AA44,0,-2)+1</f>
        <v>7</v>
      </c>
      <c r="AB44" s="1371">
        <f>OFFSET(AB44,0,-1)+1</f>
        <v>8</v>
      </c>
      <c r="AC44" s="1371"/>
      <c r="AD44" s="1371"/>
      <c r="AE44" s="1371"/>
      <c r="AF44" s="1365"/>
      <c r="AG44" s="1365"/>
      <c r="AH44" s="1365"/>
      <c r="AI44" s="1365"/>
      <c r="AJ44" s="1365"/>
      <c r="AK44" s="1365"/>
      <c r="AL44" s="1365"/>
      <c r="AM44" s="1365"/>
      <c r="AN44" s="1365">
        <f>OFFSET(AN44,0,-1)+1</f>
        <v>1</v>
      </c>
      <c r="AO44" s="1365">
        <f>OFFSET(AO44,0,-1)+1</f>
        <v>2</v>
      </c>
      <c r="AP44" s="1365">
        <f>OFFSET(AP44,0,-1)+1</f>
        <v>3</v>
      </c>
      <c r="AQ44" s="2123">
        <f>OFFSET(AQ44,0,-1)+1</f>
        <v>4</v>
      </c>
      <c r="AR44" s="2123"/>
      <c r="AS44" s="1365">
        <f>OFFSET(AS44,0,-2)+1</f>
        <v>5</v>
      </c>
      <c r="AT44" s="1263">
        <f>OFFSET(AT44,0,-1)</f>
        <v>5</v>
      </c>
      <c r="AU44" s="1365">
        <f>OFFSET(AU44,0,-1)+1</f>
        <v>6</v>
      </c>
      <c r="AV44" s="517"/>
      <c r="AW44" s="517"/>
      <c r="AX44" s="517"/>
      <c r="AY44" s="517"/>
      <c r="AZ44" s="517"/>
    </row>
    <row customHeight="1" ht="102">
      <c r="A45" s="1393" t="s">
        <v>425</v>
      </c>
      <c r="B45" s="1393"/>
      <c r="C45" s="1393"/>
      <c r="D45" s="1393"/>
      <c r="E45" s="2107">
        <v>1</v>
      </c>
      <c r="F45" s="1393"/>
      <c r="G45" s="1393"/>
      <c r="H45" s="1393"/>
      <c r="I45" s="1393"/>
      <c r="J45" s="1393"/>
      <c r="K45" s="1393"/>
      <c r="L45" s="1394"/>
      <c r="M45" s="1395"/>
      <c r="N45" s="1395"/>
      <c r="O45" s="1395"/>
      <c r="P45" s="1439"/>
      <c r="Q45" s="879"/>
      <c r="R45" s="351"/>
      <c r="S45" s="1366">
        <f>INDEX(PT_DIFFERENTIATION_NUM_NTAR,MATCH(A45,PT_DIFFERENTIATION_NTAR_ID,0))</f>
        <v>0</v>
      </c>
      <c r="T45" s="286" t="s">
        <v>204</v>
      </c>
      <c r="U45" s="288"/>
      <c r="V45" s="2102"/>
      <c r="W45" s="2102"/>
      <c r="X45" s="2102"/>
      <c r="Y45" s="2102"/>
      <c r="Z45" s="2102"/>
      <c r="AA45" s="2103"/>
      <c r="AB45" s="2101" t="str">
        <f>INDEX(PT_DIFFERENTIATION_NTAR,MATCH(A45,PT_DIFFERENTIATION_NTAR_ID,0))</f>
        <v/>
      </c>
      <c r="AC45" s="2102"/>
      <c r="AD45" s="2102"/>
      <c r="AE45" s="2102"/>
      <c r="AF45" s="2102"/>
      <c r="AG45" s="2102"/>
      <c r="AH45" s="2102"/>
      <c r="AI45" s="2102"/>
      <c r="AJ45" s="2102"/>
      <c r="AK45" s="2102"/>
      <c r="AL45" s="2102"/>
      <c r="AM45" s="2102"/>
      <c r="AN45" s="2102"/>
      <c r="AO45" s="2102"/>
      <c r="AP45" s="2102"/>
      <c r="AQ45" s="2102"/>
      <c r="AR45" s="2102"/>
      <c r="AS45" s="2102"/>
      <c r="AT45" s="2103"/>
      <c r="AU45" s="12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506"/>
      <c r="AX45" s="506" t="str">
        <f>IF(T45="","",T45)</f>
        <v>Наименование тарифа</v>
      </c>
      <c r="AY45" s="506"/>
      <c r="AZ45" s="506"/>
    </row>
    <row customHeight="1" ht="21">
      <c r="A46" s="1393" t="s">
        <v>425</v>
      </c>
      <c r="B46" s="1393" t="s">
        <v>426</v>
      </c>
      <c r="C46" s="1393"/>
      <c r="D46" s="1393"/>
      <c r="E46" s="2108"/>
      <c r="F46" s="2107">
        <v>1</v>
      </c>
      <c r="G46" s="1393"/>
      <c r="H46" s="1393"/>
      <c r="I46" s="1393"/>
      <c r="J46" s="1393"/>
      <c r="K46" s="1393"/>
      <c r="L46" s="1394"/>
      <c r="M46" s="1395"/>
      <c r="N46" s="1395"/>
      <c r="O46" s="1395"/>
      <c r="P46" s="1440"/>
      <c r="Q46" s="1441"/>
      <c r="R46" s="349"/>
      <c r="S46" s="1366" t="str">
        <f>INDEX(PT_DIFFERENTIATION_NUM_TER,MATCH(B46,PT_DIFFERENTIATION_TER_ID,0))</f>
        <v>.</v>
      </c>
      <c r="T46" s="298" t="s">
        <v>612</v>
      </c>
      <c r="U46" s="288"/>
      <c r="V46" s="2102"/>
      <c r="W46" s="2102"/>
      <c r="X46" s="2102"/>
      <c r="Y46" s="2102"/>
      <c r="Z46" s="2102"/>
      <c r="AA46" s="2103"/>
      <c r="AB46" s="2101" t="str">
        <f>INDEX(PT_DIFFERENTIATION_TER,MATCH(B46,PT_DIFFERENTIATION_TER_ID,0))</f>
        <v/>
      </c>
      <c r="AC46" s="2102"/>
      <c r="AD46" s="2102"/>
      <c r="AE46" s="2102"/>
      <c r="AF46" s="2102"/>
      <c r="AG46" s="2102"/>
      <c r="AH46" s="2102"/>
      <c r="AI46" s="2102"/>
      <c r="AJ46" s="2102"/>
      <c r="AK46" s="2102"/>
      <c r="AL46" s="2102"/>
      <c r="AM46" s="2102"/>
      <c r="AN46" s="2102"/>
      <c r="AO46" s="2102"/>
      <c r="AP46" s="2102"/>
      <c r="AQ46" s="2102"/>
      <c r="AR46" s="2102"/>
      <c r="AS46" s="2102"/>
      <c r="AT46" s="2103"/>
      <c r="AU46" s="1286" t="s">
        <v>613</v>
      </c>
      <c r="AW46" s="506"/>
      <c r="AX46" s="506" t="str">
        <f>IF(T46="","",T46)</f>
        <v>Территория действия тарифа</v>
      </c>
      <c r="AY46" s="506"/>
      <c r="AZ46" s="506"/>
    </row>
    <row customHeight="1" ht="23.25">
      <c r="A47" s="1393" t="s">
        <v>425</v>
      </c>
      <c r="B47" s="1393" t="s">
        <v>426</v>
      </c>
      <c r="C47" s="1393" t="s">
        <v>427</v>
      </c>
      <c r="D47" s="1393"/>
      <c r="E47" s="2108"/>
      <c r="F47" s="2108"/>
      <c r="G47" s="2107">
        <v>1</v>
      </c>
      <c r="H47" s="1393"/>
      <c r="I47" s="1393"/>
      <c r="J47" s="1393"/>
      <c r="K47" s="1393"/>
      <c r="L47" s="1394"/>
      <c r="M47" s="1395"/>
      <c r="N47" s="1395"/>
      <c r="O47" s="1395"/>
      <c r="P47" s="1442"/>
      <c r="Q47" s="1441"/>
      <c r="R47" s="349"/>
      <c r="S47" s="1366" t="str">
        <f>INDEX(PT_DIFFERENTIATION_NUM_CS,MATCH(C47,PT_DIFFERENTIATION_CS_ID,0))</f>
        <v>..</v>
      </c>
      <c r="T47" s="299" t="s">
        <v>614</v>
      </c>
      <c r="U47" s="288"/>
      <c r="V47" s="2102"/>
      <c r="W47" s="2102"/>
      <c r="X47" s="2102"/>
      <c r="Y47" s="2102"/>
      <c r="Z47" s="2102"/>
      <c r="AA47" s="2103"/>
      <c r="AB47" s="2101" t="str">
        <f>INDEX(PT_DIFFERENTIATION_CS,MATCH(C47,PT_DIFFERENTIATION_CS_ID,0))</f>
        <v/>
      </c>
      <c r="AC47" s="2102"/>
      <c r="AD47" s="2102"/>
      <c r="AE47" s="2102"/>
      <c r="AF47" s="2102"/>
      <c r="AG47" s="2102"/>
      <c r="AH47" s="2102"/>
      <c r="AI47" s="2102"/>
      <c r="AJ47" s="2102"/>
      <c r="AK47" s="2102"/>
      <c r="AL47" s="2102"/>
      <c r="AM47" s="2102"/>
      <c r="AN47" s="2102"/>
      <c r="AO47" s="2102"/>
      <c r="AP47" s="2102"/>
      <c r="AQ47" s="2102"/>
      <c r="AR47" s="2102"/>
      <c r="AS47" s="2102"/>
      <c r="AT47" s="2103"/>
      <c r="AU47" s="1286" t="s">
        <v>615</v>
      </c>
      <c r="AW47" s="506"/>
      <c r="AX47" s="506" t="str">
        <f>IF(T47="","",T47)</f>
        <v>Наименование системы теплоснабжения </v>
      </c>
      <c r="AY47" s="506"/>
      <c r="AZ47" s="506"/>
    </row>
    <row customHeight="1" ht="21">
      <c r="A48" s="1393" t="s">
        <v>425</v>
      </c>
      <c r="B48" s="1393" t="s">
        <v>426</v>
      </c>
      <c r="C48" s="1393" t="s">
        <v>427</v>
      </c>
      <c r="D48" s="1393" t="s">
        <v>428</v>
      </c>
      <c r="E48" s="2108"/>
      <c r="F48" s="2108"/>
      <c r="G48" s="2108"/>
      <c r="H48" s="2107">
        <v>1</v>
      </c>
      <c r="I48" s="1393"/>
      <c r="J48" s="1393"/>
      <c r="K48" s="1393"/>
      <c r="L48" s="1394"/>
      <c r="M48" s="1395"/>
      <c r="N48" s="1395"/>
      <c r="O48" s="1395"/>
      <c r="P48" s="1442"/>
      <c r="Q48" s="1441"/>
      <c r="R48" s="349"/>
      <c r="S48" s="1366" t="str">
        <f>INDEX(PT_DIFFERENTIATION_NUM_IST_TE,MATCH(D48,PT_DIFFERENTIATION_IST_TE_ID,0))</f>
        <v>...</v>
      </c>
      <c r="T48" s="300" t="s">
        <v>616</v>
      </c>
      <c r="U48" s="288"/>
      <c r="V48" s="2102"/>
      <c r="W48" s="2102"/>
      <c r="X48" s="2102"/>
      <c r="Y48" s="2102"/>
      <c r="Z48" s="2102"/>
      <c r="AA48" s="2103"/>
      <c r="AB48" s="2101" t="str">
        <f>INDEX(PT_DIFFERENTIATION_IST_TE,MATCH(D48,PT_DIFFERENTIATION_IST_TE_ID,0))</f>
        <v/>
      </c>
      <c r="AC48" s="2102"/>
      <c r="AD48" s="2102"/>
      <c r="AE48" s="2102"/>
      <c r="AF48" s="2102"/>
      <c r="AG48" s="2102"/>
      <c r="AH48" s="2102"/>
      <c r="AI48" s="2102"/>
      <c r="AJ48" s="2102"/>
      <c r="AK48" s="2102"/>
      <c r="AL48" s="2102"/>
      <c r="AM48" s="2102"/>
      <c r="AN48" s="2102"/>
      <c r="AO48" s="2102"/>
      <c r="AP48" s="2102"/>
      <c r="AQ48" s="2102"/>
      <c r="AR48" s="2102"/>
      <c r="AS48" s="2102"/>
      <c r="AT48" s="2103"/>
      <c r="AU48" s="1286" t="s">
        <v>617</v>
      </c>
      <c r="AW48" s="506"/>
      <c r="AX48" s="506" t="str">
        <f>IF(T48="","",T48)</f>
        <v>Источник тепловой энергии  </v>
      </c>
      <c r="AY48" s="506"/>
      <c r="AZ48" s="506"/>
    </row>
    <row s="2612" customFormat="1" customHeight="1" ht="0">
      <c r="A49" s="1373" t="s">
        <v>425</v>
      </c>
      <c r="B49" s="1373" t="s">
        <v>426</v>
      </c>
      <c r="C49" s="1373" t="s">
        <v>427</v>
      </c>
      <c r="D49" s="1373" t="s">
        <v>428</v>
      </c>
      <c r="E49" s="2108"/>
      <c r="F49" s="2108"/>
      <c r="G49" s="2108"/>
      <c r="H49" s="2108"/>
      <c r="I49" s="2109" t="str">
        <f>S48&amp;".1"</f>
        <v>....1</v>
      </c>
      <c r="J49" s="1373"/>
      <c r="K49" s="1373"/>
      <c r="L49" s="1376" t="s">
        <v>618</v>
      </c>
      <c r="M49" s="516"/>
      <c r="N49" s="516"/>
      <c r="O49" s="516"/>
      <c r="P49" s="2111">
        <v>1</v>
      </c>
      <c r="Q49" s="1361"/>
      <c r="R49" s="352"/>
      <c r="S49" s="1049"/>
      <c r="T49" s="1413"/>
      <c r="U49" s="1414"/>
      <c r="V49" s="2148"/>
      <c r="W49" s="2148"/>
      <c r="X49" s="2148"/>
      <c r="Y49" s="2148"/>
      <c r="Z49" s="2148"/>
      <c r="AA49" s="2149"/>
      <c r="AB49" s="2147"/>
      <c r="AC49" s="2148"/>
      <c r="AD49" s="2148"/>
      <c r="AE49" s="2148"/>
      <c r="AF49" s="2148"/>
      <c r="AG49" s="2148"/>
      <c r="AH49" s="2148"/>
      <c r="AI49" s="2148"/>
      <c r="AJ49" s="2148"/>
      <c r="AK49" s="2148"/>
      <c r="AL49" s="2148"/>
      <c r="AM49" s="2148"/>
      <c r="AN49" s="2148"/>
      <c r="AO49" s="2148"/>
      <c r="AP49" s="2148"/>
      <c r="AQ49" s="2148"/>
      <c r="AR49" s="2148"/>
      <c r="AS49" s="2148"/>
      <c r="AT49" s="2149"/>
      <c r="AU49" s="1415"/>
      <c r="AW49" s="506"/>
      <c r="AX49" s="506" t="str">
        <f>IF(T49="","",T49)</f>
        <v/>
      </c>
      <c r="AY49" s="506"/>
      <c r="AZ49" s="506"/>
    </row>
    <row s="2612" customFormat="1" customHeight="1" ht="0">
      <c r="A50" s="1373" t="s">
        <v>425</v>
      </c>
      <c r="B50" s="1373" t="s">
        <v>426</v>
      </c>
      <c r="C50" s="1373" t="s">
        <v>427</v>
      </c>
      <c r="D50" s="1373" t="s">
        <v>428</v>
      </c>
      <c r="E50" s="2108"/>
      <c r="F50" s="2108"/>
      <c r="G50" s="2108"/>
      <c r="H50" s="2108"/>
      <c r="I50" s="2110"/>
      <c r="J50" s="2109" t="str">
        <f>S48&amp;".1"</f>
        <v>....1</v>
      </c>
      <c r="K50" s="1373"/>
      <c r="L50" s="1376"/>
      <c r="M50" s="516"/>
      <c r="N50" s="516"/>
      <c r="O50" s="516"/>
      <c r="P50" s="2111"/>
      <c r="Q50" s="2111">
        <v>1</v>
      </c>
      <c r="R50" s="353"/>
      <c r="S50" s="1049"/>
      <c r="T50" s="1429"/>
      <c r="U50" s="1414"/>
      <c r="V50" s="2148"/>
      <c r="W50" s="2148"/>
      <c r="X50" s="2148"/>
      <c r="Y50" s="2148"/>
      <c r="Z50" s="2148"/>
      <c r="AA50" s="2149"/>
      <c r="AB50" s="2147"/>
      <c r="AC50" s="2148"/>
      <c r="AD50" s="2148"/>
      <c r="AE50" s="2148"/>
      <c r="AF50" s="2148"/>
      <c r="AG50" s="2148"/>
      <c r="AH50" s="2148"/>
      <c r="AI50" s="2148"/>
      <c r="AJ50" s="2148"/>
      <c r="AK50" s="2148"/>
      <c r="AL50" s="2148"/>
      <c r="AM50" s="2148"/>
      <c r="AN50" s="2148"/>
      <c r="AO50" s="2148"/>
      <c r="AP50" s="2148"/>
      <c r="AQ50" s="2148"/>
      <c r="AR50" s="2148"/>
      <c r="AS50" s="2148"/>
      <c r="AT50" s="2149"/>
      <c r="AU50" s="1415"/>
      <c r="AW50" s="506"/>
      <c r="AX50" s="506" t="str">
        <f>IF(T50="","",T50)</f>
        <v/>
      </c>
      <c r="AY50" s="506"/>
      <c r="AZ50" s="506"/>
    </row>
    <row customHeight="1" ht="21">
      <c r="A51" s="1393" t="s">
        <v>425</v>
      </c>
      <c r="B51" s="1393" t="s">
        <v>426</v>
      </c>
      <c r="C51" s="1393" t="s">
        <v>427</v>
      </c>
      <c r="D51" s="1393" t="s">
        <v>428</v>
      </c>
      <c r="E51" s="2108"/>
      <c r="F51" s="2108"/>
      <c r="G51" s="2108"/>
      <c r="H51" s="2108"/>
      <c r="I51" s="2110"/>
      <c r="J51" s="2110"/>
      <c r="K51" s="2109" t="str">
        <f>S48&amp;".1"</f>
        <v>....1</v>
      </c>
      <c r="L51" s="1394"/>
      <c r="P51" s="2111"/>
      <c r="Q51" s="2111"/>
      <c r="R51" s="353">
        <v>1</v>
      </c>
      <c r="S51" s="2184" t="str">
        <f>$K51</f>
        <v>....1</v>
      </c>
      <c r="T51" s="2181"/>
      <c r="U51" s="288"/>
      <c r="V51" s="757"/>
      <c r="W51" s="1285"/>
      <c r="X51" s="1774"/>
      <c r="Y51" s="1489" t="s">
        <v>63</v>
      </c>
      <c r="Z51" s="1774"/>
      <c r="AA51" s="1489" t="s">
        <v>63</v>
      </c>
      <c r="AB51" s="1981" t="s">
        <v>58</v>
      </c>
      <c r="AC51" s="2180"/>
      <c r="AD51" s="2057">
        <v>1</v>
      </c>
      <c r="AE51" s="2172" t="s">
        <v>24</v>
      </c>
      <c r="AF51" s="1981" t="s">
        <v>58</v>
      </c>
      <c r="AG51" s="2180"/>
      <c r="AH51" s="2057">
        <v>1</v>
      </c>
      <c r="AI51" s="2172" t="s">
        <v>24</v>
      </c>
      <c r="AJ51" s="1981" t="s">
        <v>58</v>
      </c>
      <c r="AK51" s="301"/>
      <c r="AL51" s="1367">
        <v>1</v>
      </c>
      <c r="AM51" s="1432"/>
      <c r="AN51" s="757"/>
      <c r="AO51" s="1285"/>
      <c r="AP51" s="1774"/>
      <c r="AQ51" s="1489" t="s">
        <v>63</v>
      </c>
      <c r="AR51" s="1774"/>
      <c r="AS51" s="1489" t="s">
        <v>63</v>
      </c>
      <c r="AT51" s="1378"/>
      <c r="AU51" s="2137" t="s">
        <v>695</v>
      </c>
      <c r="AV51" s="517">
        <f>STRCHECKDATE(V54:AT54)</f>
      </c>
      <c r="AW51" s="506"/>
      <c r="AX51" s="506" t="str">
        <f>IF(T51="","",T51)</f>
        <v/>
      </c>
      <c r="AY51" s="506"/>
      <c r="AZ51" s="506"/>
    </row>
    <row customHeight="1" ht="11.25">
      <c r="A52" s="1393" t="s">
        <v>425</v>
      </c>
      <c r="B52" s="1393"/>
      <c r="C52" s="1393"/>
      <c r="D52" s="1393"/>
      <c r="E52" s="2108"/>
      <c r="F52" s="2108"/>
      <c r="G52" s="2108"/>
      <c r="H52" s="2108"/>
      <c r="I52" s="2110"/>
      <c r="J52" s="2110"/>
      <c r="K52" s="2109"/>
      <c r="L52" s="1394"/>
      <c r="P52" s="2111"/>
      <c r="Q52" s="2111"/>
      <c r="R52" s="353"/>
      <c r="S52" s="2185"/>
      <c r="T52" s="2182"/>
      <c r="U52" s="288"/>
      <c r="V52" s="1423"/>
      <c r="W52" s="1526"/>
      <c r="X52" s="1423"/>
      <c r="Y52" s="1423"/>
      <c r="Z52" s="1423"/>
      <c r="AA52" s="1423"/>
      <c r="AB52" s="1981"/>
      <c r="AC52" s="2180"/>
      <c r="AD52" s="2057"/>
      <c r="AE52" s="2172"/>
      <c r="AF52" s="1981"/>
      <c r="AG52" s="2180"/>
      <c r="AH52" s="2057"/>
      <c r="AI52" s="2172"/>
      <c r="AJ52" s="1981"/>
      <c r="AK52" s="308"/>
      <c r="AL52" s="422"/>
      <c r="AM52" s="421" t="s">
        <v>679</v>
      </c>
      <c r="AN52" s="1423"/>
      <c r="AO52" s="1526"/>
      <c r="AP52" s="1423"/>
      <c r="AQ52" s="1423"/>
      <c r="AR52" s="1423"/>
      <c r="AS52" s="1423"/>
      <c r="AT52" s="1420"/>
      <c r="AU52" s="2138"/>
      <c r="AW52" s="506"/>
      <c r="AX52" s="506"/>
      <c r="AY52" s="506"/>
      <c r="AZ52" s="506"/>
    </row>
    <row customHeight="1" ht="11.25">
      <c r="A53" s="1393" t="s">
        <v>425</v>
      </c>
      <c r="B53" s="1393"/>
      <c r="C53" s="1393"/>
      <c r="D53" s="1393"/>
      <c r="E53" s="2108"/>
      <c r="F53" s="2108"/>
      <c r="G53" s="2108"/>
      <c r="H53" s="2108"/>
      <c r="I53" s="2110"/>
      <c r="J53" s="2110"/>
      <c r="K53" s="2109"/>
      <c r="L53" s="1394"/>
      <c r="P53" s="2111"/>
      <c r="Q53" s="2111"/>
      <c r="R53" s="353"/>
      <c r="S53" s="2185"/>
      <c r="T53" s="2182"/>
      <c r="U53" s="288"/>
      <c r="V53" s="1423"/>
      <c r="W53" s="1526"/>
      <c r="X53" s="1423"/>
      <c r="Y53" s="1423"/>
      <c r="Z53" s="1423"/>
      <c r="AA53" s="1423"/>
      <c r="AB53" s="1981"/>
      <c r="AC53" s="2180"/>
      <c r="AD53" s="2057"/>
      <c r="AE53" s="2172"/>
      <c r="AF53" s="1981"/>
      <c r="AG53" s="282"/>
      <c r="AH53" s="421"/>
      <c r="AI53" s="421" t="s">
        <v>680</v>
      </c>
      <c r="AJ53" s="1423"/>
      <c r="AK53" s="1423"/>
      <c r="AL53" s="1423"/>
      <c r="AM53" s="1423"/>
      <c r="AN53" s="1423"/>
      <c r="AO53" s="1526"/>
      <c r="AP53" s="1423"/>
      <c r="AQ53" s="1423"/>
      <c r="AR53" s="1423"/>
      <c r="AS53" s="1423"/>
      <c r="AT53" s="1420"/>
      <c r="AU53" s="2138"/>
      <c r="AW53" s="506"/>
      <c r="AX53" s="506"/>
      <c r="AY53" s="506"/>
      <c r="AZ53" s="506"/>
    </row>
    <row customHeight="1" ht="11.25">
      <c r="A54" s="1393" t="s">
        <v>425</v>
      </c>
      <c r="B54" s="1393" t="s">
        <v>426</v>
      </c>
      <c r="C54" s="1393" t="s">
        <v>427</v>
      </c>
      <c r="D54" s="1393" t="s">
        <v>428</v>
      </c>
      <c r="E54" s="2108"/>
      <c r="F54" s="2108"/>
      <c r="G54" s="2108"/>
      <c r="H54" s="2108"/>
      <c r="I54" s="2110"/>
      <c r="J54" s="2110"/>
      <c r="K54" s="2109"/>
      <c r="L54" s="1394"/>
      <c r="P54" s="2111"/>
      <c r="Q54" s="2111"/>
      <c r="R54" s="353"/>
      <c r="S54" s="2186"/>
      <c r="T54" s="2183"/>
      <c r="U54" s="288"/>
      <c r="V54" s="1423"/>
      <c r="W54" s="1424" t="str">
        <f>X51&amp;"-"&amp;Z51</f>
        <v>-</v>
      </c>
      <c r="X54" s="1423"/>
      <c r="Y54" s="1423"/>
      <c r="Z54" s="1423"/>
      <c r="AA54" s="1423"/>
      <c r="AB54" s="1981"/>
      <c r="AC54" s="302"/>
      <c r="AD54" s="304"/>
      <c r="AE54" s="421" t="s">
        <v>681</v>
      </c>
      <c r="AF54" s="1423"/>
      <c r="AG54" s="1423"/>
      <c r="AH54" s="1423"/>
      <c r="AI54" s="1423"/>
      <c r="AJ54" s="1423"/>
      <c r="AK54" s="1423"/>
      <c r="AL54" s="1423"/>
      <c r="AM54" s="1423"/>
      <c r="AN54" s="1423"/>
      <c r="AO54" s="1424" t="str">
        <f>AP51&amp;"-"&amp;AR51</f>
        <v>-</v>
      </c>
      <c r="AP54" s="1423"/>
      <c r="AQ54" s="1423"/>
      <c r="AR54" s="1423"/>
      <c r="AS54" s="1423"/>
      <c r="AT54" s="1379"/>
      <c r="AU54" s="2138"/>
      <c r="AW54" s="506"/>
      <c r="AX54" s="506" t="str">
        <f>IF(T54="","",T54)</f>
        <v/>
      </c>
      <c r="AY54" s="506"/>
      <c r="AZ54" s="506"/>
    </row>
    <row customHeight="1" ht="11.25">
      <c r="A55" s="1393" t="s">
        <v>425</v>
      </c>
      <c r="B55" s="1393" t="s">
        <v>426</v>
      </c>
      <c r="C55" s="1393" t="s">
        <v>427</v>
      </c>
      <c r="D55" s="1393" t="s">
        <v>428</v>
      </c>
      <c r="E55" s="2108"/>
      <c r="F55" s="2108"/>
      <c r="G55" s="2108"/>
      <c r="H55" s="2108"/>
      <c r="I55" s="2110"/>
      <c r="J55" s="2109"/>
      <c r="K55" s="1393"/>
      <c r="L55" s="1394"/>
      <c r="P55" s="2111"/>
      <c r="Q55" s="2111"/>
      <c r="R55" s="352"/>
      <c r="S55" s="1308"/>
      <c r="T55" s="275" t="s">
        <v>682</v>
      </c>
      <c r="U55" s="367"/>
      <c r="V55" s="367"/>
      <c r="W55" s="367"/>
      <c r="X55" s="367"/>
      <c r="Y55" s="367"/>
      <c r="Z55" s="367"/>
      <c r="AA55" s="319"/>
      <c r="AB55" s="1535"/>
      <c r="AC55" s="367"/>
      <c r="AD55" s="367"/>
      <c r="AE55" s="367"/>
      <c r="AF55" s="367"/>
      <c r="AG55" s="367"/>
      <c r="AH55" s="367"/>
      <c r="AI55" s="367"/>
      <c r="AJ55" s="367"/>
      <c r="AK55" s="367"/>
      <c r="AL55" s="367"/>
      <c r="AM55" s="367"/>
      <c r="AN55" s="367"/>
      <c r="AO55" s="367"/>
      <c r="AP55" s="367"/>
      <c r="AQ55" s="367"/>
      <c r="AR55" s="367"/>
      <c r="AS55" s="367"/>
      <c r="AT55" s="319"/>
      <c r="AU55" s="2139"/>
      <c r="AW55" s="506"/>
      <c r="AX55" s="506" t="str">
        <f>IF(T55="","",T55)</f>
        <v>Добавить строку</v>
      </c>
      <c r="AY55" s="506"/>
      <c r="AZ55" s="506"/>
    </row>
    <row s="2612" customFormat="1" customHeight="1" ht="0">
      <c r="A56" s="1373" t="s">
        <v>425</v>
      </c>
      <c r="B56" s="1373" t="s">
        <v>426</v>
      </c>
      <c r="C56" s="1373" t="s">
        <v>427</v>
      </c>
      <c r="D56" s="1373" t="s">
        <v>428</v>
      </c>
      <c r="E56" s="2108"/>
      <c r="F56" s="2108"/>
      <c r="G56" s="2108"/>
      <c r="H56" s="2108"/>
      <c r="I56" s="2109"/>
      <c r="J56" s="1373"/>
      <c r="K56" s="1373"/>
      <c r="L56" s="1376"/>
      <c r="M56" s="516"/>
      <c r="N56" s="516"/>
      <c r="O56" s="516"/>
      <c r="P56" s="2111"/>
      <c r="Q56" s="1361"/>
      <c r="R56" s="352"/>
      <c r="S56" s="1416"/>
      <c r="T56" s="1417" t="s">
        <v>627</v>
      </c>
      <c r="U56" s="1418"/>
      <c r="V56" s="1418"/>
      <c r="W56" s="1418"/>
      <c r="X56" s="1418"/>
      <c r="Y56" s="1418"/>
      <c r="Z56" s="1418"/>
      <c r="AA56" s="1418"/>
      <c r="AB56" s="1418"/>
      <c r="AC56" s="1418"/>
      <c r="AD56" s="1418"/>
      <c r="AE56" s="1418"/>
      <c r="AF56" s="1418"/>
      <c r="AG56" s="1418"/>
      <c r="AH56" s="1418"/>
      <c r="AI56" s="1418"/>
      <c r="AJ56" s="1418"/>
      <c r="AK56" s="1418"/>
      <c r="AL56" s="1418"/>
      <c r="AM56" s="1418"/>
      <c r="AN56" s="1418"/>
      <c r="AO56" s="1418"/>
      <c r="AP56" s="1418"/>
      <c r="AQ56" s="1418"/>
      <c r="AR56" s="1418"/>
      <c r="AS56" s="1418"/>
      <c r="AT56" s="1418"/>
      <c r="AU56" s="1419"/>
      <c r="AW56" s="506"/>
      <c r="AX56" s="506" t="str">
        <f>IF(T56="","",T56)</f>
        <v>Добавить группу потребителей</v>
      </c>
      <c r="AY56" s="506"/>
      <c r="AZ56" s="506"/>
    </row>
    <row s="2611" customFormat="1" customHeight="1" ht="0">
      <c r="A57" s="1373" t="s">
        <v>425</v>
      </c>
      <c r="B57" s="1373" t="s">
        <v>426</v>
      </c>
      <c r="C57" s="1373" t="s">
        <v>427</v>
      </c>
      <c r="D57" s="1373" t="s">
        <v>428</v>
      </c>
      <c r="E57" s="2108"/>
      <c r="F57" s="2108"/>
      <c r="G57" s="2108"/>
      <c r="H57" s="2107"/>
      <c r="I57" s="1373"/>
      <c r="J57" s="1373"/>
      <c r="K57" s="1373"/>
      <c r="L57" s="1376"/>
      <c r="M57" s="1345"/>
      <c r="N57" s="1345"/>
      <c r="O57" s="524"/>
      <c r="P57" s="385"/>
      <c r="Q57" s="1374"/>
      <c r="R57" s="1430"/>
      <c r="S57" s="1416"/>
      <c r="T57" s="1417"/>
      <c r="U57" s="1418"/>
      <c r="V57" s="1418"/>
      <c r="W57" s="1418"/>
      <c r="X57" s="1418"/>
      <c r="Y57" s="1418"/>
      <c r="Z57" s="1418"/>
      <c r="AA57" s="1418"/>
      <c r="AB57" s="1418"/>
      <c r="AC57" s="1418"/>
      <c r="AD57" s="1418"/>
      <c r="AE57" s="1418"/>
      <c r="AF57" s="1418"/>
      <c r="AG57" s="1418"/>
      <c r="AH57" s="1418"/>
      <c r="AI57" s="1418"/>
      <c r="AJ57" s="1418"/>
      <c r="AK57" s="1418"/>
      <c r="AL57" s="1418"/>
      <c r="AM57" s="1418"/>
      <c r="AN57" s="1418"/>
      <c r="AO57" s="1418"/>
      <c r="AP57" s="1418"/>
      <c r="AQ57" s="1418"/>
      <c r="AR57" s="1418"/>
      <c r="AS57" s="1418"/>
      <c r="AT57" s="1418"/>
      <c r="AU57" s="1419"/>
      <c r="AV57" s="517"/>
      <c r="AW57" s="506"/>
      <c r="AX57" s="506" t="str">
        <f>IF(T57="","",T57)</f>
        <v/>
      </c>
      <c r="AY57" s="506"/>
      <c r="AZ57" s="506"/>
    </row>
    <row s="3314" customFormat="1" customHeight="1" ht="0">
      <c r="A58" s="1373" t="s">
        <v>425</v>
      </c>
      <c r="B58" s="1373" t="s">
        <v>426</v>
      </c>
      <c r="C58" s="1373" t="s">
        <v>427</v>
      </c>
      <c r="D58" s="1344"/>
      <c r="E58" s="2108"/>
      <c r="F58" s="2108"/>
      <c r="G58" s="2107"/>
      <c r="H58" s="1344"/>
      <c r="I58" s="1344"/>
      <c r="J58" s="1344"/>
      <c r="K58" s="1344"/>
      <c r="L58" s="1369"/>
      <c r="M58" s="1345"/>
      <c r="N58" s="1345"/>
      <c r="P58" s="1346"/>
      <c r="Q58" s="1347"/>
      <c r="R58" s="1346"/>
      <c r="S58" s="1352"/>
      <c r="T58" s="1355" t="s">
        <v>254</v>
      </c>
      <c r="U58" s="1354"/>
      <c r="V58" s="1354"/>
      <c r="W58" s="1354"/>
      <c r="X58" s="1354"/>
      <c r="Y58" s="1354"/>
      <c r="Z58" s="1354"/>
      <c r="AA58" s="1354"/>
      <c r="AB58" s="1354"/>
      <c r="AC58" s="1354"/>
      <c r="AD58" s="1354"/>
      <c r="AE58" s="1354"/>
      <c r="AF58" s="1354"/>
      <c r="AG58" s="1354"/>
      <c r="AH58" s="1354"/>
      <c r="AI58" s="1354"/>
      <c r="AJ58" s="1354"/>
      <c r="AK58" s="1354"/>
      <c r="AL58" s="1354"/>
      <c r="AM58" s="1354"/>
      <c r="AN58" s="1354"/>
      <c r="AO58" s="1354"/>
      <c r="AP58" s="1354"/>
      <c r="AQ58" s="1354"/>
      <c r="AR58" s="1354"/>
      <c r="AS58" s="1354"/>
      <c r="AT58" s="1354"/>
      <c r="AU58" s="1354"/>
      <c r="AW58" s="795"/>
      <c r="AX58" s="795" t="str">
        <f>IF(T58="","",T58)</f>
        <v>Добавить источник для дифференциации</v>
      </c>
      <c r="AY58" s="795"/>
      <c r="AZ58" s="795"/>
    </row>
    <row s="3314" customFormat="1" customHeight="1" ht="0">
      <c r="A59" s="1373" t="s">
        <v>425</v>
      </c>
      <c r="B59" s="1373" t="s">
        <v>426</v>
      </c>
      <c r="C59" s="1344"/>
      <c r="D59" s="1344"/>
      <c r="E59" s="2108"/>
      <c r="F59" s="2107"/>
      <c r="G59" s="1344"/>
      <c r="H59" s="1344"/>
      <c r="I59" s="1344"/>
      <c r="J59" s="1344"/>
      <c r="K59" s="1344"/>
      <c r="L59" s="1369"/>
      <c r="M59" s="1351"/>
      <c r="N59" s="1351"/>
      <c r="P59" s="1346"/>
      <c r="Q59" s="1347"/>
      <c r="R59" s="1346"/>
      <c r="S59" s="1352"/>
      <c r="T59" s="1355" t="s">
        <v>255</v>
      </c>
      <c r="U59" s="1354"/>
      <c r="V59" s="1354"/>
      <c r="W59" s="1354"/>
      <c r="X59" s="1354"/>
      <c r="Y59" s="1354"/>
      <c r="Z59" s="1354"/>
      <c r="AA59" s="1354"/>
      <c r="AB59" s="1354"/>
      <c r="AC59" s="1354"/>
      <c r="AD59" s="1354"/>
      <c r="AE59" s="1354"/>
      <c r="AF59" s="1354"/>
      <c r="AG59" s="1354"/>
      <c r="AH59" s="1354"/>
      <c r="AI59" s="1354"/>
      <c r="AJ59" s="1354"/>
      <c r="AK59" s="1354"/>
      <c r="AL59" s="1354"/>
      <c r="AM59" s="1354"/>
      <c r="AN59" s="1354"/>
      <c r="AO59" s="1354"/>
      <c r="AP59" s="1354"/>
      <c r="AQ59" s="1354"/>
      <c r="AR59" s="1354"/>
      <c r="AS59" s="1354"/>
      <c r="AT59" s="1354"/>
      <c r="AU59" s="1354"/>
      <c r="AW59" s="795"/>
      <c r="AX59" s="795" t="str">
        <f>IF(T59="","",T59)</f>
        <v>Добавить централизованную систему для дифференциации</v>
      </c>
      <c r="AY59" s="795"/>
      <c r="AZ59" s="795"/>
    </row>
    <row s="2612" customFormat="1" customHeight="1" ht="0">
      <c r="A60" s="1373" t="s">
        <v>425</v>
      </c>
      <c r="B60" s="1373"/>
      <c r="C60" s="1373"/>
      <c r="D60" s="1373"/>
      <c r="E60" s="2108"/>
      <c r="F60" s="1373"/>
      <c r="G60" s="1373"/>
      <c r="H60" s="1373"/>
      <c r="I60" s="1373"/>
      <c r="J60" s="1373"/>
      <c r="K60" s="1373"/>
      <c r="L60" s="1376"/>
      <c r="M60" s="1351"/>
      <c r="N60" s="1351"/>
      <c r="O60" s="524"/>
      <c r="P60" s="385"/>
      <c r="Q60" s="1374"/>
      <c r="R60" s="385"/>
      <c r="S60" s="1352"/>
      <c r="T60" s="1355" t="s">
        <v>329</v>
      </c>
      <c r="U60" s="1354"/>
      <c r="V60" s="1354"/>
      <c r="W60" s="1354"/>
      <c r="X60" s="1354"/>
      <c r="Y60" s="1354"/>
      <c r="Z60" s="1354"/>
      <c r="AA60" s="1354"/>
      <c r="AB60" s="1354"/>
      <c r="AC60" s="1354"/>
      <c r="AD60" s="1354"/>
      <c r="AE60" s="1354"/>
      <c r="AF60" s="1354"/>
      <c r="AG60" s="1354"/>
      <c r="AH60" s="1354"/>
      <c r="AI60" s="1354"/>
      <c r="AJ60" s="1354"/>
      <c r="AK60" s="1354"/>
      <c r="AL60" s="1354"/>
      <c r="AM60" s="1354"/>
      <c r="AN60" s="1354"/>
      <c r="AO60" s="1354"/>
      <c r="AP60" s="1354"/>
      <c r="AQ60" s="1354"/>
      <c r="AR60" s="1354"/>
      <c r="AS60" s="1354"/>
      <c r="AT60" s="1354"/>
      <c r="AU60" s="1354"/>
      <c r="AW60" s="506"/>
      <c r="AX60" s="506" t="str">
        <f>IF(T60="","",T60)</f>
        <v>Добавить территорию для дифференциации</v>
      </c>
      <c r="AY60" s="506"/>
      <c r="AZ60" s="506"/>
    </row>
    <row s="2612" customFormat="1" customHeight="1" ht="0">
      <c r="A61" s="1373" t="s">
        <v>425</v>
      </c>
      <c r="B61" s="1373"/>
      <c r="C61" s="1373"/>
      <c r="D61" s="1373"/>
      <c r="E61" s="2107"/>
      <c r="F61" s="1373"/>
      <c r="G61" s="1373"/>
      <c r="H61" s="1373"/>
      <c r="I61" s="1373"/>
      <c r="J61" s="1373"/>
      <c r="K61" s="1373"/>
      <c r="L61" s="1376"/>
      <c r="M61" s="1351"/>
      <c r="N61" s="1351"/>
      <c r="O61" s="524"/>
      <c r="P61" s="385"/>
      <c r="Q61" s="1374"/>
      <c r="R61" s="385"/>
      <c r="S61" s="1352"/>
      <c r="T61" s="1355" t="s">
        <v>329</v>
      </c>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W61" s="506"/>
      <c r="AX61" s="506" t="str">
        <f>IF(T61="","",T61)</f>
        <v>Добавить территорию для дифференциации</v>
      </c>
      <c r="AY61" s="506"/>
      <c r="AZ61" s="506"/>
    </row>
    <row s="3314" customFormat="1" customHeight="1" ht="0">
      <c r="A62" s="1344"/>
      <c r="B62" s="1344"/>
      <c r="C62" s="1344"/>
      <c r="D62" s="1344"/>
      <c r="E62" s="1373"/>
      <c r="F62" s="1344"/>
      <c r="G62" s="1344"/>
      <c r="H62" s="1344"/>
      <c r="I62" s="1344"/>
      <c r="J62" s="1344"/>
      <c r="K62" s="1344"/>
      <c r="L62" s="1369"/>
      <c r="M62" s="1351"/>
      <c r="N62" s="1351"/>
      <c r="P62" s="1346"/>
      <c r="Q62" s="1347"/>
      <c r="R62" s="1346"/>
      <c r="S62" s="1352"/>
      <c r="T62" s="1355" t="s">
        <v>398</v>
      </c>
      <c r="U62" s="1354"/>
      <c r="V62" s="1354"/>
      <c r="W62" s="1354"/>
      <c r="X62" s="1354"/>
      <c r="Y62" s="1354"/>
      <c r="Z62" s="1354"/>
      <c r="AA62" s="1354"/>
      <c r="AB62" s="1354"/>
      <c r="AC62" s="1354"/>
      <c r="AD62" s="1354"/>
      <c r="AE62" s="1354"/>
      <c r="AF62" s="1354"/>
      <c r="AG62" s="1354"/>
      <c r="AH62" s="1354"/>
      <c r="AI62" s="1354"/>
      <c r="AJ62" s="1354"/>
      <c r="AK62" s="1354"/>
      <c r="AL62" s="1354"/>
      <c r="AM62" s="1354"/>
      <c r="AN62" s="1354"/>
      <c r="AO62" s="1354"/>
      <c r="AP62" s="1354"/>
      <c r="AQ62" s="1354"/>
      <c r="AR62" s="1354"/>
      <c r="AS62" s="1354"/>
      <c r="AT62" s="1354"/>
      <c r="AU62" s="1354"/>
      <c r="AW62" s="795"/>
      <c r="AX62" s="795" t="str">
        <f>IF(T62="","",T62)</f>
        <v>Добавить наименование тарифа</v>
      </c>
      <c r="AY62" s="795"/>
      <c r="AZ62" s="795"/>
    </row>
    <row customHeight="1" ht="11.25">
      <c r="M63" s="1168"/>
      <c r="N63" s="1168"/>
      <c r="O63" s="543"/>
      <c r="P63" s="1168"/>
      <c r="Q63" s="1168"/>
      <c r="R63" s="1163"/>
      <c r="S63" s="1163"/>
      <c r="AV63" s="1163"/>
      <c r="AW63" s="1163"/>
      <c r="AX63" s="1163"/>
      <c r="AY63" s="1163"/>
      <c r="AZ63" s="1163"/>
    </row>
    <row customHeight="1" ht="18.75">
      <c r="O64" s="543"/>
      <c r="S64" s="1273"/>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2106"/>
      <c r="AP64" s="2106"/>
      <c r="AQ64" s="2106"/>
      <c r="AR64" s="2106"/>
      <c r="AS64" s="2106"/>
      <c r="AT64" s="2106"/>
      <c r="AU64" s="2106"/>
    </row>
    <row customHeight="1" ht="19.5">
      <c r="O65" s="543"/>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c r="AS65" s="2106"/>
      <c r="AT65" s="2106"/>
      <c r="AU65" s="2106"/>
    </row>
    <row customHeight="1" ht="14.25">
      <c r="O66" s="543"/>
      <c r="T66" s="1363"/>
      <c r="U66" s="1363"/>
      <c r="V66" s="1363"/>
      <c r="W66" s="1363"/>
      <c r="X66" s="1363"/>
      <c r="Y66" s="1363"/>
      <c r="Z66" s="1363"/>
      <c r="AA66" s="1363"/>
      <c r="AB66" s="1363"/>
      <c r="AC66" s="1363"/>
      <c r="AD66" s="1363"/>
      <c r="AE66" s="1363"/>
      <c r="AF66" s="1363"/>
      <c r="AG66" s="1363"/>
      <c r="AH66" s="1363"/>
      <c r="AI66" s="1363"/>
      <c r="AJ66" s="1363"/>
      <c r="AK66" s="1363"/>
      <c r="AL66" s="1363"/>
      <c r="AM66" s="1363"/>
      <c r="AN66" s="1363"/>
      <c r="AO66" s="1363"/>
      <c r="AP66" s="1363"/>
      <c r="AQ66" s="1363"/>
      <c r="AR66" s="1363"/>
      <c r="AS66" s="1363"/>
      <c r="AT66" s="1363"/>
      <c r="AU66" s="1363"/>
    </row>
    <row customHeight="1" ht="18.75">
      <c r="O67" s="543"/>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c r="AS67" s="2106"/>
      <c r="AT67" s="2106"/>
      <c r="AU67" s="2106"/>
    </row>
    <row customHeight="1" ht="15.75">
      <c r="O68" s="543"/>
      <c r="T68" s="2106"/>
      <c r="U68" s="2106"/>
      <c r="V68" s="2106"/>
      <c r="W68" s="2106"/>
      <c r="X68" s="2106"/>
      <c r="Y68" s="2106"/>
      <c r="Z68" s="2106"/>
      <c r="AA68" s="2106"/>
      <c r="AB68" s="2106"/>
      <c r="AC68" s="2106"/>
      <c r="AD68" s="2106"/>
      <c r="AE68" s="2106"/>
      <c r="AF68" s="2106"/>
      <c r="AG68" s="2106"/>
      <c r="AH68" s="2106"/>
      <c r="AI68" s="2106"/>
      <c r="AJ68" s="2106"/>
      <c r="AK68" s="2106"/>
      <c r="AL68" s="2106"/>
      <c r="AM68" s="2106"/>
      <c r="AN68" s="2106"/>
      <c r="AO68" s="2106"/>
      <c r="AP68" s="2106"/>
      <c r="AQ68" s="2106"/>
      <c r="AR68" s="2106"/>
      <c r="AS68" s="2106"/>
      <c r="AT68" s="2106"/>
      <c r="AU68" s="2106"/>
    </row>
    <row customHeight="1" ht="14.25">
      <c r="O69" s="543"/>
    </row>
  </sheetData>
  <sheetProtection formatColumns="0" formatRows="0" autoFilter="0" sort="0" insertRows="0" insertColumns="1" deleteRows="0" deleteColumns="0"/>
  <mergeCells count="118">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0DCFFE-F36F-4966-9F85-8093FB6781D9}"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4.140625" hidden="1" customWidth="1"/>
    <col min="10" max="10" style="2683" width="9.8515625" hidden="1" customWidth="1"/>
    <col min="11" max="11" style="2683" width="14.7109375" hidden="1" customWidth="1"/>
    <col min="12" max="12" style="12263" width="19.140625" hidden="1" customWidth="1"/>
    <col min="13" max="14" style="3334" width="12.28125" hidden="1" customWidth="1"/>
    <col min="15" max="15" style="3334" width="23.421875" hidden="1" customWidth="1"/>
    <col min="16" max="16" style="12273" width="3.7109375" customWidth="1"/>
    <col min="17" max="18" style="3411" width="3.7109375" customWidth="1"/>
    <col min="19" max="19" style="3412" width="12.7109375" customWidth="1"/>
    <col min="20" max="20" style="2984" width="35.7109375" customWidth="1"/>
    <col min="21" max="21" style="2984" width="0.140625" customWidth="1"/>
    <col min="22" max="24" style="2984" width="24.7109375" hidden="1" customWidth="1"/>
    <col min="25" max="25" style="2984" width="11.7109375" hidden="1" customWidth="1"/>
    <col min="26" max="26" style="2984" width="3.7109375" hidden="1" customWidth="1"/>
    <col min="27" max="27" style="2984" width="11.7109375" hidden="1" customWidth="1"/>
    <col min="28" max="28" style="2984" width="8.57421875" hidden="1" customWidth="1"/>
    <col min="29" max="31" style="2984" width="24.7109375" customWidth="1"/>
    <col min="32" max="32" style="2984" width="11.7109375" customWidth="1"/>
    <col min="33" max="33" style="2984" width="3.7109375" customWidth="1"/>
    <col min="34" max="34" style="2984" width="11.7109375" customWidth="1"/>
    <col min="35" max="35" style="2984" width="8.57421875" hidden="1" customWidth="1"/>
    <col min="36" max="36" style="2984" width="4.7109375" customWidth="1"/>
    <col min="37" max="37" style="2984" width="115.7109375" customWidth="1"/>
    <col min="38" max="39" style="2612" width="10.57421875"/>
    <col min="40" max="40" style="2612" width="11.140625" customWidth="1"/>
    <col min="41" max="42" style="2612"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455">
        <f>INDEX(PT_DIFFERENTIATION_NUM_NTAR,MATCH(A2,PT_DIFFERENTIATION_NTAR_ID,0))</f>
      </c>
      <c r="T2" s="286" t="s">
        <v>204</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453"/>
      <c r="Q3" s="348"/>
      <c r="R3" s="349"/>
      <c r="S3" s="1455">
        <f>INDEX(PT_DIFFERENTIATION_NUM_TER,MATCH(B3,PT_DIFFERENTIATION_TER_ID,0))</f>
      </c>
      <c r="T3" s="298" t="s">
        <v>612</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613</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455">
        <f>INDEX(PT_DIFFERENTIATION_NUM_CS,MATCH(C4,PT_DIFFERENTIATION_CS_ID,0))</f>
      </c>
      <c r="T4" s="299" t="s">
        <v>696</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697</v>
      </c>
      <c r="AM4" s="506"/>
      <c r="AN4" s="506" t="str">
        <f>IF(T4="","",T4)</f>
        <v>Наименование централизованной системы холодного водоснабжения</v>
      </c>
      <c r="AO4" s="506"/>
      <c r="AP4" s="506"/>
    </row>
    <row customHeight="1" ht="23.25" hidden="1">
      <c r="A5" s="1393"/>
      <c r="B5" s="1393"/>
      <c r="C5" s="1393"/>
      <c r="D5" s="1393"/>
      <c r="E5" s="2108"/>
      <c r="F5" s="2108"/>
      <c r="G5" s="2108"/>
      <c r="H5" s="2108"/>
      <c r="I5" s="2109">
        <f>S4&amp;".1"</f>
      </c>
      <c r="J5" s="1393"/>
      <c r="K5" s="1393"/>
      <c r="L5" s="1394"/>
      <c r="P5" s="2111">
        <v>1</v>
      </c>
      <c r="Q5" s="1452"/>
      <c r="R5" s="352"/>
      <c r="S5" s="1455">
        <f>$I5</f>
      </c>
      <c r="T5" s="273" t="s">
        <v>698</v>
      </c>
      <c r="U5" s="288"/>
      <c r="V5" s="2194"/>
      <c r="W5" s="2195"/>
      <c r="X5" s="2195"/>
      <c r="Y5" s="2195"/>
      <c r="Z5" s="2195"/>
      <c r="AA5" s="2195"/>
      <c r="AB5" s="2196"/>
      <c r="AC5" s="2197"/>
      <c r="AD5" s="2198"/>
      <c r="AE5" s="2198"/>
      <c r="AF5" s="2198"/>
      <c r="AG5" s="2198"/>
      <c r="AH5" s="2198"/>
      <c r="AI5" s="2198"/>
      <c r="AJ5" s="2199"/>
      <c r="AK5" s="1286" t="s">
        <v>699</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621</v>
      </c>
      <c r="P6" s="2111"/>
      <c r="Q6" s="2111">
        <v>1</v>
      </c>
      <c r="R6" s="353"/>
      <c r="S6" s="1455">
        <f>$J6</f>
      </c>
      <c r="T6" s="274" t="s">
        <v>622</v>
      </c>
      <c r="U6" s="288"/>
      <c r="V6" s="2095"/>
      <c r="W6" s="2096"/>
      <c r="X6" s="2096"/>
      <c r="Y6" s="2096"/>
      <c r="Z6" s="2096"/>
      <c r="AA6" s="2096"/>
      <c r="AB6" s="2097"/>
      <c r="AC6" s="2095"/>
      <c r="AD6" s="2096"/>
      <c r="AE6" s="2096"/>
      <c r="AF6" s="2096"/>
      <c r="AG6" s="2096"/>
      <c r="AH6" s="2096"/>
      <c r="AI6" s="2096"/>
      <c r="AJ6" s="2097"/>
      <c r="AK6" s="1337" t="s">
        <v>700</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455">
        <f>$K7</f>
      </c>
      <c r="T7" s="1467"/>
      <c r="U7" s="288"/>
      <c r="V7" s="757"/>
      <c r="W7" s="757"/>
      <c r="X7" s="1285"/>
      <c r="Y7" s="2112"/>
      <c r="Z7" s="1981" t="s">
        <v>63</v>
      </c>
      <c r="AA7" s="2112"/>
      <c r="AB7" s="1981" t="s">
        <v>63</v>
      </c>
      <c r="AC7" s="757"/>
      <c r="AD7" s="757"/>
      <c r="AE7" s="1285"/>
      <c r="AF7" s="2112"/>
      <c r="AG7" s="1981" t="s">
        <v>63</v>
      </c>
      <c r="AH7" s="2114"/>
      <c r="AI7" s="1981" t="s">
        <v>63</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454"/>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701</v>
      </c>
      <c r="U9" s="367"/>
      <c r="V9" s="367"/>
      <c r="W9" s="367"/>
      <c r="X9" s="367"/>
      <c r="Y9" s="367"/>
      <c r="Z9" s="367"/>
      <c r="AA9" s="367"/>
      <c r="AB9" s="367"/>
      <c r="AC9" s="367"/>
      <c r="AD9" s="367"/>
      <c r="AE9" s="367"/>
      <c r="AF9" s="367"/>
      <c r="AG9" s="367"/>
      <c r="AH9" s="367"/>
      <c r="AI9" s="367"/>
      <c r="AJ9" s="367"/>
      <c r="AK9" s="1286" t="s">
        <v>702</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452"/>
      <c r="R10" s="352"/>
      <c r="S10" s="1308"/>
      <c r="T10" s="364" t="s">
        <v>627</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14.25" hidden="1">
      <c r="A11" s="1393"/>
      <c r="B11" s="1393"/>
      <c r="C11" s="1393"/>
      <c r="D11" s="1393"/>
      <c r="E11" s="2108"/>
      <c r="F11" s="2108"/>
      <c r="G11" s="2108"/>
      <c r="H11" s="2107"/>
      <c r="I11" s="1393"/>
      <c r="J11" s="1393"/>
      <c r="K11" s="1393"/>
      <c r="L11" s="1394"/>
      <c r="M11" s="1395"/>
      <c r="N11" s="1395"/>
      <c r="O11" s="543"/>
      <c r="P11" s="356"/>
      <c r="Q11" s="376"/>
      <c r="R11" s="351"/>
      <c r="S11" s="1308"/>
      <c r="T11" s="372" t="s">
        <v>703</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4" customFormat="1" customHeight="1" ht="14.25" hidden="1">
      <c r="A12" s="1373"/>
      <c r="B12" s="1373"/>
      <c r="C12" s="1344"/>
      <c r="D12" s="1344"/>
      <c r="E12" s="2108"/>
      <c r="F12" s="2107"/>
      <c r="G12" s="1344"/>
      <c r="H12" s="1344"/>
      <c r="I12" s="1344"/>
      <c r="J12" s="1344"/>
      <c r="K12" s="1344"/>
      <c r="L12" s="1456"/>
      <c r="M12" s="1351"/>
      <c r="N12" s="1351"/>
      <c r="P12" s="1346"/>
      <c r="Q12" s="1347"/>
      <c r="R12" s="1346"/>
      <c r="S12" s="1352"/>
      <c r="T12" s="1355" t="s">
        <v>255</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2"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63</v>
      </c>
      <c r="AH15" s="2105"/>
      <c r="AI15" s="2104" t="s">
        <v>63</v>
      </c>
    </row>
    <row customHeight="1" ht="14.25" hidden="1">
      <c r="AC16" s="1390"/>
      <c r="AD16" s="1390"/>
      <c r="AE16" s="324" t="str">
        <f>AF15&amp;"-"&amp;AH15</f>
        <v>-</v>
      </c>
      <c r="AF16" s="2104"/>
      <c r="AG16" s="2104"/>
      <c r="AH16" s="2104"/>
      <c r="AI16" s="2104"/>
    </row>
    <row customHeight="1" ht="14.25" hidden="1">
      <c r="AI17" s="323"/>
    </row>
    <row s="2683" customFormat="1" customHeight="1" ht="22.5" hidden="1">
      <c r="L18" s="1451"/>
      <c r="M18" s="1392"/>
      <c r="N18" s="1392"/>
      <c r="O18" s="1397" t="s">
        <v>629</v>
      </c>
      <c r="P18" s="1392"/>
      <c r="Q18" s="1401"/>
      <c r="R18" s="1401"/>
      <c r="S18" s="735"/>
      <c r="Y18" s="1397"/>
      <c r="AA18" s="1397"/>
      <c r="AB18" s="1396"/>
      <c r="AF18" s="1397"/>
      <c r="AH18" s="1397"/>
      <c r="AI18" s="1396"/>
      <c r="AL18" s="517"/>
      <c r="AM18" s="517"/>
      <c r="AN18" s="517"/>
      <c r="AO18" s="517"/>
      <c r="AP18" s="517"/>
    </row>
    <row s="2683" customFormat="1" customHeight="1" ht="14.25" hidden="1">
      <c r="L19" s="1451"/>
      <c r="M19" s="1392"/>
      <c r="N19" s="1392"/>
      <c r="O19" s="1392"/>
      <c r="P19" s="1392"/>
      <c r="Q19" s="1401"/>
      <c r="R19" s="1401"/>
      <c r="S19" s="735"/>
      <c r="AB19" s="1396"/>
      <c r="AI19" s="1396"/>
      <c r="AL19" s="517"/>
      <c r="AM19" s="517"/>
      <c r="AN19" s="517"/>
      <c r="AO19" s="517"/>
      <c r="AP19" s="517"/>
    </row>
    <row s="2683" customFormat="1" customHeight="1" ht="12" hidden="1">
      <c r="L20" s="1451"/>
      <c r="M20" s="1392"/>
      <c r="N20" s="1392"/>
      <c r="O20" s="1394" t="s">
        <v>630</v>
      </c>
      <c r="P20" s="1392"/>
      <c r="Q20" s="1472"/>
      <c r="R20" s="1472"/>
      <c r="S20" s="735"/>
      <c r="T20" s="1168" t="s">
        <v>631</v>
      </c>
      <c r="Z20" s="172" t="s">
        <v>632</v>
      </c>
      <c r="AB20" s="172" t="s">
        <v>633</v>
      </c>
      <c r="AC20" s="1168" t="s">
        <v>631</v>
      </c>
      <c r="AG20" s="172" t="s">
        <v>634</v>
      </c>
      <c r="AI20" s="172" t="s">
        <v>633</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14.25">
      <c r="Q24" s="377"/>
      <c r="R24" s="377"/>
      <c r="S24" s="214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5"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5" customFormat="1" customHeight="1" ht="18.75">
      <c r="A28" s="1398"/>
      <c r="B28" s="1398"/>
      <c r="C28" s="1398"/>
      <c r="D28" s="1398"/>
      <c r="E28" s="1398"/>
      <c r="F28" s="1398"/>
      <c r="G28" s="1398"/>
      <c r="H28" s="1398"/>
      <c r="I28" s="1398"/>
      <c r="J28" s="1398"/>
      <c r="K28" s="1398"/>
      <c r="L28" s="1399"/>
      <c r="M28" s="1398"/>
      <c r="N28" s="1398"/>
      <c r="O28" s="1398"/>
      <c r="S28" s="2098" t="s">
        <v>635</v>
      </c>
      <c r="T28" s="2098"/>
      <c r="U28" s="1402"/>
      <c r="V28" s="2099" t="str">
        <f>IF(TITLE_DATE_PR_CHANGE="",IF(TITLE_DATE_PR="","",TITLE_DATE_PR),TITLE_DATE_PR_CHANGE)</f>
        <v>45205</v>
      </c>
      <c r="W28" s="2099"/>
      <c r="X28" s="2099"/>
      <c r="Y28" s="2099"/>
      <c r="Z28" s="2099"/>
      <c r="AA28" s="2099"/>
      <c r="AB28" s="322"/>
      <c r="AC28" s="2099" t="str">
        <f>IF(TITLE_DATE_PR_CHANGE="",IF(TITLE_DATE_PR="","",TITLE_DATE_PR),TITLE_DATE_PR_CHANGE)</f>
        <v>45205</v>
      </c>
      <c r="AD28" s="2099"/>
      <c r="AE28" s="2099"/>
      <c r="AF28" s="2099"/>
      <c r="AG28" s="2099"/>
      <c r="AH28" s="2099"/>
      <c r="AI28" s="322"/>
      <c r="AJ28" s="322"/>
      <c r="AK28" s="268"/>
      <c r="AL28" s="368"/>
      <c r="AM28" s="368"/>
      <c r="AN28" s="368"/>
      <c r="AO28" s="368"/>
      <c r="AP28" s="368"/>
    </row>
    <row s="3345" customFormat="1" customHeight="1" ht="18.75">
      <c r="A29" s="1398"/>
      <c r="B29" s="1398"/>
      <c r="C29" s="1398"/>
      <c r="D29" s="1398"/>
      <c r="E29" s="1398"/>
      <c r="F29" s="1398"/>
      <c r="G29" s="1398"/>
      <c r="H29" s="1398"/>
      <c r="I29" s="1398"/>
      <c r="J29" s="1398"/>
      <c r="K29" s="1398"/>
      <c r="L29" s="1399"/>
      <c r="M29" s="1398"/>
      <c r="N29" s="1398"/>
      <c r="O29" s="1398"/>
      <c r="S29" s="2098" t="s">
        <v>636</v>
      </c>
      <c r="T29" s="2098"/>
      <c r="U29" s="1402"/>
      <c r="V29" s="2100" t="str">
        <f>IF(TITLE_NUMBER_PR_CHANGE="",IF(TITLE_NUMBER_PR="","",TITLE_NUMBER_PR),TITLE_NUMBER_PR_CHANGE)</f>
        <v>36/2</v>
      </c>
      <c r="W29" s="2100"/>
      <c r="X29" s="2100"/>
      <c r="Y29" s="2100"/>
      <c r="Z29" s="2100"/>
      <c r="AA29" s="2100"/>
      <c r="AB29" s="322"/>
      <c r="AC29" s="2100" t="str">
        <f>IF(TITLE_NUMBER_PR_CHANGE="",IF(TITLE_NUMBER_PR="","",TITLE_NUMBER_PR),TITLE_NUMBER_PR_CHANGE)</f>
        <v>36/2</v>
      </c>
      <c r="AD29" s="2100"/>
      <c r="AE29" s="2100"/>
      <c r="AF29" s="2100"/>
      <c r="AG29" s="2100"/>
      <c r="AH29" s="2100"/>
      <c r="AI29" s="322"/>
      <c r="AJ29" s="322"/>
      <c r="AK29" s="268"/>
      <c r="AL29" s="368"/>
      <c r="AM29" s="368"/>
      <c r="AN29" s="368"/>
      <c r="AO29" s="368"/>
      <c r="AP29" s="368"/>
    </row>
    <row s="3345"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https://npa.gov-murman.ru/bitrix/components/b1team/govmurman.element.file/download.php?ID=495002&amp;FID=732763</v>
      </c>
      <c r="W30" s="2100"/>
      <c r="X30" s="2100"/>
      <c r="Y30" s="2100"/>
      <c r="Z30" s="2100"/>
      <c r="AA30" s="2100"/>
      <c r="AB30" s="322"/>
      <c r="AC30" s="2100" t="str">
        <f>IF(TITLE_IST_PUB_CHANGE="",IF(TITLE_IST_PUB="","",TITLE_IST_PUB),TITLE_IST_PUB_CHANGE)</f>
        <v>https://npa.gov-murman.ru/bitrix/components/b1team/govmurman.element.file/download.php?ID=495002&amp;FID=732763</v>
      </c>
      <c r="AD30" s="2100"/>
      <c r="AE30" s="2100"/>
      <c r="AF30" s="2100"/>
      <c r="AG30" s="2100"/>
      <c r="AH30" s="2100"/>
      <c r="AI30" s="322"/>
      <c r="AJ30" s="322"/>
      <c r="AK30" s="268"/>
      <c r="AL30" s="368"/>
      <c r="AM30" s="368"/>
      <c r="AN30" s="368"/>
      <c r="AO30" s="368"/>
      <c r="AP30" s="368"/>
    </row>
    <row customHeight="1" ht="14.25" hidden="1">
      <c r="Q31" s="377"/>
      <c r="R31" s="377"/>
      <c r="S31" s="1305"/>
      <c r="T31" s="361"/>
      <c r="U31" s="361"/>
      <c r="V31" s="316"/>
      <c r="W31" s="316"/>
      <c r="X31" s="316"/>
      <c r="Y31" s="316"/>
      <c r="Z31" s="316"/>
      <c r="AA31" s="316"/>
      <c r="AB31" s="316"/>
      <c r="AC31" s="316"/>
      <c r="AD31" s="316"/>
      <c r="AE31" s="316"/>
      <c r="AF31" s="316"/>
      <c r="AG31" s="316"/>
      <c r="AH31" s="316"/>
      <c r="AI31" s="316"/>
      <c r="AJ31" s="515"/>
    </row>
    <row s="3345" customFormat="1" customHeight="1" ht="18.75" hidden="1">
      <c r="A32" s="1398"/>
      <c r="B32" s="1398"/>
      <c r="C32" s="1398"/>
      <c r="D32" s="1398"/>
      <c r="E32" s="1398"/>
      <c r="F32" s="1398"/>
      <c r="G32" s="1398"/>
      <c r="H32" s="1398"/>
      <c r="I32" s="1398"/>
      <c r="J32" s="1398"/>
      <c r="K32" s="1398"/>
      <c r="L32" s="1399"/>
      <c r="M32" s="1398"/>
      <c r="N32" s="1398"/>
      <c r="O32" s="1398"/>
      <c r="S32" s="2098" t="s">
        <v>637</v>
      </c>
      <c r="T32" s="2098"/>
      <c r="U32" s="1402"/>
      <c r="V32" s="2099" t="str">
        <f>IF(TITLE_DATE_PR_CHANGE="",IF(TITLE_DATE_PR="","",TITLE_DATE_PR),TITLE_DATE_PR_CHANGE)</f>
        <v>45205</v>
      </c>
      <c r="W32" s="2099"/>
      <c r="X32" s="2099"/>
      <c r="Y32" s="2099"/>
      <c r="Z32" s="2099"/>
      <c r="AA32" s="2099"/>
      <c r="AB32" s="322"/>
      <c r="AC32" s="2099" t="str">
        <f>IF(TITLE_DATE_PR_CHANGE="",IF(TITLE_DATE_PR="","",TITLE_DATE_PR),TITLE_DATE_PR_CHANGE)</f>
        <v>45205</v>
      </c>
      <c r="AD32" s="2099"/>
      <c r="AE32" s="2099"/>
      <c r="AF32" s="2099"/>
      <c r="AG32" s="2099"/>
      <c r="AH32" s="2099"/>
      <c r="AI32" s="322"/>
      <c r="AJ32" s="322"/>
      <c r="AK32" s="268"/>
      <c r="AL32" s="368"/>
      <c r="AM32" s="368"/>
      <c r="AN32" s="368"/>
      <c r="AO32" s="368"/>
      <c r="AP32" s="368"/>
    </row>
    <row s="3345" customFormat="1" customHeight="1" ht="18.75" hidden="1">
      <c r="A33" s="1398"/>
      <c r="B33" s="1398"/>
      <c r="C33" s="1398"/>
      <c r="D33" s="1398"/>
      <c r="E33" s="1398"/>
      <c r="F33" s="1398"/>
      <c r="G33" s="1398"/>
      <c r="H33" s="1398"/>
      <c r="I33" s="1398"/>
      <c r="J33" s="1398"/>
      <c r="K33" s="1398"/>
      <c r="L33" s="1399"/>
      <c r="M33" s="1398"/>
      <c r="N33" s="1398"/>
      <c r="O33" s="1398"/>
      <c r="S33" s="2098" t="s">
        <v>638</v>
      </c>
      <c r="T33" s="2098"/>
      <c r="U33" s="1402"/>
      <c r="V33" s="2100" t="str">
        <f>IF(TITLE_NUMBER_PR_CHANGE="",IF(TITLE_NUMBER_PR="","",TITLE_NUMBER_PR),TITLE_NUMBER_PR_CHANGE)</f>
        <v>36/2</v>
      </c>
      <c r="W33" s="2100"/>
      <c r="X33" s="2100"/>
      <c r="Y33" s="2100"/>
      <c r="Z33" s="2100"/>
      <c r="AA33" s="2100"/>
      <c r="AB33" s="322"/>
      <c r="AC33" s="2100" t="str">
        <f>IF(TITLE_NUMBER_PR_CHANGE="",IF(TITLE_NUMBER_PR="","",TITLE_NUMBER_PR),TITLE_NUMBER_PR_CHANGE)</f>
        <v>36/2</v>
      </c>
      <c r="AD33" s="2100"/>
      <c r="AE33" s="2100"/>
      <c r="AF33" s="2100"/>
      <c r="AG33" s="2100"/>
      <c r="AH33" s="2100"/>
      <c r="AI33" s="322"/>
      <c r="AJ33" s="322"/>
      <c r="AK33" s="268"/>
      <c r="AL33" s="368"/>
      <c r="AM33" s="368"/>
      <c r="AN33" s="368"/>
      <c r="AO33" s="368"/>
      <c r="AP33" s="368"/>
    </row>
    <row s="3345" customFormat="1" customHeight="1" ht="0.75">
      <c r="A34" s="1398"/>
      <c r="B34" s="1398"/>
      <c r="C34" s="1398"/>
      <c r="D34" s="1398"/>
      <c r="E34" s="1398"/>
      <c r="F34" s="1398"/>
      <c r="G34" s="1398"/>
      <c r="H34" s="1398"/>
      <c r="I34" s="1398"/>
      <c r="J34" s="1398"/>
      <c r="K34" s="1398"/>
      <c r="L34" s="1399"/>
      <c r="M34" s="1398"/>
      <c r="N34" s="1398"/>
      <c r="O34" s="1398"/>
      <c r="S34" s="318"/>
      <c r="T34" s="318"/>
      <c r="U34" s="1385"/>
      <c r="V34" s="322"/>
      <c r="W34" s="322"/>
      <c r="X34" s="322"/>
      <c r="Y34" s="322"/>
      <c r="Z34" s="322"/>
      <c r="AA34" s="322"/>
      <c r="AB34" s="266" t="s">
        <v>639</v>
      </c>
      <c r="AC34" s="322"/>
      <c r="AD34" s="322"/>
      <c r="AE34" s="322"/>
      <c r="AF34" s="322"/>
      <c r="AG34" s="322"/>
      <c r="AH34" s="322"/>
      <c r="AI34" s="266" t="s">
        <v>639</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513</v>
      </c>
      <c r="T36" s="1971"/>
      <c r="U36" s="1971"/>
      <c r="V36" s="1971"/>
      <c r="W36" s="1971"/>
      <c r="X36" s="1971"/>
      <c r="Y36" s="1971"/>
      <c r="Z36" s="1971"/>
      <c r="AA36" s="1971"/>
      <c r="AB36" s="1971"/>
      <c r="AC36" s="1971"/>
      <c r="AD36" s="1971"/>
      <c r="AE36" s="1971"/>
      <c r="AF36" s="1971"/>
      <c r="AG36" s="1971"/>
      <c r="AH36" s="1971"/>
      <c r="AI36" s="1971"/>
      <c r="AJ36" s="1971"/>
      <c r="AK36" s="1971" t="s">
        <v>514</v>
      </c>
    </row>
    <row customHeight="1" ht="14.25">
      <c r="Q37" s="377"/>
      <c r="R37" s="377"/>
      <c r="S37" s="2125" t="s">
        <v>89</v>
      </c>
      <c r="T37" s="2062" t="s">
        <v>640</v>
      </c>
      <c r="U37" s="289"/>
      <c r="V37" s="2126" t="s">
        <v>641</v>
      </c>
      <c r="W37" s="2127"/>
      <c r="X37" s="2127"/>
      <c r="Y37" s="2127"/>
      <c r="Z37" s="2127"/>
      <c r="AA37" s="2128"/>
      <c r="AB37" s="2129" t="s">
        <v>642</v>
      </c>
      <c r="AC37" s="2126" t="s">
        <v>641</v>
      </c>
      <c r="AD37" s="2127"/>
      <c r="AE37" s="2127"/>
      <c r="AF37" s="2127"/>
      <c r="AG37" s="2127"/>
      <c r="AH37" s="2128"/>
      <c r="AI37" s="2129" t="s">
        <v>643</v>
      </c>
      <c r="AJ37" s="2132" t="s">
        <v>644</v>
      </c>
      <c r="AK37" s="1971"/>
    </row>
    <row customHeight="1" ht="33.75">
      <c r="Q38" s="377"/>
      <c r="R38" s="377"/>
      <c r="S38" s="2125"/>
      <c r="T38" s="2062"/>
      <c r="U38" s="1038"/>
      <c r="V38" s="1382" t="s">
        <v>704</v>
      </c>
      <c r="W38" s="2118" t="s">
        <v>647</v>
      </c>
      <c r="X38" s="2120"/>
      <c r="Y38" s="2118" t="s">
        <v>648</v>
      </c>
      <c r="Z38" s="2119"/>
      <c r="AA38" s="2120"/>
      <c r="AB38" s="2130"/>
      <c r="AC38" s="1382" t="s">
        <v>704</v>
      </c>
      <c r="AD38" s="2118" t="s">
        <v>647</v>
      </c>
      <c r="AE38" s="2120"/>
      <c r="AF38" s="2118" t="s">
        <v>648</v>
      </c>
      <c r="AG38" s="2119"/>
      <c r="AH38" s="2120"/>
      <c r="AI38" s="2130"/>
      <c r="AJ38" s="2133"/>
      <c r="AK38" s="1971"/>
    </row>
    <row customHeight="1" ht="33.75">
      <c r="A39" s="1400"/>
      <c r="B39" s="1400" t="s">
        <v>216</v>
      </c>
      <c r="C39" s="1400" t="s">
        <v>217</v>
      </c>
      <c r="D39" s="1400" t="s">
        <v>218</v>
      </c>
      <c r="E39" s="1394" t="s">
        <v>649</v>
      </c>
      <c r="F39" s="1394" t="s">
        <v>650</v>
      </c>
      <c r="G39" s="1394" t="s">
        <v>651</v>
      </c>
      <c r="H39" s="1394"/>
      <c r="I39" s="1394" t="s">
        <v>705</v>
      </c>
      <c r="J39" s="1394" t="s">
        <v>654</v>
      </c>
      <c r="K39" s="1394" t="s">
        <v>706</v>
      </c>
      <c r="L39" s="1394" t="s">
        <v>630</v>
      </c>
      <c r="Q39" s="377"/>
      <c r="R39" s="377"/>
      <c r="S39" s="2125"/>
      <c r="T39" s="2062"/>
      <c r="U39" s="290"/>
      <c r="V39" s="1382" t="s">
        <v>707</v>
      </c>
      <c r="W39" s="1237" t="s">
        <v>708</v>
      </c>
      <c r="X39" s="1237" t="s">
        <v>709</v>
      </c>
      <c r="Y39" s="1387" t="s">
        <v>658</v>
      </c>
      <c r="Z39" s="2121" t="s">
        <v>659</v>
      </c>
      <c r="AA39" s="2122"/>
      <c r="AB39" s="2131"/>
      <c r="AC39" s="1382" t="s">
        <v>707</v>
      </c>
      <c r="AD39" s="1237" t="s">
        <v>708</v>
      </c>
      <c r="AE39" s="1237" t="s">
        <v>709</v>
      </c>
      <c r="AF39" s="1387" t="s">
        <v>658</v>
      </c>
      <c r="AG39" s="2121" t="s">
        <v>659</v>
      </c>
      <c r="AH39" s="2122"/>
      <c r="AI39" s="2131"/>
      <c r="AJ39" s="2134"/>
      <c r="AK39" s="1971"/>
    </row>
    <row s="2611" customFormat="1" customHeight="1" ht="11.25" hidden="1">
      <c r="A40" s="1400"/>
      <c r="B40" s="1400"/>
      <c r="C40" s="1400"/>
      <c r="D40" s="1400"/>
      <c r="E40" s="1400"/>
      <c r="F40" s="1400"/>
      <c r="G40" s="1400"/>
      <c r="H40" s="1400"/>
      <c r="I40" s="1400"/>
      <c r="J40" s="1400"/>
      <c r="K40" s="1400"/>
      <c r="L40" s="1394"/>
      <c r="M40" s="1392"/>
      <c r="N40" s="1392"/>
      <c r="O40" s="1392"/>
      <c r="P40" s="1264"/>
      <c r="Q40" s="1265"/>
      <c r="R40" s="1280">
        <v>1</v>
      </c>
      <c r="S40" s="1307" t="s">
        <v>193</v>
      </c>
      <c r="T40" s="1281" t="s">
        <v>104</v>
      </c>
      <c r="U40" s="1263" t="str">
        <f>OFFSET(U40,0,-1)</f>
        <v>2</v>
      </c>
      <c r="V40" s="1383">
        <f>OFFSET(V40,0,-1)+1</f>
        <v>3</v>
      </c>
      <c r="W40" s="1383">
        <f>OFFSET(W40,0,-1)+1</f>
        <v>4</v>
      </c>
      <c r="X40" s="1383">
        <f>OFFSET(X40,0,-1)+1</f>
        <v>5</v>
      </c>
      <c r="Y40" s="1383">
        <f>OFFSET(Y40,0,-1)+1</f>
        <v>6</v>
      </c>
      <c r="Z40" s="2123">
        <f>OFFSET(Z40,0,-1)+1</f>
        <v>7</v>
      </c>
      <c r="AA40" s="2123"/>
      <c r="AB40" s="1383">
        <f>OFFSET(AB40,0,-2)+1</f>
        <v>8</v>
      </c>
      <c r="AC40" s="1383">
        <f>OFFSET(AC40,0,-1)+1</f>
        <v>9</v>
      </c>
      <c r="AD40" s="1383">
        <f>OFFSET(AD40,0,-1)+1</f>
        <v>10</v>
      </c>
      <c r="AE40" s="1383">
        <f>OFFSET(AE40,0,-1)+1</f>
        <v>11</v>
      </c>
      <c r="AF40" s="1383">
        <f>OFFSET(AF40,0,-1)+1</f>
        <v>12</v>
      </c>
      <c r="AG40" s="2123">
        <f>OFFSET(AG40,0,-1)+1</f>
        <v>13</v>
      </c>
      <c r="AH40" s="2123"/>
      <c r="AI40" s="1383">
        <f>OFFSET(AI40,0,-2)+1</f>
        <v>14</v>
      </c>
      <c r="AJ40" s="1263">
        <f>OFFSET(AJ40,0,-1)</f>
        <v>14</v>
      </c>
      <c r="AK40" s="1383">
        <f>OFFSET(AK40,0,-1)+1</f>
        <v>15</v>
      </c>
      <c r="AL40" s="517"/>
      <c r="AM40" s="517"/>
      <c r="AN40" s="517"/>
      <c r="AO40" s="517"/>
      <c r="AP40" s="517"/>
    </row>
    <row customHeight="1" ht="23.25">
      <c r="A41" s="1393" t="s">
        <v>439</v>
      </c>
      <c r="B41" s="1393"/>
      <c r="C41" s="1393"/>
      <c r="D41" s="1393"/>
      <c r="E41" s="2107">
        <v>1</v>
      </c>
      <c r="F41" s="1393"/>
      <c r="G41" s="1393"/>
      <c r="H41" s="1393"/>
      <c r="I41" s="1393"/>
      <c r="J41" s="1393"/>
      <c r="K41" s="1393"/>
      <c r="L41" s="1394"/>
      <c r="M41" s="1395"/>
      <c r="N41" s="1395"/>
      <c r="O41" s="1395"/>
      <c r="P41" s="357"/>
      <c r="Q41" s="356"/>
      <c r="R41" s="351"/>
      <c r="S41" s="1388">
        <f>INDEX(PT_DIFFERENTIATION_NUM_NTAR,MATCH(A41,PT_DIFFERENTIATION_NTAR_ID,0))</f>
        <v>0</v>
      </c>
      <c r="T41" s="286" t="s">
        <v>204</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439</v>
      </c>
      <c r="B42" s="1393" t="s">
        <v>440</v>
      </c>
      <c r="C42" s="1393"/>
      <c r="D42" s="1393"/>
      <c r="E42" s="2108"/>
      <c r="F42" s="2107">
        <v>1</v>
      </c>
      <c r="G42" s="1393"/>
      <c r="H42" s="1393"/>
      <c r="I42" s="1393"/>
      <c r="J42" s="1393"/>
      <c r="K42" s="1393"/>
      <c r="L42" s="1394"/>
      <c r="M42" s="1395"/>
      <c r="N42" s="1395"/>
      <c r="O42" s="1395"/>
      <c r="P42" s="1386"/>
      <c r="Q42" s="348"/>
      <c r="R42" s="349"/>
      <c r="S42" s="1388" t="str">
        <f>INDEX(PT_DIFFERENTIATION_NUM_TER,MATCH(B42,PT_DIFFERENTIATION_TER_ID,0))</f>
        <v>.</v>
      </c>
      <c r="T42" s="298" t="s">
        <v>612</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613</v>
      </c>
      <c r="AM42" s="506"/>
      <c r="AN42" s="506" t="str">
        <f>IF(T42="","",T42)</f>
        <v>Территория действия тарифа</v>
      </c>
      <c r="AO42" s="506"/>
      <c r="AP42" s="506"/>
    </row>
    <row customHeight="1" ht="23.25">
      <c r="A43" s="1393" t="s">
        <v>439</v>
      </c>
      <c r="B43" s="1393" t="s">
        <v>440</v>
      </c>
      <c r="C43" s="1393" t="s">
        <v>441</v>
      </c>
      <c r="D43" s="1393"/>
      <c r="E43" s="2108"/>
      <c r="F43" s="2108"/>
      <c r="G43" s="2107">
        <v>1</v>
      </c>
      <c r="H43" s="1393"/>
      <c r="I43" s="1393"/>
      <c r="J43" s="1393"/>
      <c r="K43" s="1393"/>
      <c r="L43" s="1394"/>
      <c r="M43" s="1395"/>
      <c r="N43" s="1395"/>
      <c r="O43" s="1395"/>
      <c r="P43" s="350"/>
      <c r="Q43" s="348"/>
      <c r="R43" s="349"/>
      <c r="S43" s="1388" t="str">
        <f>INDEX(PT_DIFFERENTIATION_NUM_CS,MATCH(C43,PT_DIFFERENTIATION_CS_ID,0))</f>
        <v>..</v>
      </c>
      <c r="T43" s="299" t="s">
        <v>696</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697</v>
      </c>
      <c r="AM43" s="506"/>
      <c r="AN43" s="506" t="str">
        <f>IF(T43="","",T43)</f>
        <v>Наименование централизованной системы холодного водоснабжения</v>
      </c>
      <c r="AO43" s="506"/>
      <c r="AP43" s="506"/>
    </row>
    <row customHeight="1" ht="23.25">
      <c r="A44" s="1393" t="s">
        <v>439</v>
      </c>
      <c r="B44" s="1393" t="s">
        <v>440</v>
      </c>
      <c r="C44" s="1393" t="s">
        <v>441</v>
      </c>
      <c r="D44" s="1393" t="s">
        <v>710</v>
      </c>
      <c r="E44" s="2108"/>
      <c r="F44" s="2108"/>
      <c r="G44" s="2108"/>
      <c r="H44" s="2108"/>
      <c r="I44" s="2109" t="str">
        <f>S43&amp;".1"</f>
        <v>...1</v>
      </c>
      <c r="J44" s="1393"/>
      <c r="K44" s="1393"/>
      <c r="L44" s="1394"/>
      <c r="P44" s="2111">
        <v>1</v>
      </c>
      <c r="Q44" s="1384"/>
      <c r="R44" s="352"/>
      <c r="S44" s="1388" t="str">
        <f>$I44</f>
        <v>...1</v>
      </c>
      <c r="T44" s="273" t="s">
        <v>698</v>
      </c>
      <c r="U44" s="288"/>
      <c r="V44" s="2194"/>
      <c r="W44" s="2195"/>
      <c r="X44" s="2195"/>
      <c r="Y44" s="2195"/>
      <c r="Z44" s="2195"/>
      <c r="AA44" s="2195"/>
      <c r="AB44" s="2196"/>
      <c r="AC44" s="2197"/>
      <c r="AD44" s="2198"/>
      <c r="AE44" s="2198"/>
      <c r="AF44" s="2198"/>
      <c r="AG44" s="2198"/>
      <c r="AH44" s="2198"/>
      <c r="AI44" s="2198"/>
      <c r="AJ44" s="2199"/>
      <c r="AK44" s="1286" t="s">
        <v>699</v>
      </c>
      <c r="AM44" s="506"/>
      <c r="AN44" s="506" t="str">
        <f>IF(T44="","",T44)</f>
        <v>Наименование признака дифференциации</v>
      </c>
      <c r="AO44" s="506"/>
      <c r="AP44" s="506"/>
    </row>
    <row customHeight="1" ht="23.25">
      <c r="A45" s="1393" t="s">
        <v>439</v>
      </c>
      <c r="B45" s="1393" t="s">
        <v>440</v>
      </c>
      <c r="C45" s="1393" t="s">
        <v>441</v>
      </c>
      <c r="D45" s="1393" t="s">
        <v>710</v>
      </c>
      <c r="E45" s="2108"/>
      <c r="F45" s="2108"/>
      <c r="G45" s="2108"/>
      <c r="H45" s="2108"/>
      <c r="I45" s="2110"/>
      <c r="J45" s="2109" t="str">
        <f>I44&amp;".1"</f>
        <v>...1.1</v>
      </c>
      <c r="K45" s="1393"/>
      <c r="L45" s="1394" t="s">
        <v>621</v>
      </c>
      <c r="P45" s="2111"/>
      <c r="Q45" s="2111">
        <v>1</v>
      </c>
      <c r="R45" s="353"/>
      <c r="S45" s="1388" t="str">
        <f>$J45</f>
        <v>...1.1</v>
      </c>
      <c r="T45" s="274" t="s">
        <v>622</v>
      </c>
      <c r="U45" s="288"/>
      <c r="V45" s="2095"/>
      <c r="W45" s="2096"/>
      <c r="X45" s="2096"/>
      <c r="Y45" s="2096"/>
      <c r="Z45" s="2096"/>
      <c r="AA45" s="2096"/>
      <c r="AB45" s="2097"/>
      <c r="AC45" s="2095"/>
      <c r="AD45" s="2096"/>
      <c r="AE45" s="2096"/>
      <c r="AF45" s="2096"/>
      <c r="AG45" s="2096"/>
      <c r="AH45" s="2096"/>
      <c r="AI45" s="2096"/>
      <c r="AJ45" s="2097"/>
      <c r="AK45" s="1337" t="s">
        <v>700</v>
      </c>
      <c r="AM45" s="506"/>
      <c r="AN45" s="506" t="str">
        <f>IF(T45="","",T45)</f>
        <v>Группа потребителей</v>
      </c>
      <c r="AO45" s="506"/>
      <c r="AP45" s="506"/>
    </row>
    <row customHeight="1" ht="23.25">
      <c r="A46" s="1393" t="s">
        <v>439</v>
      </c>
      <c r="B46" s="1393" t="s">
        <v>440</v>
      </c>
      <c r="C46" s="1393" t="s">
        <v>441</v>
      </c>
      <c r="D46" s="1393" t="s">
        <v>710</v>
      </c>
      <c r="E46" s="2108"/>
      <c r="F46" s="2108"/>
      <c r="G46" s="2108"/>
      <c r="H46" s="2108"/>
      <c r="I46" s="2110"/>
      <c r="J46" s="2110"/>
      <c r="K46" s="2109" t="str">
        <f>J45&amp;".1"</f>
        <v>...1.1.1</v>
      </c>
      <c r="L46" s="1394"/>
      <c r="P46" s="2111"/>
      <c r="Q46" s="2111"/>
      <c r="R46" s="353">
        <v>1</v>
      </c>
      <c r="S46" s="1388" t="str">
        <f>$K46</f>
        <v>...1.1.1</v>
      </c>
      <c r="T46" s="1467"/>
      <c r="U46" s="288"/>
      <c r="V46" s="1390"/>
      <c r="W46" s="1390"/>
      <c r="X46" s="1391"/>
      <c r="Y46" s="2105"/>
      <c r="Z46" s="2104" t="s">
        <v>63</v>
      </c>
      <c r="AA46" s="2105"/>
      <c r="AB46" s="2104" t="s">
        <v>63</v>
      </c>
      <c r="AC46" s="757"/>
      <c r="AD46" s="757"/>
      <c r="AE46" s="1285"/>
      <c r="AF46" s="2112"/>
      <c r="AG46" s="1981" t="s">
        <v>63</v>
      </c>
      <c r="AH46" s="2114"/>
      <c r="AI46" s="1981" t="s">
        <v>58</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439</v>
      </c>
      <c r="B47" s="1393" t="s">
        <v>440</v>
      </c>
      <c r="C47" s="1393" t="s">
        <v>441</v>
      </c>
      <c r="D47" s="1393" t="s">
        <v>710</v>
      </c>
      <c r="E47" s="2108"/>
      <c r="F47" s="2108"/>
      <c r="G47" s="2108"/>
      <c r="H47" s="2108"/>
      <c r="I47" s="2110"/>
      <c r="J47" s="2110"/>
      <c r="K47" s="2109"/>
      <c r="L47" s="1394"/>
      <c r="P47" s="2111"/>
      <c r="Q47" s="2111"/>
      <c r="R47" s="353"/>
      <c r="S47" s="1389"/>
      <c r="T47" s="288"/>
      <c r="U47" s="288"/>
      <c r="V47" s="1390"/>
      <c r="W47" s="1390"/>
      <c r="X47" s="324" t="str">
        <f>Y46&amp;"-"&amp;AA46</f>
        <v>-</v>
      </c>
      <c r="Y47" s="2104"/>
      <c r="Z47" s="2104"/>
      <c r="AA47" s="2104"/>
      <c r="AB47" s="2104"/>
      <c r="AC47" s="320"/>
      <c r="AD47" s="320"/>
      <c r="AE47" s="324" t="str">
        <f>AF46&amp;"-"&amp;AH46</f>
        <v>-</v>
      </c>
      <c r="AF47" s="2113"/>
      <c r="AG47" s="1981"/>
      <c r="AH47" s="2115"/>
      <c r="AI47" s="1981"/>
      <c r="AJ47" s="1469"/>
      <c r="AK47" s="2200"/>
      <c r="AM47" s="506"/>
      <c r="AN47" s="506" t="str">
        <f>IF(T47="","",T47)</f>
        <v/>
      </c>
      <c r="AO47" s="506"/>
      <c r="AP47" s="506"/>
    </row>
    <row customHeight="1" ht="21">
      <c r="A48" s="1393" t="s">
        <v>439</v>
      </c>
      <c r="B48" s="1393" t="s">
        <v>440</v>
      </c>
      <c r="C48" s="1393" t="s">
        <v>441</v>
      </c>
      <c r="D48" s="1393" t="s">
        <v>710</v>
      </c>
      <c r="E48" s="2108"/>
      <c r="F48" s="2108"/>
      <c r="G48" s="2108"/>
      <c r="H48" s="2108"/>
      <c r="I48" s="2110"/>
      <c r="J48" s="2109"/>
      <c r="K48" s="1393"/>
      <c r="L48" s="1394"/>
      <c r="P48" s="2111"/>
      <c r="Q48" s="2111"/>
      <c r="R48" s="352"/>
      <c r="S48" s="1308"/>
      <c r="T48" s="275" t="s">
        <v>701</v>
      </c>
      <c r="U48" s="367"/>
      <c r="V48" s="367"/>
      <c r="W48" s="367"/>
      <c r="X48" s="367"/>
      <c r="Y48" s="367"/>
      <c r="Z48" s="367"/>
      <c r="AA48" s="367"/>
      <c r="AB48" s="367"/>
      <c r="AC48" s="367"/>
      <c r="AD48" s="367"/>
      <c r="AE48" s="367"/>
      <c r="AF48" s="367"/>
      <c r="AG48" s="367"/>
      <c r="AH48" s="367"/>
      <c r="AI48" s="367"/>
      <c r="AJ48" s="367"/>
      <c r="AK48" s="1286" t="s">
        <v>702</v>
      </c>
      <c r="AM48" s="506"/>
      <c r="AN48" s="506" t="str">
        <f>IF(T48="","",T48)</f>
        <v>Добавить значение признака дифференциации</v>
      </c>
      <c r="AO48" s="506"/>
      <c r="AP48" s="506"/>
    </row>
    <row customHeight="1" ht="21">
      <c r="A49" s="1393" t="s">
        <v>439</v>
      </c>
      <c r="B49" s="1393" t="s">
        <v>440</v>
      </c>
      <c r="C49" s="1393" t="s">
        <v>441</v>
      </c>
      <c r="D49" s="1393" t="s">
        <v>710</v>
      </c>
      <c r="E49" s="2108"/>
      <c r="F49" s="2108"/>
      <c r="G49" s="2108"/>
      <c r="H49" s="2108"/>
      <c r="I49" s="2109"/>
      <c r="J49" s="1393"/>
      <c r="K49" s="1393"/>
      <c r="L49" s="1394"/>
      <c r="P49" s="2111"/>
      <c r="Q49" s="1384"/>
      <c r="R49" s="352"/>
      <c r="S49" s="1308"/>
      <c r="T49" s="364" t="s">
        <v>627</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439</v>
      </c>
      <c r="B50" s="1393" t="s">
        <v>440</v>
      </c>
      <c r="C50" s="1393" t="s">
        <v>441</v>
      </c>
      <c r="D50" s="1393" t="s">
        <v>710</v>
      </c>
      <c r="E50" s="2108"/>
      <c r="F50" s="2108"/>
      <c r="G50" s="2108"/>
      <c r="H50" s="2107"/>
      <c r="I50" s="1393"/>
      <c r="J50" s="1393"/>
      <c r="K50" s="1393"/>
      <c r="L50" s="1394"/>
      <c r="M50" s="1395"/>
      <c r="N50" s="1395"/>
      <c r="O50" s="543"/>
      <c r="P50" s="356"/>
      <c r="Q50" s="376"/>
      <c r="R50" s="351"/>
      <c r="S50" s="1308"/>
      <c r="T50" s="372" t="s">
        <v>703</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4" customFormat="1" customHeight="1" ht="0">
      <c r="A51" s="1373" t="s">
        <v>439</v>
      </c>
      <c r="B51" s="1373" t="s">
        <v>440</v>
      </c>
      <c r="C51" s="1344"/>
      <c r="D51" s="1344"/>
      <c r="E51" s="2108"/>
      <c r="F51" s="2107"/>
      <c r="G51" s="1344"/>
      <c r="H51" s="1344"/>
      <c r="I51" s="1344"/>
      <c r="J51" s="1344"/>
      <c r="K51" s="1344"/>
      <c r="L51" s="1456"/>
      <c r="M51" s="1351"/>
      <c r="N51" s="1351"/>
      <c r="P51" s="1346"/>
      <c r="Q51" s="1347"/>
      <c r="R51" s="1346"/>
      <c r="S51" s="1352"/>
      <c r="T51" s="1355" t="s">
        <v>255</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2" customFormat="1" customHeight="1" ht="0">
      <c r="A52" s="1373" t="s">
        <v>439</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4" customFormat="1" customHeight="1" ht="0">
      <c r="A53" s="1344"/>
      <c r="B53" s="1344"/>
      <c r="C53" s="1344"/>
      <c r="D53" s="1344"/>
      <c r="E53" s="1373"/>
      <c r="F53" s="1344"/>
      <c r="G53" s="1344"/>
      <c r="H53" s="1344"/>
      <c r="I53" s="1344"/>
      <c r="J53" s="1344"/>
      <c r="K53" s="1344"/>
      <c r="L53" s="1456"/>
      <c r="M53" s="1351"/>
      <c r="N53" s="1351"/>
      <c r="P53" s="1346"/>
      <c r="Q53" s="1347"/>
      <c r="R53" s="1346"/>
      <c r="S53" s="1352"/>
      <c r="T53" s="1355" t="s">
        <v>398</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530AAA73-449A-7869-19EE-152859FD4329}" mc:Ignorable="x14ac xr xr2 xr3">
  <sheetPr>
    <tabColor rgb="FFCCCCFF"/>
  </sheetPr>
  <dimension ref="A1:P78"/>
  <sheetViews>
    <sheetView topLeftCell="A1" showGridLines="0" zoomScale="120" workbookViewId="0">
      <selection activeCell="F47" sqref="F47"/>
    </sheetView>
  </sheetViews>
  <sheetFormatPr defaultColWidth="9.140625" customHeight="1" defaultRowHeight="11.25"/>
  <cols>
    <col min="1" max="1" style="2517" width="10.7109375" hidden="1" customWidth="1"/>
    <col min="2" max="2" style="2507" width="10.7109375" hidden="1" customWidth="1"/>
    <col min="3" max="3" style="2608" width="3.7109375" customWidth="1"/>
    <col min="4" max="4" style="2609" width="1.7109375" customWidth="1"/>
    <col min="5" max="5" style="2609" width="55.28125" customWidth="1"/>
    <col min="6" max="6" style="2609" width="50.7109375" customWidth="1"/>
    <col min="7" max="7" style="2523" width="1.7109375" customWidth="1"/>
    <col min="8" max="8" style="2524" width="18.00390625" hidden="1" customWidth="1"/>
    <col min="9" max="9" style="2504" width="9.57421875" customWidth="1"/>
    <col min="10" max="10" style="2544" width="52.140625" hidden="1" customWidth="1"/>
    <col min="11" max="11" style="2609" width="9.140625"/>
    <col min="12" max="12" style="2609" width="78.00390625" customWidth="1"/>
    <col min="13" max="16" style="2609" width="9.140625"/>
  </cols>
  <sheetData>
    <row s="2501" customFormat="1" customHeight="1" ht="3">
      <c r="A1" s="789"/>
      <c r="B1" s="227"/>
      <c r="F1" s="228">
        <v>26354809</v>
      </c>
      <c r="G1" s="417"/>
      <c r="H1" s="56"/>
      <c r="I1" s="417"/>
      <c r="J1" s="877"/>
    </row>
    <row s="2505" customFormat="1" customHeight="1" ht="14.25">
      <c r="A2" s="789"/>
      <c r="B2" s="84"/>
      <c r="E2" s="1780" t="str">
        <f>code</f>
        <v>Код отчёта: PP110.OPEN.INFO.PRICE.HEAT.EIAS</v>
      </c>
      <c r="F2" s="255"/>
      <c r="G2" s="231"/>
      <c r="H2" s="231"/>
      <c r="I2" s="231"/>
      <c r="J2" s="878"/>
      <c r="K2" s="231"/>
    </row>
    <row customHeight="1" ht="14.25">
      <c r="E3" s="232" t="str">
        <f>version</f>
        <v>Версия отчёта: 1.0.5</v>
      </c>
      <c r="F3" s="255"/>
      <c r="G3" s="776"/>
      <c r="H3" s="776"/>
      <c r="I3" s="776"/>
      <c r="J3" s="879"/>
      <c r="K3" s="73"/>
    </row>
    <row s="2516" customFormat="1" customHeight="1" ht="6">
      <c r="A4" s="790"/>
      <c r="B4" s="218"/>
      <c r="C4" s="219"/>
      <c r="D4" s="220"/>
      <c r="E4" s="229"/>
      <c r="F4" s="230"/>
      <c r="G4" s="777"/>
      <c r="H4" s="415"/>
      <c r="I4" s="417"/>
      <c r="J4" s="880"/>
    </row>
    <row customHeight="1" ht="37.5">
      <c r="D5" s="60"/>
      <c r="E5" s="1949" t="str">
        <f>NameTemplatesInTitle</f>
        <v>Показатели, подлежащие раскрытию в сфере теплоснабжения (цены и тарифы)</v>
      </c>
      <c r="F5" s="1950"/>
      <c r="G5" s="778"/>
      <c r="J5" s="881"/>
    </row>
    <row s="2516" customFormat="1" customHeight="1" ht="6">
      <c r="A6" s="790"/>
      <c r="B6" s="218"/>
      <c r="C6" s="219"/>
      <c r="D6" s="220"/>
      <c r="E6" s="223"/>
      <c r="F6" s="224"/>
      <c r="G6" s="778"/>
      <c r="H6" s="415"/>
      <c r="I6" s="417"/>
      <c r="J6" s="880"/>
    </row>
    <row customHeight="1" ht="19.5">
      <c r="D7" s="60"/>
      <c r="E7" s="397" t="s">
        <v>13</v>
      </c>
      <c r="F7" s="201" t="s">
        <v>14</v>
      </c>
      <c r="G7" s="778"/>
    </row>
    <row s="2516" customFormat="1" customHeight="1" ht="6">
      <c r="A8" s="791"/>
      <c r="B8" s="218"/>
      <c r="C8" s="219"/>
      <c r="D8" s="225"/>
      <c r="E8" s="223"/>
      <c r="F8" s="226"/>
      <c r="G8" s="62"/>
      <c r="H8" s="415"/>
      <c r="I8" s="417"/>
      <c r="J8" s="883"/>
    </row>
    <row s="2524" customFormat="1" customHeight="1" ht="19.5" hidden="1">
      <c r="A9" s="790"/>
      <c r="B9" s="84"/>
      <c r="C9" s="414"/>
      <c r="D9" s="416"/>
      <c r="E9" s="1173" t="s">
        <v>15</v>
      </c>
      <c r="F9" s="1159"/>
      <c r="G9" s="778"/>
      <c r="I9" s="417"/>
      <c r="J9" s="882"/>
    </row>
    <row s="2545" customFormat="1" customHeight="1" ht="6">
      <c r="A10" s="791"/>
      <c r="B10" s="432"/>
      <c r="C10" s="433"/>
      <c r="D10" s="225"/>
      <c r="E10" s="223"/>
      <c r="F10" s="226"/>
      <c r="G10" s="62"/>
      <c r="H10" s="415"/>
      <c r="I10" s="417"/>
      <c r="J10" s="883"/>
    </row>
    <row customHeight="1" ht="22.5">
      <c r="A11" s="1952" t="s">
        <v>16</v>
      </c>
      <c r="D11" s="60"/>
      <c r="E11" s="1173" t="s">
        <v>17</v>
      </c>
      <c r="F11" s="2549">
        <v>44197</v>
      </c>
      <c r="G11" s="62"/>
      <c r="H11" s="779" t="s">
        <v>18</v>
      </c>
      <c r="J11" s="882" t="s">
        <v>19</v>
      </c>
    </row>
    <row customHeight="1" ht="22.5">
      <c r="A12" s="1952"/>
      <c r="D12" s="60"/>
      <c r="E12" s="1173" t="s">
        <v>20</v>
      </c>
      <c r="F12" s="2549">
        <v>45291</v>
      </c>
      <c r="G12" s="58"/>
      <c r="J12" s="882" t="s">
        <v>21</v>
      </c>
    </row>
    <row s="2524" customFormat="1" customHeight="1" ht="22.5" hidden="1">
      <c r="A13" s="794" t="s">
        <v>22</v>
      </c>
      <c r="B13" s="84"/>
      <c r="C13" s="414"/>
      <c r="D13" s="416"/>
      <c r="E13" s="1816" t="s">
        <v>23</v>
      </c>
      <c r="F13" s="1772" t="s">
        <v>24</v>
      </c>
      <c r="G13" s="62"/>
      <c r="H13" s="776"/>
      <c r="I13" s="417"/>
      <c r="J13" s="1817" t="s">
        <v>25</v>
      </c>
    </row>
    <row s="2524" customFormat="1" customHeight="1" ht="27" hidden="1">
      <c r="A14" s="794" t="s">
        <v>26</v>
      </c>
      <c r="B14" s="84"/>
      <c r="C14" s="414"/>
      <c r="D14" s="416"/>
      <c r="E14" s="1173" t="s">
        <v>27</v>
      </c>
      <c r="F14" s="1808"/>
      <c r="G14" s="62"/>
      <c r="H14" s="776"/>
      <c r="I14" s="417"/>
      <c r="J14" s="882" t="s">
        <v>28</v>
      </c>
    </row>
    <row s="2524" customFormat="1" customHeight="1" ht="19.5" hidden="1">
      <c r="A15" s="794" t="s">
        <v>29</v>
      </c>
      <c r="B15" s="84"/>
      <c r="C15" s="414"/>
      <c r="D15" s="416"/>
      <c r="E15" s="1173" t="s">
        <v>30</v>
      </c>
      <c r="F15" s="1808"/>
      <c r="G15" s="62"/>
      <c r="H15" s="776"/>
      <c r="I15" s="417"/>
      <c r="J15" s="882" t="s">
        <v>31</v>
      </c>
    </row>
    <row s="2516" customFormat="1" customHeight="1" ht="6">
      <c r="A16" s="791"/>
      <c r="B16" s="218"/>
      <c r="C16" s="219"/>
      <c r="D16" s="225"/>
      <c r="E16" s="223"/>
      <c r="F16" s="226"/>
      <c r="G16" s="62"/>
      <c r="H16" s="415"/>
      <c r="I16" s="417"/>
      <c r="J16" s="880"/>
    </row>
    <row customHeight="1" ht="19.5">
      <c r="D17" s="60"/>
      <c r="E17" s="397" t="s">
        <v>32</v>
      </c>
      <c r="F17" s="2557" t="s">
        <v>33</v>
      </c>
      <c r="G17" s="58"/>
      <c r="H17" s="779" t="s">
        <v>18</v>
      </c>
    </row>
    <row customHeight="1" ht="25.5">
      <c r="D18" s="60"/>
      <c r="E18" s="1816" t="s">
        <v>34</v>
      </c>
      <c r="F18" s="2558">
        <v>45175</v>
      </c>
      <c r="G18" s="58"/>
      <c r="I18" s="780"/>
      <c r="J18" s="1951" t="s">
        <v>35</v>
      </c>
    </row>
    <row customHeight="1" ht="25.5">
      <c r="D19" s="60"/>
      <c r="E19" s="1173"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558">
        <v>45175</v>
      </c>
      <c r="G19" s="58"/>
      <c r="I19" s="780"/>
      <c r="J19" s="1951"/>
    </row>
    <row customHeight="1" ht="22.5">
      <c r="D20" s="60"/>
      <c r="E20" s="61"/>
      <c r="F20" s="256" t="str">
        <f>"Первичное "&amp;IF(TEMPLATE_GROUP="P","установление тарифов","предложение по тарифам")</f>
        <v>Первичное установление тарифов</v>
      </c>
      <c r="G20" s="58"/>
      <c r="I20" s="400"/>
      <c r="J20" s="881" t="s">
        <v>36</v>
      </c>
    </row>
    <row customHeight="1" ht="19.5">
      <c r="D21" s="60"/>
      <c r="E21" s="397" t="str">
        <f>"Дата "&amp;IF(TEMPLATE_GROUP="P","документа","подачи заявления")&amp;" об утверждении тарифов"</f>
        <v>Дата документа об утверждении тарифов</v>
      </c>
      <c r="F21" s="2549">
        <v>44182</v>
      </c>
      <c r="G21" s="58"/>
      <c r="I21" s="781"/>
    </row>
    <row customHeight="1" ht="19.5">
      <c r="D22" s="60"/>
      <c r="E22" s="397" t="str">
        <f>"Номер "&amp;IF(TEMPLATE_GROUP="P","документа","подачи заявления")&amp;" об утверждении тарифов"</f>
        <v>Номер документа об утверждении тарифов</v>
      </c>
      <c r="F22" s="202" t="s">
        <v>37</v>
      </c>
      <c r="G22" s="58"/>
      <c r="I22" s="781"/>
    </row>
    <row customHeight="1" ht="22.5">
      <c r="D23" s="60"/>
      <c r="E23" s="397" t="s">
        <v>38</v>
      </c>
      <c r="F23" s="202" t="s">
        <v>39</v>
      </c>
      <c r="G23" s="58"/>
    </row>
    <row customHeight="1" ht="19.5">
      <c r="D24" s="60"/>
      <c r="E24" s="397" t="s">
        <v>40</v>
      </c>
      <c r="F24" s="202" t="s">
        <v>41</v>
      </c>
      <c r="G24" s="58"/>
    </row>
    <row customHeight="1" ht="22.5">
      <c r="D25" s="60"/>
      <c r="E25" s="61"/>
      <c r="F25" s="256" t="str">
        <f>"Изменение "&amp;IF(TEMPLATE_GROUP="P","тарифов","предложения по тарифам")</f>
        <v>Изменение тарифов</v>
      </c>
      <c r="G25" s="58"/>
      <c r="J25" s="881" t="s">
        <v>42</v>
      </c>
    </row>
    <row customHeight="1" ht="19.5">
      <c r="D26" s="60"/>
      <c r="E26" s="397" t="str">
        <f>"Дата "&amp;IF(TEMPLATE_GROUP="P","принятия решения","подачи заявления")&amp;" об изменении тарифов"</f>
        <v>Дата принятия решения об изменении тарифов</v>
      </c>
      <c r="F26" s="2558">
        <v>45205</v>
      </c>
      <c r="G26" s="58"/>
    </row>
    <row customHeight="1" ht="19.5">
      <c r="D27" s="60"/>
      <c r="E27" s="1173" t="str">
        <f>"Номер "&amp;IF(TEMPLATE_GROUP="P","принятия решения","заявления")&amp;" об изменении тарифов"</f>
        <v>Номер принятия решения об изменении тарифов</v>
      </c>
      <c r="F27" s="2566" t="s">
        <v>43</v>
      </c>
      <c r="G27" s="58"/>
    </row>
    <row customHeight="1" ht="24.75">
      <c r="D28" s="60"/>
      <c r="E28" s="397" t="s">
        <v>44</v>
      </c>
      <c r="F28" s="2566" t="s">
        <v>39</v>
      </c>
      <c r="G28" s="58"/>
    </row>
    <row customHeight="1" ht="19.5">
      <c r="D29" s="60"/>
      <c r="E29" s="397" t="s">
        <v>40</v>
      </c>
      <c r="F29" s="2566" t="s">
        <v>45</v>
      </c>
      <c r="G29" s="58"/>
    </row>
    <row s="2516" customFormat="1" customHeight="1" ht="6">
      <c r="A30" s="791"/>
      <c r="B30" s="218"/>
      <c r="C30" s="219"/>
      <c r="D30" s="225"/>
      <c r="E30" s="223"/>
      <c r="F30" s="226"/>
      <c r="G30" s="62"/>
      <c r="H30" s="415"/>
      <c r="I30" s="417"/>
      <c r="J30" s="880"/>
    </row>
    <row customHeight="1" ht="19.5">
      <c r="C31" s="63"/>
      <c r="D31" s="64"/>
      <c r="E31" s="397" t="s">
        <v>46</v>
      </c>
      <c r="F31" s="203" t="s">
        <v>47</v>
      </c>
      <c r="G31" s="782"/>
    </row>
    <row customHeight="1" ht="19.5" hidden="1">
      <c r="C32" s="63"/>
      <c r="D32" s="64"/>
      <c r="E32" s="398" t="s">
        <v>48</v>
      </c>
      <c r="F32" s="1807"/>
      <c r="G32" s="782"/>
    </row>
    <row customHeight="1" ht="19.5">
      <c r="C33" s="63"/>
      <c r="D33" s="64"/>
      <c r="E33" s="397" t="s">
        <v>49</v>
      </c>
      <c r="F33" s="203" t="s">
        <v>50</v>
      </c>
      <c r="G33" s="782"/>
    </row>
    <row customHeight="1" ht="19.5">
      <c r="C34" s="63"/>
      <c r="D34" s="64"/>
      <c r="E34" s="397" t="s">
        <v>51</v>
      </c>
      <c r="F34" s="203" t="s">
        <v>52</v>
      </c>
      <c r="G34" s="782"/>
      <c r="H34" s="65"/>
    </row>
    <row s="2516" customFormat="1" customHeight="1" ht="11.25">
      <c r="A35" s="791"/>
      <c r="B35" s="218"/>
      <c r="C35" s="219"/>
      <c r="D35" s="225"/>
      <c r="E35" s="223"/>
      <c r="F35" s="226"/>
      <c r="G35" s="62"/>
      <c r="H35" s="415"/>
      <c r="I35" s="417"/>
      <c r="J35" s="880"/>
    </row>
    <row customHeight="1" ht="19.5">
      <c r="A36" s="885"/>
      <c r="D36" s="64"/>
      <c r="E36" s="397" t="s">
        <v>53</v>
      </c>
      <c r="F36" s="2575" t="s">
        <v>54</v>
      </c>
      <c r="G36" s="62"/>
    </row>
    <row customHeight="1" ht="19.5">
      <c r="A37" s="885"/>
      <c r="D37" s="64"/>
      <c r="E37" s="397" t="s">
        <v>55</v>
      </c>
      <c r="F37" s="344" t="s">
        <v>56</v>
      </c>
      <c r="G37" s="62"/>
    </row>
    <row s="2516" customFormat="1" customHeight="1" ht="6">
      <c r="A38" s="791"/>
      <c r="B38" s="218"/>
      <c r="C38" s="219"/>
      <c r="D38" s="220"/>
      <c r="E38" s="221"/>
      <c r="F38" s="1060"/>
      <c r="G38" s="58"/>
      <c r="H38" s="415"/>
      <c r="I38" s="417"/>
      <c r="J38" s="882"/>
    </row>
    <row customHeight="1" ht="22.5">
      <c r="A39" s="791"/>
      <c r="D39" s="60"/>
      <c r="E39" s="397" t="s">
        <v>57</v>
      </c>
      <c r="F39" s="716" t="s">
        <v>58</v>
      </c>
      <c r="G39" s="58"/>
      <c r="H39" s="779" t="s">
        <v>18</v>
      </c>
    </row>
    <row s="2545" customFormat="1" customHeight="1" ht="6" hidden="1">
      <c r="A40" s="790"/>
      <c r="B40" s="432"/>
      <c r="C40" s="433"/>
      <c r="D40" s="434"/>
      <c r="E40" s="435"/>
      <c r="F40" s="1060"/>
      <c r="G40" s="58"/>
      <c r="H40" s="415"/>
      <c r="I40" s="417"/>
      <c r="J40" s="882"/>
    </row>
    <row s="2524" customFormat="1" customHeight="1" ht="19.5" hidden="1">
      <c r="A41" s="794" t="s">
        <v>22</v>
      </c>
      <c r="B41" s="419"/>
      <c r="C41" s="414"/>
      <c r="D41" s="416"/>
      <c r="E41" s="39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16" t="s">
        <v>58</v>
      </c>
      <c r="G41" s="58"/>
      <c r="I41" s="417"/>
      <c r="J41" s="882"/>
    </row>
    <row s="2545" customFormat="1" customHeight="1" ht="6">
      <c r="A42" s="790"/>
      <c r="B42" s="432"/>
      <c r="C42" s="433"/>
      <c r="D42" s="434"/>
      <c r="E42" s="435"/>
      <c r="F42" s="1060"/>
      <c r="G42" s="58"/>
      <c r="H42" s="415"/>
      <c r="I42" s="417"/>
      <c r="J42" s="880"/>
    </row>
    <row s="2524" customFormat="1" customHeight="1" ht="22.5">
      <c r="A43" s="790"/>
      <c r="B43" s="419"/>
      <c r="C43" s="414"/>
      <c r="D43" s="416"/>
      <c r="E43" s="397" t="s">
        <v>59</v>
      </c>
      <c r="F43" s="716" t="s">
        <v>58</v>
      </c>
      <c r="G43" s="58"/>
      <c r="I43" s="417"/>
      <c r="J43" s="882"/>
    </row>
    <row s="2524" customFormat="1" customHeight="1" ht="22.5" hidden="1">
      <c r="A44" s="790"/>
      <c r="B44" s="419"/>
      <c r="C44" s="414"/>
      <c r="D44" s="416"/>
      <c r="E44" s="1173" t="s">
        <v>60</v>
      </c>
      <c r="F44" s="2583"/>
      <c r="G44" s="58"/>
      <c r="I44" s="417"/>
      <c r="J44" s="882"/>
    </row>
    <row s="2545" customFormat="1" customHeight="1" ht="6">
      <c r="A45" s="790"/>
      <c r="B45" s="432"/>
      <c r="C45" s="433"/>
      <c r="D45" s="434"/>
      <c r="E45" s="435"/>
      <c r="F45" s="1060"/>
      <c r="G45" s="58"/>
      <c r="H45" s="415"/>
      <c r="I45" s="417"/>
      <c r="J45" s="882"/>
    </row>
    <row s="2545" customFormat="1" customHeight="1" ht="22.5">
      <c r="A46" s="790"/>
      <c r="B46" s="432"/>
      <c r="C46" s="433"/>
      <c r="D46" s="434"/>
      <c r="E46" s="1173" t="s">
        <v>61</v>
      </c>
      <c r="F46" s="716" t="s">
        <v>58</v>
      </c>
      <c r="G46" s="58"/>
      <c r="H46" s="415"/>
      <c r="I46" s="417"/>
      <c r="J46" s="882"/>
    </row>
    <row s="2524" customFormat="1" customHeight="1" ht="22.5">
      <c r="A47" s="790"/>
      <c r="B47" s="419"/>
      <c r="C47" s="414"/>
      <c r="D47" s="416"/>
      <c r="E47" s="1173" t="s">
        <v>62</v>
      </c>
      <c r="F47" s="716" t="s">
        <v>63</v>
      </c>
      <c r="G47" s="58"/>
      <c r="I47" s="417"/>
      <c r="J47" s="882"/>
    </row>
    <row s="2516" customFormat="1" customHeight="1" ht="6">
      <c r="A48" s="790"/>
      <c r="B48" s="218"/>
      <c r="C48" s="219"/>
      <c r="D48" s="220"/>
      <c r="E48" s="221"/>
      <c r="F48" s="1060"/>
      <c r="G48" s="58"/>
      <c r="H48" s="415"/>
      <c r="I48" s="417"/>
      <c r="J48" s="882"/>
    </row>
    <row customHeight="1" ht="19.5">
      <c r="B49" s="134"/>
      <c r="D49" s="60"/>
      <c r="E49" s="39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16" t="s">
        <v>63</v>
      </c>
      <c r="G49" s="58"/>
    </row>
    <row s="2545" customFormat="1" customHeight="1" ht="6" hidden="1">
      <c r="A50" s="791"/>
      <c r="B50" s="432"/>
      <c r="C50" s="433"/>
      <c r="D50" s="225"/>
      <c r="E50" s="223"/>
      <c r="F50" s="226"/>
      <c r="G50" s="62"/>
      <c r="H50" s="415"/>
      <c r="I50" s="417"/>
      <c r="J50" s="882"/>
    </row>
    <row s="2585" customFormat="1" customHeight="1" ht="22.5" hidden="1">
      <c r="A51" s="792"/>
      <c r="B51" s="419"/>
      <c r="C51" s="536"/>
      <c r="D51" s="537"/>
      <c r="E51" s="397" t="s">
        <v>64</v>
      </c>
      <c r="F51" s="716" t="s">
        <v>58</v>
      </c>
      <c r="G51" s="538"/>
      <c r="I51" s="540"/>
      <c r="J51" s="884"/>
      <c r="P51" s="541"/>
    </row>
    <row s="2545" customFormat="1" customHeight="1" ht="6" hidden="1">
      <c r="A52" s="791"/>
      <c r="B52" s="432"/>
      <c r="C52" s="433"/>
      <c r="D52" s="225"/>
      <c r="E52" s="223"/>
      <c r="F52" s="226"/>
      <c r="G52" s="62"/>
      <c r="H52" s="415"/>
      <c r="I52" s="417"/>
      <c r="J52" s="880"/>
    </row>
    <row s="2585" customFormat="1" customHeight="1" ht="22.5" hidden="1">
      <c r="A53" s="792"/>
      <c r="B53" s="419"/>
      <c r="C53" s="536"/>
      <c r="D53" s="537"/>
      <c r="E53" s="397" t="s">
        <v>65</v>
      </c>
      <c r="F53" s="1055" t="s">
        <v>58</v>
      </c>
      <c r="G53" s="538"/>
      <c r="I53" s="540"/>
      <c r="J53" s="884"/>
      <c r="P53" s="541"/>
    </row>
    <row s="2585" customFormat="1" customHeight="1" ht="22.5" hidden="1">
      <c r="A54" s="792"/>
      <c r="B54" s="419"/>
      <c r="C54" s="536"/>
      <c r="D54" s="537"/>
      <c r="E54" s="397" t="s">
        <v>66</v>
      </c>
      <c r="F54" s="1815"/>
      <c r="G54" s="538"/>
      <c r="I54" s="540"/>
      <c r="J54" s="884"/>
      <c r="P54" s="541"/>
    </row>
    <row s="2545" customFormat="1" customHeight="1" ht="6" hidden="1">
      <c r="A55" s="791"/>
      <c r="B55" s="432"/>
      <c r="C55" s="433"/>
      <c r="D55" s="225"/>
      <c r="E55" s="223"/>
      <c r="F55" s="226"/>
      <c r="G55" s="62"/>
      <c r="H55" s="415"/>
      <c r="I55" s="417"/>
      <c r="J55" s="880"/>
    </row>
    <row s="2585" customFormat="1" customHeight="1" ht="22.5" hidden="1">
      <c r="A56" s="792"/>
      <c r="B56" s="419"/>
      <c r="C56" s="536"/>
      <c r="D56" s="537"/>
      <c r="E56" s="397" t="s">
        <v>67</v>
      </c>
      <c r="F56" s="1055" t="s">
        <v>58</v>
      </c>
      <c r="G56" s="538"/>
      <c r="I56" s="540"/>
      <c r="J56" s="884"/>
      <c r="P56" s="541"/>
    </row>
    <row s="2545" customFormat="1" customHeight="1" ht="6" hidden="1">
      <c r="A57" s="791"/>
      <c r="B57" s="432"/>
      <c r="C57" s="433"/>
      <c r="D57" s="225"/>
      <c r="E57" s="223"/>
      <c r="F57" s="226"/>
      <c r="G57" s="62"/>
      <c r="H57" s="415"/>
      <c r="I57" s="417"/>
      <c r="J57" s="880"/>
    </row>
    <row s="2585" customFormat="1" customHeight="1" ht="15" hidden="1">
      <c r="A58" s="792"/>
      <c r="B58" s="419"/>
      <c r="C58" s="536"/>
      <c r="D58" s="537"/>
      <c r="E58" s="397" t="s">
        <v>68</v>
      </c>
      <c r="F58" s="1055" t="s">
        <v>63</v>
      </c>
      <c r="G58" s="538"/>
      <c r="I58" s="540"/>
      <c r="J58" s="884"/>
      <c r="P58" s="541"/>
    </row>
    <row s="2585" customFormat="1" customHeight="1" ht="15" hidden="1">
      <c r="A59" s="792"/>
      <c r="B59" s="419"/>
      <c r="C59" s="536"/>
      <c r="D59" s="537"/>
      <c r="E59" s="39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99"/>
      <c r="G59" s="538"/>
      <c r="I59" s="540"/>
      <c r="J59" s="884"/>
      <c r="P59" s="541"/>
    </row>
    <row s="2585" customFormat="1" customHeight="1" ht="15" hidden="1">
      <c r="A60" s="792"/>
      <c r="B60" s="419"/>
      <c r="C60" s="536"/>
      <c r="D60" s="537"/>
      <c r="E60" s="1173" t="s">
        <v>69</v>
      </c>
      <c r="F60" s="1159"/>
      <c r="G60" s="538"/>
      <c r="I60" s="540"/>
      <c r="J60" s="884"/>
      <c r="P60" s="541"/>
    </row>
    <row s="2545" customFormat="1" customHeight="1" ht="6" hidden="1">
      <c r="A61" s="791"/>
      <c r="B61" s="432"/>
      <c r="C61" s="433"/>
      <c r="D61" s="434"/>
      <c r="E61" s="435"/>
      <c r="F61" s="1060"/>
      <c r="G61" s="58"/>
      <c r="H61" s="415"/>
      <c r="I61" s="417"/>
      <c r="J61" s="882"/>
    </row>
    <row s="2524" customFormat="1" customHeight="1" ht="33.75" hidden="1">
      <c r="A62" s="791"/>
      <c r="B62" s="84"/>
      <c r="C62" s="414"/>
      <c r="D62" s="416"/>
      <c r="E62" s="1173" t="s">
        <v>70</v>
      </c>
      <c r="F62" s="1711" t="s">
        <v>63</v>
      </c>
      <c r="G62" s="58"/>
      <c r="H62" s="779" t="s">
        <v>18</v>
      </c>
      <c r="I62" s="417"/>
      <c r="J62" s="882"/>
    </row>
    <row s="2516" customFormat="1" customHeight="1" ht="6">
      <c r="A63" s="791"/>
      <c r="B63" s="218"/>
      <c r="C63" s="219"/>
      <c r="D63" s="225"/>
      <c r="E63" s="223"/>
      <c r="F63" s="226"/>
      <c r="G63" s="62"/>
      <c r="H63" s="415"/>
      <c r="I63" s="417"/>
      <c r="J63" s="880"/>
    </row>
    <row customHeight="1" ht="19.5">
      <c r="A64" s="793"/>
      <c r="B64" s="85"/>
      <c r="D64" s="67"/>
      <c r="E64" s="397" t="s">
        <v>71</v>
      </c>
      <c r="F64" s="202" t="s">
        <v>72</v>
      </c>
      <c r="G64" s="62"/>
    </row>
    <row customHeight="1" ht="19.5">
      <c r="A65" s="793"/>
      <c r="B65" s="85"/>
      <c r="D65" s="67"/>
      <c r="E65" s="397" t="s">
        <v>73</v>
      </c>
      <c r="F65" s="202" t="s">
        <v>74</v>
      </c>
      <c r="G65" s="62"/>
    </row>
    <row customHeight="1" ht="35.25">
      <c r="D66" s="60"/>
      <c r="E66" s="399" t="s">
        <v>75</v>
      </c>
      <c r="F66" s="1061"/>
      <c r="G66" s="58"/>
    </row>
    <row customHeight="1" ht="19.5">
      <c r="A67" s="793"/>
      <c r="D67" s="416"/>
      <c r="E67" s="397" t="s">
        <v>76</v>
      </c>
      <c r="F67" s="257" t="s">
        <v>77</v>
      </c>
      <c r="G67" s="62"/>
    </row>
    <row customHeight="1" ht="19.5">
      <c r="A68" s="793"/>
      <c r="B68" s="85"/>
      <c r="D68" s="67"/>
      <c r="E68" s="397" t="s">
        <v>78</v>
      </c>
      <c r="F68" s="257" t="s">
        <v>79</v>
      </c>
      <c r="G68" s="62"/>
    </row>
    <row customHeight="1" ht="19.5">
      <c r="A69" s="793"/>
      <c r="B69" s="85"/>
      <c r="D69" s="67"/>
      <c r="E69" s="397" t="s">
        <v>80</v>
      </c>
      <c r="F69" s="257" t="s">
        <v>81</v>
      </c>
      <c r="G69" s="62"/>
    </row>
    <row customHeight="1" ht="19.5">
      <c r="D70" s="416"/>
      <c r="E70" s="397" t="s">
        <v>82</v>
      </c>
      <c r="F70" s="257" t="s">
        <v>83</v>
      </c>
      <c r="G70" s="58"/>
    </row>
    <row customHeight="1" ht="20.25">
      <c r="A71" s="793"/>
      <c r="D71" s="58"/>
      <c r="F71" s="119"/>
      <c r="G71" s="62"/>
    </row>
    <row customHeight="1" ht="19.5">
      <c r="A72" s="793"/>
      <c r="B72" s="85"/>
      <c r="D72" s="67"/>
      <c r="E72" s="66"/>
      <c r="F72" s="120"/>
      <c r="G72" s="62"/>
    </row>
    <row customHeight="1" ht="19.5">
      <c r="A73" s="793"/>
      <c r="B73" s="85"/>
      <c r="D73" s="67"/>
      <c r="E73" s="66"/>
      <c r="F73" s="120"/>
      <c r="G73" s="62"/>
    </row>
    <row customHeight="1" ht="19.5">
      <c r="A74" s="793"/>
      <c r="B74" s="85"/>
      <c r="D74" s="67"/>
      <c r="E74" s="71"/>
      <c r="F74" s="120"/>
      <c r="G74" s="62"/>
    </row>
    <row customHeight="1" ht="19.5">
      <c r="A75" s="793"/>
      <c r="B75" s="85"/>
      <c r="D75" s="67"/>
      <c r="E75" s="66"/>
      <c r="F75" s="120"/>
      <c r="G75" s="62"/>
    </row>
    <row r="78" customHeight="1" ht="11.25">
      <c r="E78" s="396"/>
      <c r="F78" s="396"/>
      <c r="G78" s="396"/>
      <c r="H78" s="396"/>
      <c r="I78" s="396"/>
    </row>
  </sheetData>
  <sheetProtection formatColumns="0" formatRows="0" sort="0" autoFilter="0" insertRows="0" insertColumns="1" deleteRows="0" deleteColumns="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ECF519C7-0CF4-F6CD-D05F-EE05B88113C5}"/>
    <hyperlink ref="H17" location="Титульный!H9" display="Как заполнить?" tooltip="Помощь по работе с полями отчётной формы" xr:uid="{1BED0E58-9CDD-361C-36A3-B883AFB9CBA2}"/>
    <hyperlink ref="H39" location="Титульный!H9" display="Как заполнить?" tooltip="Помощь по работе с полями отчётной формы" xr:uid="{E983CB08-F203-DEA7-9409-E60E16CF0D4D}"/>
    <hyperlink ref="H62" location="Титульный!H9" display="Как заполнить?" tooltip="Помощь по работе с полями отчётной формы" xr:uid="{EAAEDA77-8188-3D51-47A6-E0DC02447276}"/>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634F8F-88E7-8C41-A92B-016EDE60C153}"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4.140625" hidden="1" customWidth="1"/>
    <col min="10" max="10" style="2683" width="9.8515625" hidden="1" customWidth="1"/>
    <col min="11" max="11" style="2683" width="14.7109375" hidden="1" customWidth="1"/>
    <col min="12" max="12" style="12279" width="19.140625" hidden="1" customWidth="1"/>
    <col min="13" max="14" style="3334" width="12.28125" hidden="1" customWidth="1"/>
    <col min="15" max="15" style="3334" width="23.421875" hidden="1" customWidth="1"/>
    <col min="16" max="16" style="12284" width="3.7109375" customWidth="1"/>
    <col min="17" max="18" style="3411" width="3.7109375" customWidth="1"/>
    <col min="19" max="19" style="3412" width="12.7109375" customWidth="1"/>
    <col min="20" max="20" style="2984" width="35.7109375" customWidth="1"/>
    <col min="21" max="21" style="2984" width="0.140625" customWidth="1"/>
    <col min="22" max="24" style="2984" width="24.7109375" hidden="1" customWidth="1"/>
    <col min="25" max="25" style="2984" width="11.7109375" hidden="1" customWidth="1"/>
    <col min="26" max="26" style="2984" width="3.7109375" hidden="1" customWidth="1"/>
    <col min="27" max="27" style="2984" width="11.7109375" hidden="1" customWidth="1"/>
    <col min="28" max="28" style="2984" width="8.57421875" hidden="1" customWidth="1"/>
    <col min="29" max="31" style="2984" width="24.7109375" customWidth="1"/>
    <col min="32" max="32" style="2984" width="11.7109375" customWidth="1"/>
    <col min="33" max="33" style="2984" width="3.7109375" customWidth="1"/>
    <col min="34" max="34" style="2984" width="11.7109375" customWidth="1"/>
    <col min="35" max="35" style="2984" width="8.57421875" hidden="1" customWidth="1"/>
    <col min="36" max="36" style="2984" width="4.7109375" customWidth="1"/>
    <col min="37" max="37" style="2984" width="115.7109375" customWidth="1"/>
    <col min="38" max="39" style="2612" width="10.57421875"/>
    <col min="40" max="40" style="2612" width="11.140625" customWidth="1"/>
    <col min="41" max="42" style="2612"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487">
        <f>INDEX(PT_DIFFERENTIATION_NUM_NTAR,MATCH(A2,PT_DIFFERENTIATION_NTAR_ID,0))</f>
      </c>
      <c r="T2" s="286" t="s">
        <v>204</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483"/>
      <c r="Q3" s="348"/>
      <c r="R3" s="349"/>
      <c r="S3" s="1487">
        <f>INDEX(PT_DIFFERENTIATION_NUM_TER,MATCH(B3,PT_DIFFERENTIATION_TER_ID,0))</f>
      </c>
      <c r="T3" s="298" t="s">
        <v>612</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613</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487">
        <f>INDEX(PT_DIFFERENTIATION_NUM_CS,MATCH(C4,PT_DIFFERENTIATION_CS_ID,0))</f>
      </c>
      <c r="T4" s="299" t="s">
        <v>696</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697</v>
      </c>
      <c r="AM4" s="506"/>
      <c r="AN4" s="506" t="str">
        <f>IF(T4="","",T4)</f>
        <v>Наименование централизованной системы холодного водоснабжения</v>
      </c>
      <c r="AO4" s="506"/>
      <c r="AP4" s="506"/>
    </row>
    <row customHeight="1" ht="23.25" hidden="1">
      <c r="A5" s="1393"/>
      <c r="B5" s="1393"/>
      <c r="C5" s="1393"/>
      <c r="D5" s="1393"/>
      <c r="E5" s="2108"/>
      <c r="F5" s="2108"/>
      <c r="G5" s="2108"/>
      <c r="H5" s="2108"/>
      <c r="I5" s="2109">
        <f>S4&amp;".1"</f>
      </c>
      <c r="J5" s="1393"/>
      <c r="K5" s="1393"/>
      <c r="L5" s="1394"/>
      <c r="P5" s="2111">
        <v>1</v>
      </c>
      <c r="Q5" s="1480"/>
      <c r="R5" s="352"/>
      <c r="S5" s="1487">
        <f>$I5</f>
      </c>
      <c r="T5" s="273" t="s">
        <v>698</v>
      </c>
      <c r="U5" s="288"/>
      <c r="V5" s="2194"/>
      <c r="W5" s="2195"/>
      <c r="X5" s="2195"/>
      <c r="Y5" s="2195"/>
      <c r="Z5" s="2195"/>
      <c r="AA5" s="2195"/>
      <c r="AB5" s="2196"/>
      <c r="AC5" s="2197"/>
      <c r="AD5" s="2198"/>
      <c r="AE5" s="2198"/>
      <c r="AF5" s="2198"/>
      <c r="AG5" s="2198"/>
      <c r="AH5" s="2198"/>
      <c r="AI5" s="2198"/>
      <c r="AJ5" s="2199"/>
      <c r="AK5" s="1286" t="s">
        <v>699</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621</v>
      </c>
      <c r="P6" s="2111"/>
      <c r="Q6" s="2111">
        <v>1</v>
      </c>
      <c r="R6" s="353"/>
      <c r="S6" s="1487">
        <f>$J6</f>
      </c>
      <c r="T6" s="274" t="s">
        <v>622</v>
      </c>
      <c r="U6" s="288"/>
      <c r="V6" s="2095"/>
      <c r="W6" s="2096"/>
      <c r="X6" s="2096"/>
      <c r="Y6" s="2096"/>
      <c r="Z6" s="2096"/>
      <c r="AA6" s="2096"/>
      <c r="AB6" s="2097"/>
      <c r="AC6" s="2095"/>
      <c r="AD6" s="2096"/>
      <c r="AE6" s="2096"/>
      <c r="AF6" s="2096"/>
      <c r="AG6" s="2096"/>
      <c r="AH6" s="2096"/>
      <c r="AI6" s="2096"/>
      <c r="AJ6" s="2097"/>
      <c r="AK6" s="1337" t="s">
        <v>700</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487">
        <f>$K7</f>
      </c>
      <c r="T7" s="1467"/>
      <c r="U7" s="288"/>
      <c r="V7" s="757"/>
      <c r="W7" s="757"/>
      <c r="X7" s="1285"/>
      <c r="Y7" s="2112"/>
      <c r="Z7" s="1981" t="s">
        <v>63</v>
      </c>
      <c r="AA7" s="2112"/>
      <c r="AB7" s="1981" t="s">
        <v>63</v>
      </c>
      <c r="AC7" s="757"/>
      <c r="AD7" s="757"/>
      <c r="AE7" s="1285"/>
      <c r="AF7" s="2112"/>
      <c r="AG7" s="1981" t="s">
        <v>63</v>
      </c>
      <c r="AH7" s="2114"/>
      <c r="AI7" s="1981" t="s">
        <v>63</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486"/>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701</v>
      </c>
      <c r="U9" s="367"/>
      <c r="V9" s="367"/>
      <c r="W9" s="367"/>
      <c r="X9" s="367"/>
      <c r="Y9" s="367"/>
      <c r="Z9" s="367"/>
      <c r="AA9" s="367"/>
      <c r="AB9" s="367"/>
      <c r="AC9" s="367"/>
      <c r="AD9" s="367"/>
      <c r="AE9" s="367"/>
      <c r="AF9" s="367"/>
      <c r="AG9" s="367"/>
      <c r="AH9" s="367"/>
      <c r="AI9" s="367"/>
      <c r="AJ9" s="367"/>
      <c r="AK9" s="1286" t="s">
        <v>702</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480"/>
      <c r="R10" s="352"/>
      <c r="S10" s="1308"/>
      <c r="T10" s="364" t="s">
        <v>627</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21" hidden="1">
      <c r="A11" s="1393"/>
      <c r="B11" s="1393"/>
      <c r="C11" s="1393"/>
      <c r="D11" s="1393"/>
      <c r="E11" s="2108"/>
      <c r="F11" s="2108"/>
      <c r="G11" s="2108"/>
      <c r="H11" s="2107"/>
      <c r="I11" s="1393"/>
      <c r="J11" s="1393"/>
      <c r="K11" s="1393"/>
      <c r="L11" s="1394"/>
      <c r="M11" s="1395"/>
      <c r="N11" s="1395"/>
      <c r="O11" s="543"/>
      <c r="P11" s="356"/>
      <c r="Q11" s="376"/>
      <c r="R11" s="351"/>
      <c r="S11" s="1308"/>
      <c r="T11" s="372" t="s">
        <v>703</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4" customFormat="1" customHeight="1" ht="14.25" hidden="1">
      <c r="A12" s="1373"/>
      <c r="B12" s="1373"/>
      <c r="C12" s="1344"/>
      <c r="D12" s="1344"/>
      <c r="E12" s="2108"/>
      <c r="F12" s="2107"/>
      <c r="G12" s="1344"/>
      <c r="H12" s="1344"/>
      <c r="I12" s="1344"/>
      <c r="J12" s="1344"/>
      <c r="K12" s="1344"/>
      <c r="L12" s="1488"/>
      <c r="M12" s="1351"/>
      <c r="N12" s="1351"/>
      <c r="P12" s="1346"/>
      <c r="Q12" s="1347"/>
      <c r="R12" s="1346"/>
      <c r="S12" s="1352"/>
      <c r="T12" s="1355" t="s">
        <v>255</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2"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63</v>
      </c>
      <c r="AH15" s="2105"/>
      <c r="AI15" s="2104" t="s">
        <v>63</v>
      </c>
    </row>
    <row customHeight="1" ht="14.25" hidden="1">
      <c r="AC16" s="1390"/>
      <c r="AD16" s="1390"/>
      <c r="AE16" s="324" t="str">
        <f>AF15&amp;"-"&amp;AH15</f>
        <v>-</v>
      </c>
      <c r="AF16" s="2104"/>
      <c r="AG16" s="2104"/>
      <c r="AH16" s="2104"/>
      <c r="AI16" s="2104"/>
    </row>
    <row customHeight="1" ht="14.25" hidden="1">
      <c r="AI17" s="323"/>
    </row>
    <row s="2683" customFormat="1" customHeight="1" ht="22.5" hidden="1">
      <c r="L18" s="1477"/>
      <c r="M18" s="1392"/>
      <c r="N18" s="1392"/>
      <c r="O18" s="1397" t="s">
        <v>629</v>
      </c>
      <c r="P18" s="1392"/>
      <c r="Q18" s="1401"/>
      <c r="R18" s="1401"/>
      <c r="S18" s="735"/>
      <c r="Y18" s="1397"/>
      <c r="AA18" s="1397"/>
      <c r="AB18" s="1396"/>
      <c r="AF18" s="1397"/>
      <c r="AH18" s="1397"/>
      <c r="AI18" s="1396"/>
      <c r="AL18" s="517"/>
      <c r="AM18" s="517"/>
      <c r="AN18" s="517"/>
      <c r="AO18" s="517"/>
      <c r="AP18" s="517"/>
    </row>
    <row s="2683" customFormat="1" customHeight="1" ht="14.25" hidden="1">
      <c r="L19" s="1477"/>
      <c r="M19" s="1392"/>
      <c r="N19" s="1392"/>
      <c r="O19" s="1392"/>
      <c r="P19" s="1392"/>
      <c r="Q19" s="1401"/>
      <c r="R19" s="1401"/>
      <c r="S19" s="735"/>
      <c r="AB19" s="1396"/>
      <c r="AI19" s="1396"/>
      <c r="AL19" s="517"/>
      <c r="AM19" s="517"/>
      <c r="AN19" s="517"/>
      <c r="AO19" s="517"/>
      <c r="AP19" s="517"/>
    </row>
    <row s="2683" customFormat="1" customHeight="1" ht="12" hidden="1">
      <c r="L20" s="1477"/>
      <c r="M20" s="1392"/>
      <c r="N20" s="1392"/>
      <c r="O20" s="1394" t="s">
        <v>630</v>
      </c>
      <c r="P20" s="1392"/>
      <c r="Q20" s="1472"/>
      <c r="R20" s="1472"/>
      <c r="S20" s="735"/>
      <c r="T20" s="1168" t="s">
        <v>631</v>
      </c>
      <c r="Z20" s="172" t="s">
        <v>632</v>
      </c>
      <c r="AB20" s="172" t="s">
        <v>633</v>
      </c>
      <c r="AC20" s="1168" t="s">
        <v>631</v>
      </c>
      <c r="AG20" s="172" t="s">
        <v>634</v>
      </c>
      <c r="AI20" s="172" t="s">
        <v>633</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14.25">
      <c r="Q24" s="377"/>
      <c r="R24" s="377"/>
      <c r="S24" s="214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5"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5" customFormat="1" customHeight="1" ht="18.75">
      <c r="A28" s="1398"/>
      <c r="B28" s="1398"/>
      <c r="C28" s="1398"/>
      <c r="D28" s="1398"/>
      <c r="E28" s="1398"/>
      <c r="F28" s="1398"/>
      <c r="G28" s="1398"/>
      <c r="H28" s="1398"/>
      <c r="I28" s="1398"/>
      <c r="J28" s="1398"/>
      <c r="K28" s="1398"/>
      <c r="L28" s="1399"/>
      <c r="M28" s="1398"/>
      <c r="N28" s="1398"/>
      <c r="O28" s="1398"/>
      <c r="S28" s="2098" t="s">
        <v>635</v>
      </c>
      <c r="T28" s="2098"/>
      <c r="U28" s="1402"/>
      <c r="V28" s="2099" t="str">
        <f>IF(TITLE_DATE_PR_CHANGE="",IF(TITLE_DATE_PR="","",TITLE_DATE_PR),TITLE_DATE_PR_CHANGE)</f>
        <v>45205</v>
      </c>
      <c r="W28" s="2099"/>
      <c r="X28" s="2099"/>
      <c r="Y28" s="2099"/>
      <c r="Z28" s="2099"/>
      <c r="AA28" s="2099"/>
      <c r="AB28" s="322"/>
      <c r="AC28" s="2099" t="str">
        <f>IF(TITLE_DATE_PR_CHANGE="",IF(TITLE_DATE_PR="","",TITLE_DATE_PR),TITLE_DATE_PR_CHANGE)</f>
        <v>45205</v>
      </c>
      <c r="AD28" s="2099"/>
      <c r="AE28" s="2099"/>
      <c r="AF28" s="2099"/>
      <c r="AG28" s="2099"/>
      <c r="AH28" s="2099"/>
      <c r="AI28" s="322"/>
      <c r="AJ28" s="322"/>
      <c r="AK28" s="268"/>
      <c r="AL28" s="368"/>
      <c r="AM28" s="368"/>
      <c r="AN28" s="368"/>
      <c r="AO28" s="368"/>
      <c r="AP28" s="368"/>
    </row>
    <row s="3345" customFormat="1" customHeight="1" ht="18.75">
      <c r="A29" s="1398"/>
      <c r="B29" s="1398"/>
      <c r="C29" s="1398"/>
      <c r="D29" s="1398"/>
      <c r="E29" s="1398"/>
      <c r="F29" s="1398"/>
      <c r="G29" s="1398"/>
      <c r="H29" s="1398"/>
      <c r="I29" s="1398"/>
      <c r="J29" s="1398"/>
      <c r="K29" s="1398"/>
      <c r="L29" s="1399"/>
      <c r="M29" s="1398"/>
      <c r="N29" s="1398"/>
      <c r="O29" s="1398"/>
      <c r="S29" s="2098" t="s">
        <v>636</v>
      </c>
      <c r="T29" s="2098"/>
      <c r="U29" s="1402"/>
      <c r="V29" s="2100" t="str">
        <f>IF(TITLE_NUMBER_PR_CHANGE="",IF(TITLE_NUMBER_PR="","",TITLE_NUMBER_PR),TITLE_NUMBER_PR_CHANGE)</f>
        <v>36/2</v>
      </c>
      <c r="W29" s="2100"/>
      <c r="X29" s="2100"/>
      <c r="Y29" s="2100"/>
      <c r="Z29" s="2100"/>
      <c r="AA29" s="2100"/>
      <c r="AB29" s="322"/>
      <c r="AC29" s="2100" t="str">
        <f>IF(TITLE_NUMBER_PR_CHANGE="",IF(TITLE_NUMBER_PR="","",TITLE_NUMBER_PR),TITLE_NUMBER_PR_CHANGE)</f>
        <v>36/2</v>
      </c>
      <c r="AD29" s="2100"/>
      <c r="AE29" s="2100"/>
      <c r="AF29" s="2100"/>
      <c r="AG29" s="2100"/>
      <c r="AH29" s="2100"/>
      <c r="AI29" s="322"/>
      <c r="AJ29" s="322"/>
      <c r="AK29" s="268"/>
      <c r="AL29" s="368"/>
      <c r="AM29" s="368"/>
      <c r="AN29" s="368"/>
      <c r="AO29" s="368"/>
      <c r="AP29" s="368"/>
    </row>
    <row s="3345"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https://npa.gov-murman.ru/bitrix/components/b1team/govmurman.element.file/download.php?ID=495002&amp;FID=732763</v>
      </c>
      <c r="W30" s="2100"/>
      <c r="X30" s="2100"/>
      <c r="Y30" s="2100"/>
      <c r="Z30" s="2100"/>
      <c r="AA30" s="2100"/>
      <c r="AB30" s="322"/>
      <c r="AC30" s="2100" t="str">
        <f>IF(TITLE_IST_PUB_CHANGE="",IF(TITLE_IST_PUB="","",TITLE_IST_PUB),TITLE_IST_PUB_CHANGE)</f>
        <v>https://npa.gov-murman.ru/bitrix/components/b1team/govmurman.element.file/download.php?ID=495002&amp;FID=732763</v>
      </c>
      <c r="AD30" s="2100"/>
      <c r="AE30" s="2100"/>
      <c r="AF30" s="2100"/>
      <c r="AG30" s="2100"/>
      <c r="AH30" s="2100"/>
      <c r="AI30" s="322"/>
      <c r="AJ30" s="322"/>
      <c r="AK30" s="268"/>
      <c r="AL30" s="368"/>
      <c r="AM30" s="368"/>
      <c r="AN30" s="368"/>
      <c r="AO30" s="368"/>
      <c r="AP30" s="368"/>
    </row>
    <row customHeight="1" ht="14.25" hidden="1">
      <c r="Q31" s="377"/>
      <c r="R31" s="377"/>
      <c r="S31" s="1305"/>
      <c r="T31" s="361"/>
      <c r="U31" s="361"/>
      <c r="V31" s="316"/>
      <c r="W31" s="316"/>
      <c r="X31" s="316"/>
      <c r="Y31" s="316"/>
      <c r="Z31" s="316"/>
      <c r="AA31" s="316"/>
      <c r="AB31" s="316"/>
      <c r="AC31" s="316"/>
      <c r="AD31" s="316"/>
      <c r="AE31" s="316"/>
      <c r="AF31" s="316"/>
      <c r="AG31" s="316"/>
      <c r="AH31" s="316"/>
      <c r="AI31" s="316"/>
      <c r="AJ31" s="515"/>
    </row>
    <row s="3345" customFormat="1" customHeight="1" ht="18.75" hidden="1">
      <c r="A32" s="1398"/>
      <c r="B32" s="1398"/>
      <c r="C32" s="1398"/>
      <c r="D32" s="1398"/>
      <c r="E32" s="1398"/>
      <c r="F32" s="1398"/>
      <c r="G32" s="1398"/>
      <c r="H32" s="1398"/>
      <c r="I32" s="1398"/>
      <c r="J32" s="1398"/>
      <c r="K32" s="1398"/>
      <c r="L32" s="1399"/>
      <c r="M32" s="1398"/>
      <c r="N32" s="1398"/>
      <c r="O32" s="1398"/>
      <c r="S32" s="2098" t="s">
        <v>637</v>
      </c>
      <c r="T32" s="2098"/>
      <c r="U32" s="1402"/>
      <c r="V32" s="2099" t="str">
        <f>IF(TITLE_DATE_PR_CHANGE="",IF(TITLE_DATE_PR="","",TITLE_DATE_PR),TITLE_DATE_PR_CHANGE)</f>
        <v>45205</v>
      </c>
      <c r="W32" s="2099"/>
      <c r="X32" s="2099"/>
      <c r="Y32" s="2099"/>
      <c r="Z32" s="2099"/>
      <c r="AA32" s="2099"/>
      <c r="AB32" s="322"/>
      <c r="AC32" s="2099" t="str">
        <f>IF(TITLE_DATE_PR_CHANGE="",IF(TITLE_DATE_PR="","",TITLE_DATE_PR),TITLE_DATE_PR_CHANGE)</f>
        <v>45205</v>
      </c>
      <c r="AD32" s="2099"/>
      <c r="AE32" s="2099"/>
      <c r="AF32" s="2099"/>
      <c r="AG32" s="2099"/>
      <c r="AH32" s="2099"/>
      <c r="AI32" s="322"/>
      <c r="AJ32" s="322"/>
      <c r="AK32" s="268"/>
      <c r="AL32" s="368"/>
      <c r="AM32" s="368"/>
      <c r="AN32" s="368"/>
      <c r="AO32" s="368"/>
      <c r="AP32" s="368"/>
    </row>
    <row s="3345" customFormat="1" customHeight="1" ht="18.75" hidden="1">
      <c r="A33" s="1398"/>
      <c r="B33" s="1398"/>
      <c r="C33" s="1398"/>
      <c r="D33" s="1398"/>
      <c r="E33" s="1398"/>
      <c r="F33" s="1398"/>
      <c r="G33" s="1398"/>
      <c r="H33" s="1398"/>
      <c r="I33" s="1398"/>
      <c r="J33" s="1398"/>
      <c r="K33" s="1398"/>
      <c r="L33" s="1399"/>
      <c r="M33" s="1398"/>
      <c r="N33" s="1398"/>
      <c r="O33" s="1398"/>
      <c r="S33" s="2098" t="s">
        <v>638</v>
      </c>
      <c r="T33" s="2098"/>
      <c r="U33" s="1402"/>
      <c r="V33" s="2100" t="str">
        <f>IF(TITLE_NUMBER_PR_CHANGE="",IF(TITLE_NUMBER_PR="","",TITLE_NUMBER_PR),TITLE_NUMBER_PR_CHANGE)</f>
        <v>36/2</v>
      </c>
      <c r="W33" s="2100"/>
      <c r="X33" s="2100"/>
      <c r="Y33" s="2100"/>
      <c r="Z33" s="2100"/>
      <c r="AA33" s="2100"/>
      <c r="AB33" s="322"/>
      <c r="AC33" s="2100" t="str">
        <f>IF(TITLE_NUMBER_PR_CHANGE="",IF(TITLE_NUMBER_PR="","",TITLE_NUMBER_PR),TITLE_NUMBER_PR_CHANGE)</f>
        <v>36/2</v>
      </c>
      <c r="AD33" s="2100"/>
      <c r="AE33" s="2100"/>
      <c r="AF33" s="2100"/>
      <c r="AG33" s="2100"/>
      <c r="AH33" s="2100"/>
      <c r="AI33" s="322"/>
      <c r="AJ33" s="322"/>
      <c r="AK33" s="268"/>
      <c r="AL33" s="368"/>
      <c r="AM33" s="368"/>
      <c r="AN33" s="368"/>
      <c r="AO33" s="368"/>
      <c r="AP33" s="368"/>
    </row>
    <row s="3345" customFormat="1" customHeight="1" ht="0.75">
      <c r="A34" s="1398"/>
      <c r="B34" s="1398"/>
      <c r="C34" s="1398"/>
      <c r="D34" s="1398"/>
      <c r="E34" s="1398"/>
      <c r="F34" s="1398"/>
      <c r="G34" s="1398"/>
      <c r="H34" s="1398"/>
      <c r="I34" s="1398"/>
      <c r="J34" s="1398"/>
      <c r="K34" s="1398"/>
      <c r="L34" s="1399"/>
      <c r="M34" s="1398"/>
      <c r="N34" s="1398"/>
      <c r="O34" s="1398"/>
      <c r="S34" s="318"/>
      <c r="T34" s="318"/>
      <c r="U34" s="1484"/>
      <c r="V34" s="322"/>
      <c r="W34" s="322"/>
      <c r="X34" s="322"/>
      <c r="Y34" s="322"/>
      <c r="Z34" s="322"/>
      <c r="AA34" s="322"/>
      <c r="AB34" s="266" t="s">
        <v>639</v>
      </c>
      <c r="AC34" s="322"/>
      <c r="AD34" s="322"/>
      <c r="AE34" s="322"/>
      <c r="AF34" s="322"/>
      <c r="AG34" s="322"/>
      <c r="AH34" s="322"/>
      <c r="AI34" s="266" t="s">
        <v>639</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513</v>
      </c>
      <c r="T36" s="1971"/>
      <c r="U36" s="1971"/>
      <c r="V36" s="1971"/>
      <c r="W36" s="1971"/>
      <c r="X36" s="1971"/>
      <c r="Y36" s="1971"/>
      <c r="Z36" s="1971"/>
      <c r="AA36" s="1971"/>
      <c r="AB36" s="1971"/>
      <c r="AC36" s="1971"/>
      <c r="AD36" s="1971"/>
      <c r="AE36" s="1971"/>
      <c r="AF36" s="1971"/>
      <c r="AG36" s="1971"/>
      <c r="AH36" s="1971"/>
      <c r="AI36" s="1971"/>
      <c r="AJ36" s="1971"/>
      <c r="AK36" s="1971" t="s">
        <v>514</v>
      </c>
    </row>
    <row customHeight="1" ht="14.25">
      <c r="Q37" s="377"/>
      <c r="R37" s="377"/>
      <c r="S37" s="2125" t="s">
        <v>89</v>
      </c>
      <c r="T37" s="2062" t="s">
        <v>640</v>
      </c>
      <c r="U37" s="289"/>
      <c r="V37" s="2126" t="s">
        <v>641</v>
      </c>
      <c r="W37" s="2127"/>
      <c r="X37" s="2127"/>
      <c r="Y37" s="2127"/>
      <c r="Z37" s="2127"/>
      <c r="AA37" s="2128"/>
      <c r="AB37" s="2129" t="s">
        <v>642</v>
      </c>
      <c r="AC37" s="2126" t="s">
        <v>641</v>
      </c>
      <c r="AD37" s="2127"/>
      <c r="AE37" s="2127"/>
      <c r="AF37" s="2127"/>
      <c r="AG37" s="2127"/>
      <c r="AH37" s="2128"/>
      <c r="AI37" s="2129" t="s">
        <v>643</v>
      </c>
      <c r="AJ37" s="2132" t="s">
        <v>644</v>
      </c>
      <c r="AK37" s="1971"/>
    </row>
    <row customHeight="1" ht="33.75">
      <c r="Q38" s="377"/>
      <c r="R38" s="377"/>
      <c r="S38" s="2125"/>
      <c r="T38" s="2062"/>
      <c r="U38" s="1038"/>
      <c r="V38" s="1482" t="s">
        <v>704</v>
      </c>
      <c r="W38" s="2118" t="s">
        <v>647</v>
      </c>
      <c r="X38" s="2120"/>
      <c r="Y38" s="2118" t="s">
        <v>648</v>
      </c>
      <c r="Z38" s="2119"/>
      <c r="AA38" s="2120"/>
      <c r="AB38" s="2130"/>
      <c r="AC38" s="1482" t="s">
        <v>704</v>
      </c>
      <c r="AD38" s="2118" t="s">
        <v>647</v>
      </c>
      <c r="AE38" s="2120"/>
      <c r="AF38" s="2118" t="s">
        <v>648</v>
      </c>
      <c r="AG38" s="2119"/>
      <c r="AH38" s="2120"/>
      <c r="AI38" s="2130"/>
      <c r="AJ38" s="2133"/>
      <c r="AK38" s="1971"/>
    </row>
    <row customHeight="1" ht="33.75">
      <c r="A39" s="1400"/>
      <c r="B39" s="1400" t="s">
        <v>216</v>
      </c>
      <c r="C39" s="1400" t="s">
        <v>217</v>
      </c>
      <c r="D39" s="1400" t="s">
        <v>218</v>
      </c>
      <c r="E39" s="1394" t="s">
        <v>649</v>
      </c>
      <c r="F39" s="1394" t="s">
        <v>650</v>
      </c>
      <c r="G39" s="1394" t="s">
        <v>651</v>
      </c>
      <c r="H39" s="1394"/>
      <c r="I39" s="1394" t="s">
        <v>705</v>
      </c>
      <c r="J39" s="1394" t="s">
        <v>654</v>
      </c>
      <c r="K39" s="1394" t="s">
        <v>706</v>
      </c>
      <c r="L39" s="1394" t="s">
        <v>630</v>
      </c>
      <c r="Q39" s="377"/>
      <c r="R39" s="377"/>
      <c r="S39" s="2125"/>
      <c r="T39" s="2062"/>
      <c r="U39" s="290"/>
      <c r="V39" s="1482" t="s">
        <v>707</v>
      </c>
      <c r="W39" s="1237" t="s">
        <v>708</v>
      </c>
      <c r="X39" s="1237" t="s">
        <v>709</v>
      </c>
      <c r="Y39" s="1485" t="s">
        <v>658</v>
      </c>
      <c r="Z39" s="2121" t="s">
        <v>659</v>
      </c>
      <c r="AA39" s="2122"/>
      <c r="AB39" s="2131"/>
      <c r="AC39" s="1482" t="s">
        <v>707</v>
      </c>
      <c r="AD39" s="1237" t="s">
        <v>708</v>
      </c>
      <c r="AE39" s="1237" t="s">
        <v>709</v>
      </c>
      <c r="AF39" s="1485" t="s">
        <v>658</v>
      </c>
      <c r="AG39" s="2121" t="s">
        <v>659</v>
      </c>
      <c r="AH39" s="2122"/>
      <c r="AI39" s="2131"/>
      <c r="AJ39" s="2134"/>
      <c r="AK39" s="1971"/>
    </row>
    <row s="2611" customFormat="1" customHeight="1" ht="0">
      <c r="A40" s="1400"/>
      <c r="B40" s="1400"/>
      <c r="C40" s="1400"/>
      <c r="D40" s="1400"/>
      <c r="E40" s="1400"/>
      <c r="F40" s="1400"/>
      <c r="G40" s="1400"/>
      <c r="H40" s="1400"/>
      <c r="I40" s="1400"/>
      <c r="J40" s="1400"/>
      <c r="K40" s="1400"/>
      <c r="L40" s="1394"/>
      <c r="M40" s="1392"/>
      <c r="N40" s="1392"/>
      <c r="O40" s="1392"/>
      <c r="P40" s="1264"/>
      <c r="Q40" s="1265"/>
      <c r="R40" s="1280">
        <v>1</v>
      </c>
      <c r="S40" s="1307" t="s">
        <v>193</v>
      </c>
      <c r="T40" s="1281" t="s">
        <v>104</v>
      </c>
      <c r="U40" s="1263" t="str">
        <f>OFFSET(U40,0,-1)</f>
        <v>2</v>
      </c>
      <c r="V40" s="1481">
        <f>OFFSET(V40,0,-1)+1</f>
        <v>3</v>
      </c>
      <c r="W40" s="1481">
        <f>OFFSET(W40,0,-1)+1</f>
        <v>4</v>
      </c>
      <c r="X40" s="1481">
        <f>OFFSET(X40,0,-1)+1</f>
        <v>5</v>
      </c>
      <c r="Y40" s="1481">
        <f>OFFSET(Y40,0,-1)+1</f>
        <v>6</v>
      </c>
      <c r="Z40" s="2123">
        <f>OFFSET(Z40,0,-1)+1</f>
        <v>7</v>
      </c>
      <c r="AA40" s="2123"/>
      <c r="AB40" s="1481">
        <f>OFFSET(AB40,0,-2)+1</f>
        <v>8</v>
      </c>
      <c r="AC40" s="1481">
        <f>OFFSET(AC40,0,-1)+1</f>
        <v>9</v>
      </c>
      <c r="AD40" s="1481">
        <f>OFFSET(AD40,0,-1)+1</f>
        <v>10</v>
      </c>
      <c r="AE40" s="1481">
        <f>OFFSET(AE40,0,-1)+1</f>
        <v>11</v>
      </c>
      <c r="AF40" s="1481">
        <f>OFFSET(AF40,0,-1)+1</f>
        <v>12</v>
      </c>
      <c r="AG40" s="2123">
        <f>OFFSET(AG40,0,-1)+1</f>
        <v>13</v>
      </c>
      <c r="AH40" s="2123"/>
      <c r="AI40" s="1481">
        <f>OFFSET(AI40,0,-2)+1</f>
        <v>14</v>
      </c>
      <c r="AJ40" s="1263">
        <f>OFFSET(AJ40,0,-1)</f>
        <v>14</v>
      </c>
      <c r="AK40" s="1481">
        <f>OFFSET(AK40,0,-1)+1</f>
        <v>15</v>
      </c>
      <c r="AL40" s="517"/>
      <c r="AM40" s="517"/>
      <c r="AN40" s="517"/>
      <c r="AO40" s="517"/>
      <c r="AP40" s="517"/>
    </row>
    <row customHeight="1" ht="23.25">
      <c r="A41" s="1393" t="s">
        <v>444</v>
      </c>
      <c r="B41" s="1393"/>
      <c r="C41" s="1393"/>
      <c r="D41" s="1393"/>
      <c r="E41" s="2107">
        <v>1</v>
      </c>
      <c r="F41" s="1393"/>
      <c r="G41" s="1393"/>
      <c r="H41" s="1393"/>
      <c r="I41" s="1393"/>
      <c r="J41" s="1393"/>
      <c r="K41" s="1393"/>
      <c r="L41" s="1394"/>
      <c r="M41" s="1395"/>
      <c r="N41" s="1395"/>
      <c r="O41" s="1395"/>
      <c r="P41" s="357"/>
      <c r="Q41" s="356"/>
      <c r="R41" s="351"/>
      <c r="S41" s="1487">
        <f>INDEX(PT_DIFFERENTIATION_NUM_NTAR,MATCH(A41,PT_DIFFERENTIATION_NTAR_ID,0))</f>
        <v>0</v>
      </c>
      <c r="T41" s="286" t="s">
        <v>204</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444</v>
      </c>
      <c r="B42" s="1393" t="s">
        <v>445</v>
      </c>
      <c r="C42" s="1393"/>
      <c r="D42" s="1393"/>
      <c r="E42" s="2108"/>
      <c r="F42" s="2107">
        <v>1</v>
      </c>
      <c r="G42" s="1393"/>
      <c r="H42" s="1393"/>
      <c r="I42" s="1393"/>
      <c r="J42" s="1393"/>
      <c r="K42" s="1393"/>
      <c r="L42" s="1394"/>
      <c r="M42" s="1395"/>
      <c r="N42" s="1395"/>
      <c r="O42" s="1395"/>
      <c r="P42" s="1483"/>
      <c r="Q42" s="348"/>
      <c r="R42" s="349"/>
      <c r="S42" s="1487" t="str">
        <f>INDEX(PT_DIFFERENTIATION_NUM_TER,MATCH(B42,PT_DIFFERENTIATION_TER_ID,0))</f>
        <v>.</v>
      </c>
      <c r="T42" s="298" t="s">
        <v>612</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613</v>
      </c>
      <c r="AM42" s="506"/>
      <c r="AN42" s="506" t="str">
        <f>IF(T42="","",T42)</f>
        <v>Территория действия тарифа</v>
      </c>
      <c r="AO42" s="506"/>
      <c r="AP42" s="506"/>
    </row>
    <row customHeight="1" ht="23.25">
      <c r="A43" s="1393" t="s">
        <v>444</v>
      </c>
      <c r="B43" s="1393" t="s">
        <v>445</v>
      </c>
      <c r="C43" s="1393" t="s">
        <v>446</v>
      </c>
      <c r="D43" s="1393"/>
      <c r="E43" s="2108"/>
      <c r="F43" s="2108"/>
      <c r="G43" s="2107">
        <v>1</v>
      </c>
      <c r="H43" s="1393"/>
      <c r="I43" s="1393"/>
      <c r="J43" s="1393"/>
      <c r="K43" s="1393"/>
      <c r="L43" s="1394"/>
      <c r="M43" s="1395"/>
      <c r="N43" s="1395"/>
      <c r="O43" s="1395"/>
      <c r="P43" s="350"/>
      <c r="Q43" s="348"/>
      <c r="R43" s="349"/>
      <c r="S43" s="1487" t="str">
        <f>INDEX(PT_DIFFERENTIATION_NUM_CS,MATCH(C43,PT_DIFFERENTIATION_CS_ID,0))</f>
        <v>..</v>
      </c>
      <c r="T43" s="299" t="s">
        <v>696</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697</v>
      </c>
      <c r="AM43" s="506"/>
      <c r="AN43" s="506" t="str">
        <f>IF(T43="","",T43)</f>
        <v>Наименование централизованной системы холодного водоснабжения</v>
      </c>
      <c r="AO43" s="506"/>
      <c r="AP43" s="506"/>
    </row>
    <row customHeight="1" ht="23.25">
      <c r="A44" s="1393" t="s">
        <v>444</v>
      </c>
      <c r="B44" s="1393" t="s">
        <v>445</v>
      </c>
      <c r="C44" s="1393" t="s">
        <v>446</v>
      </c>
      <c r="D44" s="1393" t="s">
        <v>711</v>
      </c>
      <c r="E44" s="2108"/>
      <c r="F44" s="2108"/>
      <c r="G44" s="2108"/>
      <c r="H44" s="2108"/>
      <c r="I44" s="2109" t="str">
        <f>S43&amp;".1"</f>
        <v>...1</v>
      </c>
      <c r="J44" s="1393"/>
      <c r="K44" s="1393"/>
      <c r="L44" s="1394"/>
      <c r="P44" s="2111">
        <v>1</v>
      </c>
      <c r="Q44" s="1480"/>
      <c r="R44" s="352"/>
      <c r="S44" s="1487" t="str">
        <f>$I44</f>
        <v>...1</v>
      </c>
      <c r="T44" s="273" t="s">
        <v>698</v>
      </c>
      <c r="U44" s="288"/>
      <c r="V44" s="2194"/>
      <c r="W44" s="2195"/>
      <c r="X44" s="2195"/>
      <c r="Y44" s="2195"/>
      <c r="Z44" s="2195"/>
      <c r="AA44" s="2195"/>
      <c r="AB44" s="2196"/>
      <c r="AC44" s="2197"/>
      <c r="AD44" s="2198"/>
      <c r="AE44" s="2198"/>
      <c r="AF44" s="2198"/>
      <c r="AG44" s="2198"/>
      <c r="AH44" s="2198"/>
      <c r="AI44" s="2198"/>
      <c r="AJ44" s="2199"/>
      <c r="AK44" s="1286" t="s">
        <v>699</v>
      </c>
      <c r="AM44" s="506"/>
      <c r="AN44" s="506" t="str">
        <f>IF(T44="","",T44)</f>
        <v>Наименование признака дифференциации</v>
      </c>
      <c r="AO44" s="506"/>
      <c r="AP44" s="506"/>
    </row>
    <row customHeight="1" ht="23.25">
      <c r="A45" s="1393" t="s">
        <v>444</v>
      </c>
      <c r="B45" s="1393" t="s">
        <v>445</v>
      </c>
      <c r="C45" s="1393" t="s">
        <v>446</v>
      </c>
      <c r="D45" s="1393" t="s">
        <v>711</v>
      </c>
      <c r="E45" s="2108"/>
      <c r="F45" s="2108"/>
      <c r="G45" s="2108"/>
      <c r="H45" s="2108"/>
      <c r="I45" s="2110"/>
      <c r="J45" s="2109" t="str">
        <f>I44&amp;".1"</f>
        <v>...1.1</v>
      </c>
      <c r="K45" s="1393"/>
      <c r="L45" s="1394" t="s">
        <v>621</v>
      </c>
      <c r="P45" s="2111"/>
      <c r="Q45" s="2111">
        <v>1</v>
      </c>
      <c r="R45" s="353"/>
      <c r="S45" s="1487" t="str">
        <f>$J45</f>
        <v>...1.1</v>
      </c>
      <c r="T45" s="274" t="s">
        <v>622</v>
      </c>
      <c r="U45" s="288"/>
      <c r="V45" s="2095"/>
      <c r="W45" s="2096"/>
      <c r="X45" s="2096"/>
      <c r="Y45" s="2096"/>
      <c r="Z45" s="2096"/>
      <c r="AA45" s="2096"/>
      <c r="AB45" s="2097"/>
      <c r="AC45" s="2095"/>
      <c r="AD45" s="2096"/>
      <c r="AE45" s="2096"/>
      <c r="AF45" s="2096"/>
      <c r="AG45" s="2096"/>
      <c r="AH45" s="2096"/>
      <c r="AI45" s="2096"/>
      <c r="AJ45" s="2097"/>
      <c r="AK45" s="1337" t="s">
        <v>700</v>
      </c>
      <c r="AM45" s="506"/>
      <c r="AN45" s="506" t="str">
        <f>IF(T45="","",T45)</f>
        <v>Группа потребителей</v>
      </c>
      <c r="AO45" s="506"/>
      <c r="AP45" s="506"/>
    </row>
    <row customHeight="1" ht="23.25">
      <c r="A46" s="1393" t="s">
        <v>444</v>
      </c>
      <c r="B46" s="1393" t="s">
        <v>445</v>
      </c>
      <c r="C46" s="1393" t="s">
        <v>446</v>
      </c>
      <c r="D46" s="1393" t="s">
        <v>711</v>
      </c>
      <c r="E46" s="2108"/>
      <c r="F46" s="2108"/>
      <c r="G46" s="2108"/>
      <c r="H46" s="2108"/>
      <c r="I46" s="2110"/>
      <c r="J46" s="2110"/>
      <c r="K46" s="2109" t="str">
        <f>J45&amp;".1"</f>
        <v>...1.1.1</v>
      </c>
      <c r="L46" s="1394"/>
      <c r="P46" s="2111"/>
      <c r="Q46" s="2111"/>
      <c r="R46" s="353">
        <v>1</v>
      </c>
      <c r="S46" s="1487" t="str">
        <f>$K46</f>
        <v>...1.1.1</v>
      </c>
      <c r="T46" s="1467"/>
      <c r="U46" s="288"/>
      <c r="V46" s="757"/>
      <c r="W46" s="757"/>
      <c r="X46" s="1285"/>
      <c r="Y46" s="2112"/>
      <c r="Z46" s="1981" t="s">
        <v>63</v>
      </c>
      <c r="AA46" s="2112"/>
      <c r="AB46" s="1981" t="s">
        <v>63</v>
      </c>
      <c r="AC46" s="757"/>
      <c r="AD46" s="757"/>
      <c r="AE46" s="1285"/>
      <c r="AF46" s="2112"/>
      <c r="AG46" s="1981" t="s">
        <v>63</v>
      </c>
      <c r="AH46" s="2114"/>
      <c r="AI46" s="1981" t="s">
        <v>63</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444</v>
      </c>
      <c r="B47" s="1393" t="s">
        <v>445</v>
      </c>
      <c r="C47" s="1393" t="s">
        <v>446</v>
      </c>
      <c r="D47" s="1393" t="s">
        <v>711</v>
      </c>
      <c r="E47" s="2108"/>
      <c r="F47" s="2108"/>
      <c r="G47" s="2108"/>
      <c r="H47" s="2108"/>
      <c r="I47" s="2110"/>
      <c r="J47" s="2110"/>
      <c r="K47" s="2109"/>
      <c r="L47" s="1394"/>
      <c r="P47" s="2111"/>
      <c r="Q47" s="2111"/>
      <c r="R47" s="353"/>
      <c r="S47" s="1486"/>
      <c r="T47" s="288"/>
      <c r="U47" s="288"/>
      <c r="V47" s="320"/>
      <c r="W47" s="320"/>
      <c r="X47" s="324" t="str">
        <f>Y46&amp;"-"&amp;AA46</f>
        <v>-</v>
      </c>
      <c r="Y47" s="2113"/>
      <c r="Z47" s="1981"/>
      <c r="AA47" s="2113"/>
      <c r="AB47" s="1981"/>
      <c r="AC47" s="320"/>
      <c r="AD47" s="320"/>
      <c r="AE47" s="324" t="str">
        <f>AF46&amp;"-"&amp;AH46</f>
        <v>-</v>
      </c>
      <c r="AF47" s="2113"/>
      <c r="AG47" s="1981"/>
      <c r="AH47" s="2115"/>
      <c r="AI47" s="1981"/>
      <c r="AJ47" s="1469"/>
      <c r="AK47" s="2200"/>
      <c r="AM47" s="506"/>
      <c r="AN47" s="506" t="str">
        <f>IF(T47="","",T47)</f>
        <v/>
      </c>
      <c r="AO47" s="506"/>
      <c r="AP47" s="506"/>
    </row>
    <row customHeight="1" ht="21">
      <c r="A48" s="1393" t="s">
        <v>444</v>
      </c>
      <c r="B48" s="1393" t="s">
        <v>445</v>
      </c>
      <c r="C48" s="1393" t="s">
        <v>446</v>
      </c>
      <c r="D48" s="1393" t="s">
        <v>711</v>
      </c>
      <c r="E48" s="2108"/>
      <c r="F48" s="2108"/>
      <c r="G48" s="2108"/>
      <c r="H48" s="2108"/>
      <c r="I48" s="2110"/>
      <c r="J48" s="2109"/>
      <c r="K48" s="1393"/>
      <c r="L48" s="1394"/>
      <c r="P48" s="2111"/>
      <c r="Q48" s="2111"/>
      <c r="R48" s="352"/>
      <c r="S48" s="1308"/>
      <c r="T48" s="275" t="s">
        <v>701</v>
      </c>
      <c r="U48" s="367"/>
      <c r="V48" s="367"/>
      <c r="W48" s="367"/>
      <c r="X48" s="367"/>
      <c r="Y48" s="367"/>
      <c r="Z48" s="367"/>
      <c r="AA48" s="367"/>
      <c r="AB48" s="367"/>
      <c r="AC48" s="367"/>
      <c r="AD48" s="367"/>
      <c r="AE48" s="367"/>
      <c r="AF48" s="367"/>
      <c r="AG48" s="367"/>
      <c r="AH48" s="367"/>
      <c r="AI48" s="367"/>
      <c r="AJ48" s="367"/>
      <c r="AK48" s="1286" t="s">
        <v>702</v>
      </c>
      <c r="AM48" s="506"/>
      <c r="AN48" s="506" t="str">
        <f>IF(T48="","",T48)</f>
        <v>Добавить значение признака дифференциации</v>
      </c>
      <c r="AO48" s="506"/>
      <c r="AP48" s="506"/>
    </row>
    <row customHeight="1" ht="21">
      <c r="A49" s="1393" t="s">
        <v>444</v>
      </c>
      <c r="B49" s="1393" t="s">
        <v>445</v>
      </c>
      <c r="C49" s="1393" t="s">
        <v>446</v>
      </c>
      <c r="D49" s="1393" t="s">
        <v>711</v>
      </c>
      <c r="E49" s="2108"/>
      <c r="F49" s="2108"/>
      <c r="G49" s="2108"/>
      <c r="H49" s="2108"/>
      <c r="I49" s="2109"/>
      <c r="J49" s="1393"/>
      <c r="K49" s="1393"/>
      <c r="L49" s="1394"/>
      <c r="P49" s="2111"/>
      <c r="Q49" s="1480"/>
      <c r="R49" s="352"/>
      <c r="S49" s="1308"/>
      <c r="T49" s="364" t="s">
        <v>627</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444</v>
      </c>
      <c r="B50" s="1393" t="s">
        <v>445</v>
      </c>
      <c r="C50" s="1393" t="s">
        <v>446</v>
      </c>
      <c r="D50" s="1393" t="s">
        <v>711</v>
      </c>
      <c r="E50" s="2108"/>
      <c r="F50" s="2108"/>
      <c r="G50" s="2108"/>
      <c r="H50" s="2107"/>
      <c r="I50" s="1393"/>
      <c r="J50" s="1393"/>
      <c r="K50" s="1393"/>
      <c r="L50" s="1394"/>
      <c r="M50" s="1395"/>
      <c r="N50" s="1395"/>
      <c r="O50" s="543"/>
      <c r="P50" s="356"/>
      <c r="Q50" s="376"/>
      <c r="R50" s="351"/>
      <c r="S50" s="1308"/>
      <c r="T50" s="372" t="s">
        <v>703</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4" customFormat="1" customHeight="1" ht="0">
      <c r="A51" s="1373" t="s">
        <v>444</v>
      </c>
      <c r="B51" s="1373" t="s">
        <v>445</v>
      </c>
      <c r="C51" s="1344"/>
      <c r="D51" s="1344"/>
      <c r="E51" s="2108"/>
      <c r="F51" s="2107"/>
      <c r="G51" s="1344"/>
      <c r="H51" s="1344"/>
      <c r="I51" s="1344"/>
      <c r="J51" s="1344"/>
      <c r="K51" s="1344"/>
      <c r="L51" s="1488"/>
      <c r="M51" s="1351"/>
      <c r="N51" s="1351"/>
      <c r="P51" s="1346"/>
      <c r="Q51" s="1347"/>
      <c r="R51" s="1346"/>
      <c r="S51" s="1352"/>
      <c r="T51" s="1355" t="s">
        <v>255</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2" customFormat="1" customHeight="1" ht="0">
      <c r="A52" s="1373" t="s">
        <v>444</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4" customFormat="1" customHeight="1" ht="0">
      <c r="A53" s="1344"/>
      <c r="B53" s="1344"/>
      <c r="C53" s="1344"/>
      <c r="D53" s="1344"/>
      <c r="E53" s="1373"/>
      <c r="F53" s="1344"/>
      <c r="G53" s="1344"/>
      <c r="H53" s="1344"/>
      <c r="I53" s="1344"/>
      <c r="J53" s="1344"/>
      <c r="K53" s="1344"/>
      <c r="L53" s="1488"/>
      <c r="M53" s="1351"/>
      <c r="N53" s="1351"/>
      <c r="P53" s="1346"/>
      <c r="Q53" s="1347"/>
      <c r="R53" s="1346"/>
      <c r="S53" s="1352"/>
      <c r="T53" s="1355" t="s">
        <v>398</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64A1D8-1174-5624-74DC-8B27AF50B267}"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4.140625" hidden="1" customWidth="1"/>
    <col min="10" max="10" style="2683" width="9.8515625" hidden="1" customWidth="1"/>
    <col min="11" max="11" style="2683" width="14.7109375" hidden="1" customWidth="1"/>
    <col min="12" max="12" style="12279" width="19.140625" hidden="1" customWidth="1"/>
    <col min="13" max="14" style="3334" width="12.28125" hidden="1" customWidth="1"/>
    <col min="15" max="15" style="3334" width="23.421875" hidden="1" customWidth="1"/>
    <col min="16" max="16" style="12284" width="3.7109375" customWidth="1"/>
    <col min="17" max="18" style="3411" width="3.7109375" customWidth="1"/>
    <col min="19" max="19" style="3412" width="12.7109375" customWidth="1"/>
    <col min="20" max="20" style="2984" width="35.7109375" customWidth="1"/>
    <col min="21" max="21" style="2984" width="0.140625" customWidth="1"/>
    <col min="22" max="24" style="2984" width="24.7109375" hidden="1" customWidth="1"/>
    <col min="25" max="25" style="2984" width="11.7109375" hidden="1" customWidth="1"/>
    <col min="26" max="26" style="2984" width="3.7109375" hidden="1" customWidth="1"/>
    <col min="27" max="27" style="2984" width="11.7109375" hidden="1" customWidth="1"/>
    <col min="28" max="28" style="2984" width="8.57421875" hidden="1" customWidth="1"/>
    <col min="29" max="31" style="2984" width="24.7109375" customWidth="1"/>
    <col min="32" max="32" style="2984" width="11.7109375" customWidth="1"/>
    <col min="33" max="33" style="2984" width="3.7109375" customWidth="1"/>
    <col min="34" max="34" style="2984" width="11.7109375" customWidth="1"/>
    <col min="35" max="35" style="2984" width="8.57421875" hidden="1" customWidth="1"/>
    <col min="36" max="36" style="2984" width="4.7109375" customWidth="1"/>
    <col min="37" max="37" style="2984" width="115.7109375" customWidth="1"/>
    <col min="38" max="39" style="2612" width="10.57421875"/>
    <col min="40" max="40" style="2612" width="11.140625" customWidth="1"/>
    <col min="41" max="42" style="2612"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487">
        <f>INDEX(PT_DIFFERENTIATION_NUM_NTAR,MATCH(A2,PT_DIFFERENTIATION_NTAR_ID,0))</f>
      </c>
      <c r="T2" s="286" t="s">
        <v>204</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483"/>
      <c r="Q3" s="348"/>
      <c r="R3" s="349"/>
      <c r="S3" s="1487">
        <f>INDEX(PT_DIFFERENTIATION_NUM_TER,MATCH(B3,PT_DIFFERENTIATION_TER_ID,0))</f>
      </c>
      <c r="T3" s="298" t="s">
        <v>612</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613</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487">
        <f>INDEX(PT_DIFFERENTIATION_NUM_CS,MATCH(C4,PT_DIFFERENTIATION_CS_ID,0))</f>
      </c>
      <c r="T4" s="299" t="s">
        <v>696</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697</v>
      </c>
      <c r="AM4" s="506"/>
      <c r="AN4" s="506" t="str">
        <f>IF(T4="","",T4)</f>
        <v>Наименование централизованной системы холодного водоснабжения</v>
      </c>
      <c r="AO4" s="506"/>
      <c r="AP4" s="506"/>
    </row>
    <row customHeight="1" ht="23.25" hidden="1">
      <c r="A5" s="1393"/>
      <c r="B5" s="1393"/>
      <c r="C5" s="1393"/>
      <c r="D5" s="1393"/>
      <c r="E5" s="2108"/>
      <c r="F5" s="2108"/>
      <c r="G5" s="2108"/>
      <c r="H5" s="2108"/>
      <c r="I5" s="2109">
        <f>S4&amp;".1"</f>
      </c>
      <c r="J5" s="1393"/>
      <c r="K5" s="1393"/>
      <c r="L5" s="1394"/>
      <c r="P5" s="2111">
        <v>1</v>
      </c>
      <c r="Q5" s="1480"/>
      <c r="R5" s="352"/>
      <c r="S5" s="1487">
        <f>$I5</f>
      </c>
      <c r="T5" s="273" t="s">
        <v>698</v>
      </c>
      <c r="U5" s="288"/>
      <c r="V5" s="2194"/>
      <c r="W5" s="2195"/>
      <c r="X5" s="2195"/>
      <c r="Y5" s="2195"/>
      <c r="Z5" s="2195"/>
      <c r="AA5" s="2195"/>
      <c r="AB5" s="2196"/>
      <c r="AC5" s="2197"/>
      <c r="AD5" s="2198"/>
      <c r="AE5" s="2198"/>
      <c r="AF5" s="2198"/>
      <c r="AG5" s="2198"/>
      <c r="AH5" s="2198"/>
      <c r="AI5" s="2198"/>
      <c r="AJ5" s="2199"/>
      <c r="AK5" s="1286" t="s">
        <v>699</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621</v>
      </c>
      <c r="P6" s="2111"/>
      <c r="Q6" s="2111">
        <v>1</v>
      </c>
      <c r="R6" s="353"/>
      <c r="S6" s="1487">
        <f>$J6</f>
      </c>
      <c r="T6" s="274" t="s">
        <v>622</v>
      </c>
      <c r="U6" s="288"/>
      <c r="V6" s="2095"/>
      <c r="W6" s="2096"/>
      <c r="X6" s="2096"/>
      <c r="Y6" s="2096"/>
      <c r="Z6" s="2096"/>
      <c r="AA6" s="2096"/>
      <c r="AB6" s="2097"/>
      <c r="AC6" s="2095"/>
      <c r="AD6" s="2096"/>
      <c r="AE6" s="2096"/>
      <c r="AF6" s="2096"/>
      <c r="AG6" s="2096"/>
      <c r="AH6" s="2096"/>
      <c r="AI6" s="2096"/>
      <c r="AJ6" s="2097"/>
      <c r="AK6" s="1337" t="s">
        <v>700</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487">
        <f>$K7</f>
      </c>
      <c r="T7" s="1467"/>
      <c r="U7" s="288"/>
      <c r="V7" s="757"/>
      <c r="W7" s="757"/>
      <c r="X7" s="1285"/>
      <c r="Y7" s="2112"/>
      <c r="Z7" s="1981" t="s">
        <v>63</v>
      </c>
      <c r="AA7" s="2112"/>
      <c r="AB7" s="1981" t="s">
        <v>63</v>
      </c>
      <c r="AC7" s="757"/>
      <c r="AD7" s="757"/>
      <c r="AE7" s="1285"/>
      <c r="AF7" s="2112"/>
      <c r="AG7" s="1981" t="s">
        <v>63</v>
      </c>
      <c r="AH7" s="2114"/>
      <c r="AI7" s="1981" t="s">
        <v>63</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486"/>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701</v>
      </c>
      <c r="U9" s="367"/>
      <c r="V9" s="367"/>
      <c r="W9" s="367"/>
      <c r="X9" s="367"/>
      <c r="Y9" s="367"/>
      <c r="Z9" s="367"/>
      <c r="AA9" s="367"/>
      <c r="AB9" s="367"/>
      <c r="AC9" s="367"/>
      <c r="AD9" s="367"/>
      <c r="AE9" s="367"/>
      <c r="AF9" s="367"/>
      <c r="AG9" s="367"/>
      <c r="AH9" s="367"/>
      <c r="AI9" s="367"/>
      <c r="AJ9" s="367"/>
      <c r="AK9" s="1286" t="s">
        <v>702</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480"/>
      <c r="R10" s="352"/>
      <c r="S10" s="1308"/>
      <c r="T10" s="364" t="s">
        <v>627</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21" hidden="1">
      <c r="A11" s="1393"/>
      <c r="B11" s="1393"/>
      <c r="C11" s="1393"/>
      <c r="D11" s="1393"/>
      <c r="E11" s="2108"/>
      <c r="F11" s="2108"/>
      <c r="G11" s="2108"/>
      <c r="H11" s="2107"/>
      <c r="I11" s="1393"/>
      <c r="J11" s="1393"/>
      <c r="K11" s="1393"/>
      <c r="L11" s="1394"/>
      <c r="M11" s="1395"/>
      <c r="N11" s="1395"/>
      <c r="O11" s="543"/>
      <c r="P11" s="356"/>
      <c r="Q11" s="376"/>
      <c r="R11" s="351"/>
      <c r="S11" s="1308"/>
      <c r="T11" s="372" t="s">
        <v>703</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4" customFormat="1" customHeight="1" ht="14.25" hidden="1">
      <c r="A12" s="1373"/>
      <c r="B12" s="1373"/>
      <c r="C12" s="1344"/>
      <c r="D12" s="1344"/>
      <c r="E12" s="2108"/>
      <c r="F12" s="2107"/>
      <c r="G12" s="1344"/>
      <c r="H12" s="1344"/>
      <c r="I12" s="1344"/>
      <c r="J12" s="1344"/>
      <c r="K12" s="1344"/>
      <c r="L12" s="1488"/>
      <c r="M12" s="1351"/>
      <c r="N12" s="1351"/>
      <c r="P12" s="1346"/>
      <c r="Q12" s="1347"/>
      <c r="R12" s="1346"/>
      <c r="S12" s="1352"/>
      <c r="T12" s="1355" t="s">
        <v>255</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2"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63</v>
      </c>
      <c r="AH15" s="2105"/>
      <c r="AI15" s="2104" t="s">
        <v>63</v>
      </c>
    </row>
    <row customHeight="1" ht="14.25" hidden="1">
      <c r="AC16" s="1390"/>
      <c r="AD16" s="1390"/>
      <c r="AE16" s="324" t="str">
        <f>AF15&amp;"-"&amp;AH15</f>
        <v>-</v>
      </c>
      <c r="AF16" s="2104"/>
      <c r="AG16" s="2104"/>
      <c r="AH16" s="2104"/>
      <c r="AI16" s="2104"/>
    </row>
    <row customHeight="1" ht="14.25" hidden="1">
      <c r="AI17" s="323"/>
    </row>
    <row s="2683" customFormat="1" customHeight="1" ht="22.5" hidden="1">
      <c r="L18" s="1477"/>
      <c r="M18" s="1392"/>
      <c r="N18" s="1392"/>
      <c r="O18" s="1397" t="s">
        <v>629</v>
      </c>
      <c r="P18" s="1392"/>
      <c r="Q18" s="1401"/>
      <c r="R18" s="1401"/>
      <c r="S18" s="735"/>
      <c r="Y18" s="1397"/>
      <c r="AA18" s="1397"/>
      <c r="AB18" s="1396"/>
      <c r="AF18" s="1397"/>
      <c r="AH18" s="1397"/>
      <c r="AI18" s="1396"/>
      <c r="AL18" s="517"/>
      <c r="AM18" s="517"/>
      <c r="AN18" s="517"/>
      <c r="AO18" s="517"/>
      <c r="AP18" s="517"/>
    </row>
    <row s="2683" customFormat="1" customHeight="1" ht="14.25" hidden="1">
      <c r="L19" s="1477"/>
      <c r="M19" s="1392"/>
      <c r="N19" s="1392"/>
      <c r="O19" s="1392"/>
      <c r="P19" s="1392"/>
      <c r="Q19" s="1401"/>
      <c r="R19" s="1401"/>
      <c r="S19" s="735"/>
      <c r="AB19" s="1396"/>
      <c r="AI19" s="1396"/>
      <c r="AL19" s="517"/>
      <c r="AM19" s="517"/>
      <c r="AN19" s="517"/>
      <c r="AO19" s="517"/>
      <c r="AP19" s="517"/>
    </row>
    <row s="2683" customFormat="1" customHeight="1" ht="12" hidden="1">
      <c r="L20" s="1477"/>
      <c r="M20" s="1392"/>
      <c r="N20" s="1392"/>
      <c r="O20" s="1394" t="s">
        <v>630</v>
      </c>
      <c r="P20" s="1392"/>
      <c r="Q20" s="1472"/>
      <c r="R20" s="1472"/>
      <c r="S20" s="735"/>
      <c r="T20" s="1168" t="s">
        <v>631</v>
      </c>
      <c r="Z20" s="172" t="s">
        <v>632</v>
      </c>
      <c r="AB20" s="172" t="s">
        <v>633</v>
      </c>
      <c r="AC20" s="1168" t="s">
        <v>631</v>
      </c>
      <c r="AG20" s="172" t="s">
        <v>634</v>
      </c>
      <c r="AI20" s="172" t="s">
        <v>633</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14.25">
      <c r="Q24" s="377"/>
      <c r="R24" s="377"/>
      <c r="S24" s="214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5"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5" customFormat="1" customHeight="1" ht="18.75">
      <c r="A28" s="1398"/>
      <c r="B28" s="1398"/>
      <c r="C28" s="1398"/>
      <c r="D28" s="1398"/>
      <c r="E28" s="1398"/>
      <c r="F28" s="1398"/>
      <c r="G28" s="1398"/>
      <c r="H28" s="1398"/>
      <c r="I28" s="1398"/>
      <c r="J28" s="1398"/>
      <c r="K28" s="1398"/>
      <c r="L28" s="1399"/>
      <c r="M28" s="1398"/>
      <c r="N28" s="1398"/>
      <c r="O28" s="1398"/>
      <c r="S28" s="2098" t="s">
        <v>635</v>
      </c>
      <c r="T28" s="2098"/>
      <c r="U28" s="1402"/>
      <c r="V28" s="2099" t="str">
        <f>IF(TITLE_DATE_PR_CHANGE="",IF(TITLE_DATE_PR="","",TITLE_DATE_PR),TITLE_DATE_PR_CHANGE)</f>
        <v>45205</v>
      </c>
      <c r="W28" s="2099"/>
      <c r="X28" s="2099"/>
      <c r="Y28" s="2099"/>
      <c r="Z28" s="2099"/>
      <c r="AA28" s="2099"/>
      <c r="AB28" s="322"/>
      <c r="AC28" s="2099" t="str">
        <f>IF(TITLE_DATE_PR_CHANGE="",IF(TITLE_DATE_PR="","",TITLE_DATE_PR),TITLE_DATE_PR_CHANGE)</f>
        <v>45205</v>
      </c>
      <c r="AD28" s="2099"/>
      <c r="AE28" s="2099"/>
      <c r="AF28" s="2099"/>
      <c r="AG28" s="2099"/>
      <c r="AH28" s="2099"/>
      <c r="AI28" s="322"/>
      <c r="AJ28" s="322"/>
      <c r="AK28" s="268"/>
      <c r="AL28" s="368"/>
      <c r="AM28" s="368"/>
      <c r="AN28" s="368"/>
      <c r="AO28" s="368"/>
      <c r="AP28" s="368"/>
    </row>
    <row s="3345" customFormat="1" customHeight="1" ht="18.75">
      <c r="A29" s="1398"/>
      <c r="B29" s="1398"/>
      <c r="C29" s="1398"/>
      <c r="D29" s="1398"/>
      <c r="E29" s="1398"/>
      <c r="F29" s="1398"/>
      <c r="G29" s="1398"/>
      <c r="H29" s="1398"/>
      <c r="I29" s="1398"/>
      <c r="J29" s="1398"/>
      <c r="K29" s="1398"/>
      <c r="L29" s="1399"/>
      <c r="M29" s="1398"/>
      <c r="N29" s="1398"/>
      <c r="O29" s="1398"/>
      <c r="S29" s="2098" t="s">
        <v>636</v>
      </c>
      <c r="T29" s="2098"/>
      <c r="U29" s="1402"/>
      <c r="V29" s="2100" t="str">
        <f>IF(TITLE_NUMBER_PR_CHANGE="",IF(TITLE_NUMBER_PR="","",TITLE_NUMBER_PR),TITLE_NUMBER_PR_CHANGE)</f>
        <v>36/2</v>
      </c>
      <c r="W29" s="2100"/>
      <c r="X29" s="2100"/>
      <c r="Y29" s="2100"/>
      <c r="Z29" s="2100"/>
      <c r="AA29" s="2100"/>
      <c r="AB29" s="322"/>
      <c r="AC29" s="2100" t="str">
        <f>IF(TITLE_NUMBER_PR_CHANGE="",IF(TITLE_NUMBER_PR="","",TITLE_NUMBER_PR),TITLE_NUMBER_PR_CHANGE)</f>
        <v>36/2</v>
      </c>
      <c r="AD29" s="2100"/>
      <c r="AE29" s="2100"/>
      <c r="AF29" s="2100"/>
      <c r="AG29" s="2100"/>
      <c r="AH29" s="2100"/>
      <c r="AI29" s="322"/>
      <c r="AJ29" s="322"/>
      <c r="AK29" s="268"/>
      <c r="AL29" s="368"/>
      <c r="AM29" s="368"/>
      <c r="AN29" s="368"/>
      <c r="AO29" s="368"/>
      <c r="AP29" s="368"/>
    </row>
    <row s="3345"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https://npa.gov-murman.ru/bitrix/components/b1team/govmurman.element.file/download.php?ID=495002&amp;FID=732763</v>
      </c>
      <c r="W30" s="2100"/>
      <c r="X30" s="2100"/>
      <c r="Y30" s="2100"/>
      <c r="Z30" s="2100"/>
      <c r="AA30" s="2100"/>
      <c r="AB30" s="322"/>
      <c r="AC30" s="2100" t="str">
        <f>IF(TITLE_IST_PUB_CHANGE="",IF(TITLE_IST_PUB="","",TITLE_IST_PUB),TITLE_IST_PUB_CHANGE)</f>
        <v>https://npa.gov-murman.ru/bitrix/components/b1team/govmurman.element.file/download.php?ID=495002&amp;FID=732763</v>
      </c>
      <c r="AD30" s="2100"/>
      <c r="AE30" s="2100"/>
      <c r="AF30" s="2100"/>
      <c r="AG30" s="2100"/>
      <c r="AH30" s="2100"/>
      <c r="AI30" s="322"/>
      <c r="AJ30" s="322"/>
      <c r="AK30" s="268"/>
      <c r="AL30" s="368"/>
      <c r="AM30" s="368"/>
      <c r="AN30" s="368"/>
      <c r="AO30" s="368"/>
      <c r="AP30" s="368"/>
    </row>
    <row customHeight="1" ht="14.25" hidden="1">
      <c r="Q31" s="377"/>
      <c r="R31" s="377"/>
      <c r="S31" s="1305"/>
      <c r="T31" s="361"/>
      <c r="U31" s="361"/>
      <c r="V31" s="316"/>
      <c r="W31" s="316"/>
      <c r="X31" s="316"/>
      <c r="Y31" s="316"/>
      <c r="Z31" s="316"/>
      <c r="AA31" s="316"/>
      <c r="AB31" s="316"/>
      <c r="AC31" s="316"/>
      <c r="AD31" s="316"/>
      <c r="AE31" s="316"/>
      <c r="AF31" s="316"/>
      <c r="AG31" s="316"/>
      <c r="AH31" s="316"/>
      <c r="AI31" s="316"/>
      <c r="AJ31" s="515"/>
    </row>
    <row s="3345" customFormat="1" customHeight="1" ht="18.75" hidden="1">
      <c r="A32" s="1398"/>
      <c r="B32" s="1398"/>
      <c r="C32" s="1398"/>
      <c r="D32" s="1398"/>
      <c r="E32" s="1398"/>
      <c r="F32" s="1398"/>
      <c r="G32" s="1398"/>
      <c r="H32" s="1398"/>
      <c r="I32" s="1398"/>
      <c r="J32" s="1398"/>
      <c r="K32" s="1398"/>
      <c r="L32" s="1399"/>
      <c r="M32" s="1398"/>
      <c r="N32" s="1398"/>
      <c r="O32" s="1398"/>
      <c r="S32" s="2098" t="s">
        <v>637</v>
      </c>
      <c r="T32" s="2098"/>
      <c r="U32" s="1402"/>
      <c r="V32" s="2099" t="str">
        <f>IF(TITLE_DATE_PR_CHANGE="",IF(TITLE_DATE_PR="","",TITLE_DATE_PR),TITLE_DATE_PR_CHANGE)</f>
        <v>45205</v>
      </c>
      <c r="W32" s="2099"/>
      <c r="X32" s="2099"/>
      <c r="Y32" s="2099"/>
      <c r="Z32" s="2099"/>
      <c r="AA32" s="2099"/>
      <c r="AB32" s="322"/>
      <c r="AC32" s="2099" t="str">
        <f>IF(TITLE_DATE_PR_CHANGE="",IF(TITLE_DATE_PR="","",TITLE_DATE_PR),TITLE_DATE_PR_CHANGE)</f>
        <v>45205</v>
      </c>
      <c r="AD32" s="2099"/>
      <c r="AE32" s="2099"/>
      <c r="AF32" s="2099"/>
      <c r="AG32" s="2099"/>
      <c r="AH32" s="2099"/>
      <c r="AI32" s="322"/>
      <c r="AJ32" s="322"/>
      <c r="AK32" s="268"/>
      <c r="AL32" s="368"/>
      <c r="AM32" s="368"/>
      <c r="AN32" s="368"/>
      <c r="AO32" s="368"/>
      <c r="AP32" s="368"/>
    </row>
    <row s="3345" customFormat="1" customHeight="1" ht="18.75" hidden="1">
      <c r="A33" s="1398"/>
      <c r="B33" s="1398"/>
      <c r="C33" s="1398"/>
      <c r="D33" s="1398"/>
      <c r="E33" s="1398"/>
      <c r="F33" s="1398"/>
      <c r="G33" s="1398"/>
      <c r="H33" s="1398"/>
      <c r="I33" s="1398"/>
      <c r="J33" s="1398"/>
      <c r="K33" s="1398"/>
      <c r="L33" s="1399"/>
      <c r="M33" s="1398"/>
      <c r="N33" s="1398"/>
      <c r="O33" s="1398"/>
      <c r="S33" s="2098" t="s">
        <v>638</v>
      </c>
      <c r="T33" s="2098"/>
      <c r="U33" s="1402"/>
      <c r="V33" s="2100" t="str">
        <f>IF(TITLE_NUMBER_PR_CHANGE="",IF(TITLE_NUMBER_PR="","",TITLE_NUMBER_PR),TITLE_NUMBER_PR_CHANGE)</f>
        <v>36/2</v>
      </c>
      <c r="W33" s="2100"/>
      <c r="X33" s="2100"/>
      <c r="Y33" s="2100"/>
      <c r="Z33" s="2100"/>
      <c r="AA33" s="2100"/>
      <c r="AB33" s="322"/>
      <c r="AC33" s="2100" t="str">
        <f>IF(TITLE_NUMBER_PR_CHANGE="",IF(TITLE_NUMBER_PR="","",TITLE_NUMBER_PR),TITLE_NUMBER_PR_CHANGE)</f>
        <v>36/2</v>
      </c>
      <c r="AD33" s="2100"/>
      <c r="AE33" s="2100"/>
      <c r="AF33" s="2100"/>
      <c r="AG33" s="2100"/>
      <c r="AH33" s="2100"/>
      <c r="AI33" s="322"/>
      <c r="AJ33" s="322"/>
      <c r="AK33" s="268"/>
      <c r="AL33" s="368"/>
      <c r="AM33" s="368"/>
      <c r="AN33" s="368"/>
      <c r="AO33" s="368"/>
      <c r="AP33" s="368"/>
    </row>
    <row s="3345" customFormat="1" customHeight="1" ht="0.75">
      <c r="A34" s="1398"/>
      <c r="B34" s="1398"/>
      <c r="C34" s="1398"/>
      <c r="D34" s="1398"/>
      <c r="E34" s="1398"/>
      <c r="F34" s="1398"/>
      <c r="G34" s="1398"/>
      <c r="H34" s="1398"/>
      <c r="I34" s="1398"/>
      <c r="J34" s="1398"/>
      <c r="K34" s="1398"/>
      <c r="L34" s="1399"/>
      <c r="M34" s="1398"/>
      <c r="N34" s="1398"/>
      <c r="O34" s="1398"/>
      <c r="S34" s="318"/>
      <c r="T34" s="318"/>
      <c r="U34" s="1484"/>
      <c r="V34" s="322"/>
      <c r="W34" s="322"/>
      <c r="X34" s="322"/>
      <c r="Y34" s="322"/>
      <c r="Z34" s="322"/>
      <c r="AA34" s="322"/>
      <c r="AB34" s="266" t="s">
        <v>639</v>
      </c>
      <c r="AC34" s="322"/>
      <c r="AD34" s="322"/>
      <c r="AE34" s="322"/>
      <c r="AF34" s="322"/>
      <c r="AG34" s="322"/>
      <c r="AH34" s="322"/>
      <c r="AI34" s="266" t="s">
        <v>639</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513</v>
      </c>
      <c r="T36" s="1971"/>
      <c r="U36" s="1971"/>
      <c r="V36" s="1971"/>
      <c r="W36" s="1971"/>
      <c r="X36" s="1971"/>
      <c r="Y36" s="1971"/>
      <c r="Z36" s="1971"/>
      <c r="AA36" s="1971"/>
      <c r="AB36" s="1971"/>
      <c r="AC36" s="1971"/>
      <c r="AD36" s="1971"/>
      <c r="AE36" s="1971"/>
      <c r="AF36" s="1971"/>
      <c r="AG36" s="1971"/>
      <c r="AH36" s="1971"/>
      <c r="AI36" s="1971"/>
      <c r="AJ36" s="1971"/>
      <c r="AK36" s="1971" t="s">
        <v>514</v>
      </c>
    </row>
    <row customHeight="1" ht="14.25">
      <c r="Q37" s="377"/>
      <c r="R37" s="377"/>
      <c r="S37" s="2125" t="s">
        <v>89</v>
      </c>
      <c r="T37" s="2062" t="s">
        <v>640</v>
      </c>
      <c r="U37" s="289"/>
      <c r="V37" s="2126" t="s">
        <v>641</v>
      </c>
      <c r="W37" s="2127"/>
      <c r="X37" s="2127"/>
      <c r="Y37" s="2127"/>
      <c r="Z37" s="2127"/>
      <c r="AA37" s="2128"/>
      <c r="AB37" s="2129" t="s">
        <v>642</v>
      </c>
      <c r="AC37" s="2126" t="s">
        <v>641</v>
      </c>
      <c r="AD37" s="2127"/>
      <c r="AE37" s="2127"/>
      <c r="AF37" s="2127"/>
      <c r="AG37" s="2127"/>
      <c r="AH37" s="2128"/>
      <c r="AI37" s="2129" t="s">
        <v>643</v>
      </c>
      <c r="AJ37" s="2132" t="s">
        <v>644</v>
      </c>
      <c r="AK37" s="1971"/>
    </row>
    <row customHeight="1" ht="33.75">
      <c r="Q38" s="377"/>
      <c r="R38" s="377"/>
      <c r="S38" s="2125"/>
      <c r="T38" s="2062"/>
      <c r="U38" s="1038"/>
      <c r="V38" s="1482" t="s">
        <v>704</v>
      </c>
      <c r="W38" s="2118" t="s">
        <v>647</v>
      </c>
      <c r="X38" s="2120"/>
      <c r="Y38" s="2118" t="s">
        <v>648</v>
      </c>
      <c r="Z38" s="2119"/>
      <c r="AA38" s="2120"/>
      <c r="AB38" s="2130"/>
      <c r="AC38" s="1482" t="s">
        <v>704</v>
      </c>
      <c r="AD38" s="2118" t="s">
        <v>647</v>
      </c>
      <c r="AE38" s="2120"/>
      <c r="AF38" s="2118" t="s">
        <v>648</v>
      </c>
      <c r="AG38" s="2119"/>
      <c r="AH38" s="2120"/>
      <c r="AI38" s="2130"/>
      <c r="AJ38" s="2133"/>
      <c r="AK38" s="1971"/>
    </row>
    <row customHeight="1" ht="33.75">
      <c r="A39" s="1400"/>
      <c r="B39" s="1400" t="s">
        <v>216</v>
      </c>
      <c r="C39" s="1400" t="s">
        <v>217</v>
      </c>
      <c r="D39" s="1400" t="s">
        <v>218</v>
      </c>
      <c r="E39" s="1394" t="s">
        <v>649</v>
      </c>
      <c r="F39" s="1394" t="s">
        <v>650</v>
      </c>
      <c r="G39" s="1394" t="s">
        <v>651</v>
      </c>
      <c r="H39" s="1394"/>
      <c r="I39" s="1394" t="s">
        <v>705</v>
      </c>
      <c r="J39" s="1394" t="s">
        <v>654</v>
      </c>
      <c r="K39" s="1394" t="s">
        <v>706</v>
      </c>
      <c r="L39" s="1394" t="s">
        <v>630</v>
      </c>
      <c r="Q39" s="377"/>
      <c r="R39" s="377"/>
      <c r="S39" s="2125"/>
      <c r="T39" s="2062"/>
      <c r="U39" s="290"/>
      <c r="V39" s="1482" t="s">
        <v>707</v>
      </c>
      <c r="W39" s="1237" t="s">
        <v>708</v>
      </c>
      <c r="X39" s="1237" t="s">
        <v>709</v>
      </c>
      <c r="Y39" s="1485" t="s">
        <v>658</v>
      </c>
      <c r="Z39" s="2121" t="s">
        <v>659</v>
      </c>
      <c r="AA39" s="2122"/>
      <c r="AB39" s="2131"/>
      <c r="AC39" s="1482" t="s">
        <v>707</v>
      </c>
      <c r="AD39" s="1237" t="s">
        <v>708</v>
      </c>
      <c r="AE39" s="1237" t="s">
        <v>709</v>
      </c>
      <c r="AF39" s="1485" t="s">
        <v>658</v>
      </c>
      <c r="AG39" s="2121" t="s">
        <v>659</v>
      </c>
      <c r="AH39" s="2122"/>
      <c r="AI39" s="2131"/>
      <c r="AJ39" s="2134"/>
      <c r="AK39" s="1971"/>
    </row>
    <row s="2611" customFormat="1" customHeight="1" ht="0">
      <c r="A40" s="1400"/>
      <c r="B40" s="1400"/>
      <c r="C40" s="1400"/>
      <c r="D40" s="1400"/>
      <c r="E40" s="1400"/>
      <c r="F40" s="1400"/>
      <c r="G40" s="1400"/>
      <c r="H40" s="1400"/>
      <c r="I40" s="1400"/>
      <c r="J40" s="1400"/>
      <c r="K40" s="1400"/>
      <c r="L40" s="1394"/>
      <c r="M40" s="1392"/>
      <c r="N40" s="1392"/>
      <c r="O40" s="1392"/>
      <c r="P40" s="1264"/>
      <c r="Q40" s="1265"/>
      <c r="R40" s="1280">
        <v>1</v>
      </c>
      <c r="S40" s="1307" t="s">
        <v>193</v>
      </c>
      <c r="T40" s="1281" t="s">
        <v>104</v>
      </c>
      <c r="U40" s="1263" t="str">
        <f>OFFSET(U40,0,-1)</f>
        <v>2</v>
      </c>
      <c r="V40" s="1481">
        <f>OFFSET(V40,0,-1)+1</f>
        <v>3</v>
      </c>
      <c r="W40" s="1481">
        <f>OFFSET(W40,0,-1)+1</f>
        <v>4</v>
      </c>
      <c r="X40" s="1481">
        <f>OFFSET(X40,0,-1)+1</f>
        <v>5</v>
      </c>
      <c r="Y40" s="1481">
        <f>OFFSET(Y40,0,-1)+1</f>
        <v>6</v>
      </c>
      <c r="Z40" s="2123">
        <f>OFFSET(Z40,0,-1)+1</f>
        <v>7</v>
      </c>
      <c r="AA40" s="2123"/>
      <c r="AB40" s="1481">
        <f>OFFSET(AB40,0,-2)+1</f>
        <v>8</v>
      </c>
      <c r="AC40" s="1481">
        <f>OFFSET(AC40,0,-1)+1</f>
        <v>9</v>
      </c>
      <c r="AD40" s="1481">
        <f>OFFSET(AD40,0,-1)+1</f>
        <v>10</v>
      </c>
      <c r="AE40" s="1481">
        <f>OFFSET(AE40,0,-1)+1</f>
        <v>11</v>
      </c>
      <c r="AF40" s="1481">
        <f>OFFSET(AF40,0,-1)+1</f>
        <v>12</v>
      </c>
      <c r="AG40" s="2123">
        <f>OFFSET(AG40,0,-1)+1</f>
        <v>13</v>
      </c>
      <c r="AH40" s="2123"/>
      <c r="AI40" s="1481">
        <f>OFFSET(AI40,0,-2)+1</f>
        <v>14</v>
      </c>
      <c r="AJ40" s="1263">
        <f>OFFSET(AJ40,0,-1)</f>
        <v>14</v>
      </c>
      <c r="AK40" s="1481">
        <f>OFFSET(AK40,0,-1)+1</f>
        <v>15</v>
      </c>
      <c r="AL40" s="517"/>
      <c r="AM40" s="517"/>
      <c r="AN40" s="517"/>
      <c r="AO40" s="517"/>
      <c r="AP40" s="517"/>
    </row>
    <row customHeight="1" ht="23.25">
      <c r="A41" s="1393" t="s">
        <v>449</v>
      </c>
      <c r="B41" s="1393"/>
      <c r="C41" s="1393"/>
      <c r="D41" s="1393"/>
      <c r="E41" s="2107">
        <v>1</v>
      </c>
      <c r="F41" s="1393"/>
      <c r="G41" s="1393"/>
      <c r="H41" s="1393"/>
      <c r="I41" s="1393"/>
      <c r="J41" s="1393"/>
      <c r="K41" s="1393"/>
      <c r="L41" s="1394"/>
      <c r="M41" s="1395"/>
      <c r="N41" s="1395"/>
      <c r="O41" s="1395"/>
      <c r="P41" s="357"/>
      <c r="Q41" s="356"/>
      <c r="R41" s="351"/>
      <c r="S41" s="1487">
        <f>INDEX(PT_DIFFERENTIATION_NUM_NTAR,MATCH(A41,PT_DIFFERENTIATION_NTAR_ID,0))</f>
        <v>0</v>
      </c>
      <c r="T41" s="286" t="s">
        <v>204</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449</v>
      </c>
      <c r="B42" s="1393" t="s">
        <v>450</v>
      </c>
      <c r="C42" s="1393"/>
      <c r="D42" s="1393"/>
      <c r="E42" s="2108"/>
      <c r="F42" s="2107">
        <v>1</v>
      </c>
      <c r="G42" s="1393"/>
      <c r="H42" s="1393"/>
      <c r="I42" s="1393"/>
      <c r="J42" s="1393"/>
      <c r="K42" s="1393"/>
      <c r="L42" s="1394"/>
      <c r="M42" s="1395"/>
      <c r="N42" s="1395"/>
      <c r="O42" s="1395"/>
      <c r="P42" s="1483"/>
      <c r="Q42" s="348"/>
      <c r="R42" s="349"/>
      <c r="S42" s="1487" t="str">
        <f>INDEX(PT_DIFFERENTIATION_NUM_TER,MATCH(B42,PT_DIFFERENTIATION_TER_ID,0))</f>
        <v>.</v>
      </c>
      <c r="T42" s="298" t="s">
        <v>612</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613</v>
      </c>
      <c r="AM42" s="506"/>
      <c r="AN42" s="506" t="str">
        <f>IF(T42="","",T42)</f>
        <v>Территория действия тарифа</v>
      </c>
      <c r="AO42" s="506"/>
      <c r="AP42" s="506"/>
    </row>
    <row customHeight="1" ht="23.25">
      <c r="A43" s="1393" t="s">
        <v>449</v>
      </c>
      <c r="B43" s="1393" t="s">
        <v>450</v>
      </c>
      <c r="C43" s="1393" t="s">
        <v>451</v>
      </c>
      <c r="D43" s="1393"/>
      <c r="E43" s="2108"/>
      <c r="F43" s="2108"/>
      <c r="G43" s="2107">
        <v>1</v>
      </c>
      <c r="H43" s="1393"/>
      <c r="I43" s="1393"/>
      <c r="J43" s="1393"/>
      <c r="K43" s="1393"/>
      <c r="L43" s="1394"/>
      <c r="M43" s="1395"/>
      <c r="N43" s="1395"/>
      <c r="O43" s="1395"/>
      <c r="P43" s="350"/>
      <c r="Q43" s="348"/>
      <c r="R43" s="349"/>
      <c r="S43" s="1487" t="str">
        <f>INDEX(PT_DIFFERENTIATION_NUM_CS,MATCH(C43,PT_DIFFERENTIATION_CS_ID,0))</f>
        <v>..</v>
      </c>
      <c r="T43" s="299" t="s">
        <v>696</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697</v>
      </c>
      <c r="AM43" s="506"/>
      <c r="AN43" s="506" t="str">
        <f>IF(T43="","",T43)</f>
        <v>Наименование централизованной системы холодного водоснабжения</v>
      </c>
      <c r="AO43" s="506"/>
      <c r="AP43" s="506"/>
    </row>
    <row customHeight="1" ht="23.25">
      <c r="A44" s="1393" t="s">
        <v>449</v>
      </c>
      <c r="B44" s="1393" t="s">
        <v>450</v>
      </c>
      <c r="C44" s="1393" t="s">
        <v>451</v>
      </c>
      <c r="D44" s="1393" t="s">
        <v>712</v>
      </c>
      <c r="E44" s="2108"/>
      <c r="F44" s="2108"/>
      <c r="G44" s="2108"/>
      <c r="H44" s="2108"/>
      <c r="I44" s="2109" t="str">
        <f>S43&amp;".1"</f>
        <v>...1</v>
      </c>
      <c r="J44" s="1393"/>
      <c r="K44" s="1393"/>
      <c r="L44" s="1394"/>
      <c r="P44" s="2111">
        <v>1</v>
      </c>
      <c r="Q44" s="1480"/>
      <c r="R44" s="352"/>
      <c r="S44" s="1487" t="str">
        <f>$I44</f>
        <v>...1</v>
      </c>
      <c r="T44" s="273" t="s">
        <v>698</v>
      </c>
      <c r="U44" s="288"/>
      <c r="V44" s="2194"/>
      <c r="W44" s="2195"/>
      <c r="X44" s="2195"/>
      <c r="Y44" s="2195"/>
      <c r="Z44" s="2195"/>
      <c r="AA44" s="2195"/>
      <c r="AB44" s="2196"/>
      <c r="AC44" s="2197"/>
      <c r="AD44" s="2198"/>
      <c r="AE44" s="2198"/>
      <c r="AF44" s="2198"/>
      <c r="AG44" s="2198"/>
      <c r="AH44" s="2198"/>
      <c r="AI44" s="2198"/>
      <c r="AJ44" s="2199"/>
      <c r="AK44" s="1286" t="s">
        <v>699</v>
      </c>
      <c r="AM44" s="506"/>
      <c r="AN44" s="506" t="str">
        <f>IF(T44="","",T44)</f>
        <v>Наименование признака дифференциации</v>
      </c>
      <c r="AO44" s="506"/>
      <c r="AP44" s="506"/>
    </row>
    <row customHeight="1" ht="23.25">
      <c r="A45" s="1393" t="s">
        <v>449</v>
      </c>
      <c r="B45" s="1393" t="s">
        <v>450</v>
      </c>
      <c r="C45" s="1393" t="s">
        <v>451</v>
      </c>
      <c r="D45" s="1393" t="s">
        <v>712</v>
      </c>
      <c r="E45" s="2108"/>
      <c r="F45" s="2108"/>
      <c r="G45" s="2108"/>
      <c r="H45" s="2108"/>
      <c r="I45" s="2110"/>
      <c r="J45" s="2109" t="str">
        <f>I44&amp;".1"</f>
        <v>...1.1</v>
      </c>
      <c r="K45" s="1393"/>
      <c r="L45" s="1394" t="s">
        <v>621</v>
      </c>
      <c r="P45" s="2111"/>
      <c r="Q45" s="2111">
        <v>1</v>
      </c>
      <c r="R45" s="353"/>
      <c r="S45" s="1487" t="str">
        <f>$J45</f>
        <v>...1.1</v>
      </c>
      <c r="T45" s="274" t="s">
        <v>622</v>
      </c>
      <c r="U45" s="288"/>
      <c r="V45" s="2095"/>
      <c r="W45" s="2096"/>
      <c r="X45" s="2096"/>
      <c r="Y45" s="2096"/>
      <c r="Z45" s="2096"/>
      <c r="AA45" s="2096"/>
      <c r="AB45" s="2097"/>
      <c r="AC45" s="2095"/>
      <c r="AD45" s="2096"/>
      <c r="AE45" s="2096"/>
      <c r="AF45" s="2096"/>
      <c r="AG45" s="2096"/>
      <c r="AH45" s="2096"/>
      <c r="AI45" s="2096"/>
      <c r="AJ45" s="2097"/>
      <c r="AK45" s="1337" t="s">
        <v>700</v>
      </c>
      <c r="AM45" s="506"/>
      <c r="AN45" s="506" t="str">
        <f>IF(T45="","",T45)</f>
        <v>Группа потребителей</v>
      </c>
      <c r="AO45" s="506"/>
      <c r="AP45" s="506"/>
    </row>
    <row customHeight="1" ht="23.25">
      <c r="A46" s="1393" t="s">
        <v>449</v>
      </c>
      <c r="B46" s="1393" t="s">
        <v>450</v>
      </c>
      <c r="C46" s="1393" t="s">
        <v>451</v>
      </c>
      <c r="D46" s="1393" t="s">
        <v>712</v>
      </c>
      <c r="E46" s="2108"/>
      <c r="F46" s="2108"/>
      <c r="G46" s="2108"/>
      <c r="H46" s="2108"/>
      <c r="I46" s="2110"/>
      <c r="J46" s="2110"/>
      <c r="K46" s="2109" t="str">
        <f>J45&amp;".1"</f>
        <v>...1.1.1</v>
      </c>
      <c r="L46" s="1394"/>
      <c r="P46" s="2111"/>
      <c r="Q46" s="2111"/>
      <c r="R46" s="353">
        <v>1</v>
      </c>
      <c r="S46" s="1487" t="str">
        <f>$K46</f>
        <v>...1.1.1</v>
      </c>
      <c r="T46" s="1467"/>
      <c r="U46" s="288"/>
      <c r="V46" s="757"/>
      <c r="W46" s="757"/>
      <c r="X46" s="1285"/>
      <c r="Y46" s="2112"/>
      <c r="Z46" s="1981" t="s">
        <v>63</v>
      </c>
      <c r="AA46" s="2112"/>
      <c r="AB46" s="1981" t="s">
        <v>63</v>
      </c>
      <c r="AC46" s="757"/>
      <c r="AD46" s="757"/>
      <c r="AE46" s="1285"/>
      <c r="AF46" s="2112"/>
      <c r="AG46" s="1981" t="s">
        <v>63</v>
      </c>
      <c r="AH46" s="2114"/>
      <c r="AI46" s="1981" t="s">
        <v>63</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449</v>
      </c>
      <c r="B47" s="1393" t="s">
        <v>450</v>
      </c>
      <c r="C47" s="1393" t="s">
        <v>451</v>
      </c>
      <c r="D47" s="1393" t="s">
        <v>712</v>
      </c>
      <c r="E47" s="2108"/>
      <c r="F47" s="2108"/>
      <c r="G47" s="2108"/>
      <c r="H47" s="2108"/>
      <c r="I47" s="2110"/>
      <c r="J47" s="2110"/>
      <c r="K47" s="2109"/>
      <c r="L47" s="1394"/>
      <c r="P47" s="2111"/>
      <c r="Q47" s="2111"/>
      <c r="R47" s="353"/>
      <c r="S47" s="1486"/>
      <c r="T47" s="288"/>
      <c r="U47" s="288"/>
      <c r="V47" s="320"/>
      <c r="W47" s="320"/>
      <c r="X47" s="324" t="str">
        <f>Y46&amp;"-"&amp;AA46</f>
        <v>-</v>
      </c>
      <c r="Y47" s="2113"/>
      <c r="Z47" s="1981"/>
      <c r="AA47" s="2113"/>
      <c r="AB47" s="1981"/>
      <c r="AC47" s="320"/>
      <c r="AD47" s="320"/>
      <c r="AE47" s="324" t="str">
        <f>AF46&amp;"-"&amp;AH46</f>
        <v>-</v>
      </c>
      <c r="AF47" s="2113"/>
      <c r="AG47" s="1981"/>
      <c r="AH47" s="2115"/>
      <c r="AI47" s="1981"/>
      <c r="AJ47" s="1469"/>
      <c r="AK47" s="2200"/>
      <c r="AM47" s="506"/>
      <c r="AN47" s="506" t="str">
        <f>IF(T47="","",T47)</f>
        <v/>
      </c>
      <c r="AO47" s="506"/>
      <c r="AP47" s="506"/>
    </row>
    <row customHeight="1" ht="21">
      <c r="A48" s="1393" t="s">
        <v>449</v>
      </c>
      <c r="B48" s="1393" t="s">
        <v>450</v>
      </c>
      <c r="C48" s="1393" t="s">
        <v>451</v>
      </c>
      <c r="D48" s="1393" t="s">
        <v>712</v>
      </c>
      <c r="E48" s="2108"/>
      <c r="F48" s="2108"/>
      <c r="G48" s="2108"/>
      <c r="H48" s="2108"/>
      <c r="I48" s="2110"/>
      <c r="J48" s="2109"/>
      <c r="K48" s="1393"/>
      <c r="L48" s="1394"/>
      <c r="P48" s="2111"/>
      <c r="Q48" s="2111"/>
      <c r="R48" s="352"/>
      <c r="S48" s="1308"/>
      <c r="T48" s="275" t="s">
        <v>701</v>
      </c>
      <c r="U48" s="367"/>
      <c r="V48" s="367"/>
      <c r="W48" s="367"/>
      <c r="X48" s="367"/>
      <c r="Y48" s="367"/>
      <c r="Z48" s="367"/>
      <c r="AA48" s="367"/>
      <c r="AB48" s="367"/>
      <c r="AC48" s="367"/>
      <c r="AD48" s="367"/>
      <c r="AE48" s="367"/>
      <c r="AF48" s="367"/>
      <c r="AG48" s="367"/>
      <c r="AH48" s="367"/>
      <c r="AI48" s="367"/>
      <c r="AJ48" s="367"/>
      <c r="AK48" s="1286" t="s">
        <v>702</v>
      </c>
      <c r="AM48" s="506"/>
      <c r="AN48" s="506" t="str">
        <f>IF(T48="","",T48)</f>
        <v>Добавить значение признака дифференциации</v>
      </c>
      <c r="AO48" s="506"/>
      <c r="AP48" s="506"/>
    </row>
    <row customHeight="1" ht="21">
      <c r="A49" s="1393" t="s">
        <v>449</v>
      </c>
      <c r="B49" s="1393" t="s">
        <v>450</v>
      </c>
      <c r="C49" s="1393" t="s">
        <v>451</v>
      </c>
      <c r="D49" s="1393" t="s">
        <v>712</v>
      </c>
      <c r="E49" s="2108"/>
      <c r="F49" s="2108"/>
      <c r="G49" s="2108"/>
      <c r="H49" s="2108"/>
      <c r="I49" s="2109"/>
      <c r="J49" s="1393"/>
      <c r="K49" s="1393"/>
      <c r="L49" s="1394"/>
      <c r="P49" s="2111"/>
      <c r="Q49" s="1480"/>
      <c r="R49" s="352"/>
      <c r="S49" s="1308"/>
      <c r="T49" s="364" t="s">
        <v>627</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449</v>
      </c>
      <c r="B50" s="1393" t="s">
        <v>450</v>
      </c>
      <c r="C50" s="1393" t="s">
        <v>451</v>
      </c>
      <c r="D50" s="1393" t="s">
        <v>712</v>
      </c>
      <c r="E50" s="2108"/>
      <c r="F50" s="2108"/>
      <c r="G50" s="2108"/>
      <c r="H50" s="2107"/>
      <c r="I50" s="1393"/>
      <c r="J50" s="1393"/>
      <c r="K50" s="1393"/>
      <c r="L50" s="1394"/>
      <c r="M50" s="1395"/>
      <c r="N50" s="1395"/>
      <c r="O50" s="543"/>
      <c r="P50" s="356"/>
      <c r="Q50" s="376"/>
      <c r="R50" s="351"/>
      <c r="S50" s="1308"/>
      <c r="T50" s="372" t="s">
        <v>703</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4" customFormat="1" customHeight="1" ht="0">
      <c r="A51" s="1373" t="s">
        <v>449</v>
      </c>
      <c r="B51" s="1373" t="s">
        <v>450</v>
      </c>
      <c r="C51" s="1344"/>
      <c r="D51" s="1344"/>
      <c r="E51" s="2108"/>
      <c r="F51" s="2107"/>
      <c r="G51" s="1344"/>
      <c r="H51" s="1344"/>
      <c r="I51" s="1344"/>
      <c r="J51" s="1344"/>
      <c r="K51" s="1344"/>
      <c r="L51" s="1488"/>
      <c r="M51" s="1351"/>
      <c r="N51" s="1351"/>
      <c r="P51" s="1346"/>
      <c r="Q51" s="1347"/>
      <c r="R51" s="1346"/>
      <c r="S51" s="1352"/>
      <c r="T51" s="1355" t="s">
        <v>255</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2" customFormat="1" customHeight="1" ht="0">
      <c r="A52" s="1373" t="s">
        <v>449</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4" customFormat="1" customHeight="1" ht="0">
      <c r="A53" s="1344"/>
      <c r="B53" s="1344"/>
      <c r="C53" s="1344"/>
      <c r="D53" s="1344"/>
      <c r="E53" s="1373"/>
      <c r="F53" s="1344"/>
      <c r="G53" s="1344"/>
      <c r="H53" s="1344"/>
      <c r="I53" s="1344"/>
      <c r="J53" s="1344"/>
      <c r="K53" s="1344"/>
      <c r="L53" s="1488"/>
      <c r="M53" s="1351"/>
      <c r="N53" s="1351"/>
      <c r="P53" s="1346"/>
      <c r="Q53" s="1347"/>
      <c r="R53" s="1346"/>
      <c r="S53" s="1352"/>
      <c r="T53" s="1355" t="s">
        <v>398</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EE9B4D-48AA-3C6A-1BF4-3D07A61B967F}"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4.140625" hidden="1" customWidth="1"/>
    <col min="10" max="10" style="2683" width="9.8515625" hidden="1" customWidth="1"/>
    <col min="11" max="11" style="2683" width="14.7109375" hidden="1" customWidth="1"/>
    <col min="12" max="12" style="12279" width="19.140625" hidden="1" customWidth="1"/>
    <col min="13" max="14" style="3334" width="12.28125" hidden="1" customWidth="1"/>
    <col min="15" max="15" style="3334" width="23.421875" hidden="1" customWidth="1"/>
    <col min="16" max="16" style="12284" width="3.7109375" customWidth="1"/>
    <col min="17" max="18" style="3411" width="3.7109375" customWidth="1"/>
    <col min="19" max="19" style="3412" width="12.7109375" customWidth="1"/>
    <col min="20" max="20" style="2984" width="35.7109375" customWidth="1"/>
    <col min="21" max="21" style="2984" width="0.140625" customWidth="1"/>
    <col min="22" max="24" style="2984" width="24.7109375" hidden="1" customWidth="1"/>
    <col min="25" max="25" style="2984" width="11.7109375" hidden="1" customWidth="1"/>
    <col min="26" max="26" style="2984" width="3.7109375" hidden="1" customWidth="1"/>
    <col min="27" max="27" style="2984" width="11.7109375" hidden="1" customWidth="1"/>
    <col min="28" max="28" style="2984" width="8.57421875" hidden="1" customWidth="1"/>
    <col min="29" max="31" style="2984" width="24.7109375" customWidth="1"/>
    <col min="32" max="32" style="2984" width="11.7109375" customWidth="1"/>
    <col min="33" max="33" style="2984" width="3.7109375" customWidth="1"/>
    <col min="34" max="34" style="2984" width="11.7109375" customWidth="1"/>
    <col min="35" max="35" style="2984" width="8.57421875" hidden="1" customWidth="1"/>
    <col min="36" max="36" style="2984" width="4.7109375" customWidth="1"/>
    <col min="37" max="37" style="2984" width="115.7109375" customWidth="1"/>
    <col min="38" max="39" style="2612" width="10.57421875"/>
    <col min="40" max="40" style="2612" width="11.140625" customWidth="1"/>
    <col min="41" max="42" style="2612"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487">
        <f>INDEX(PT_DIFFERENTIATION_NUM_NTAR,MATCH(A2,PT_DIFFERENTIATION_NTAR_ID,0))</f>
      </c>
      <c r="T2" s="286" t="s">
        <v>204</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483"/>
      <c r="Q3" s="348"/>
      <c r="R3" s="349"/>
      <c r="S3" s="1487">
        <f>INDEX(PT_DIFFERENTIATION_NUM_TER,MATCH(B3,PT_DIFFERENTIATION_TER_ID,0))</f>
      </c>
      <c r="T3" s="298" t="s">
        <v>612</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613</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487">
        <f>INDEX(PT_DIFFERENTIATION_NUM_CS,MATCH(C4,PT_DIFFERENTIATION_CS_ID,0))</f>
      </c>
      <c r="T4" s="299" t="s">
        <v>696</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697</v>
      </c>
      <c r="AM4" s="506"/>
      <c r="AN4" s="506" t="str">
        <f>IF(T4="","",T4)</f>
        <v>Наименование централизованной системы холодного водоснабжения</v>
      </c>
      <c r="AO4" s="506"/>
      <c r="AP4" s="506"/>
    </row>
    <row customHeight="1" ht="23.25" hidden="1">
      <c r="A5" s="1393"/>
      <c r="B5" s="1393"/>
      <c r="C5" s="1393"/>
      <c r="D5" s="1393"/>
      <c r="E5" s="2108"/>
      <c r="F5" s="2108"/>
      <c r="G5" s="2108"/>
      <c r="H5" s="2108"/>
      <c r="I5" s="2109">
        <f>S4&amp;".1"</f>
      </c>
      <c r="J5" s="1393"/>
      <c r="K5" s="1393"/>
      <c r="L5" s="1394"/>
      <c r="P5" s="2111">
        <v>1</v>
      </c>
      <c r="Q5" s="1480"/>
      <c r="R5" s="352"/>
      <c r="S5" s="1487">
        <f>$I5</f>
      </c>
      <c r="T5" s="273" t="s">
        <v>698</v>
      </c>
      <c r="U5" s="288"/>
      <c r="V5" s="2194"/>
      <c r="W5" s="2195"/>
      <c r="X5" s="2195"/>
      <c r="Y5" s="2195"/>
      <c r="Z5" s="2195"/>
      <c r="AA5" s="2195"/>
      <c r="AB5" s="2196"/>
      <c r="AC5" s="2197"/>
      <c r="AD5" s="2198"/>
      <c r="AE5" s="2198"/>
      <c r="AF5" s="2198"/>
      <c r="AG5" s="2198"/>
      <c r="AH5" s="2198"/>
      <c r="AI5" s="2198"/>
      <c r="AJ5" s="2199"/>
      <c r="AK5" s="1286" t="s">
        <v>699</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621</v>
      </c>
      <c r="P6" s="2111"/>
      <c r="Q6" s="2111">
        <v>1</v>
      </c>
      <c r="R6" s="353"/>
      <c r="S6" s="1487">
        <f>$J6</f>
      </c>
      <c r="T6" s="274" t="s">
        <v>622</v>
      </c>
      <c r="U6" s="288"/>
      <c r="V6" s="2095"/>
      <c r="W6" s="2096"/>
      <c r="X6" s="2096"/>
      <c r="Y6" s="2096"/>
      <c r="Z6" s="2096"/>
      <c r="AA6" s="2096"/>
      <c r="AB6" s="2097"/>
      <c r="AC6" s="2095"/>
      <c r="AD6" s="2096"/>
      <c r="AE6" s="2096"/>
      <c r="AF6" s="2096"/>
      <c r="AG6" s="2096"/>
      <c r="AH6" s="2096"/>
      <c r="AI6" s="2096"/>
      <c r="AJ6" s="2097"/>
      <c r="AK6" s="1337" t="s">
        <v>700</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487">
        <f>$K7</f>
      </c>
      <c r="T7" s="1467"/>
      <c r="U7" s="288"/>
      <c r="V7" s="757"/>
      <c r="W7" s="757"/>
      <c r="X7" s="1285"/>
      <c r="Y7" s="2112"/>
      <c r="Z7" s="1981" t="s">
        <v>63</v>
      </c>
      <c r="AA7" s="2112"/>
      <c r="AB7" s="1981" t="s">
        <v>63</v>
      </c>
      <c r="AC7" s="757"/>
      <c r="AD7" s="757"/>
      <c r="AE7" s="1285"/>
      <c r="AF7" s="2112"/>
      <c r="AG7" s="1981" t="s">
        <v>63</v>
      </c>
      <c r="AH7" s="2114"/>
      <c r="AI7" s="1981" t="s">
        <v>63</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486"/>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701</v>
      </c>
      <c r="U9" s="367"/>
      <c r="V9" s="367"/>
      <c r="W9" s="367"/>
      <c r="X9" s="367"/>
      <c r="Y9" s="367"/>
      <c r="Z9" s="367"/>
      <c r="AA9" s="367"/>
      <c r="AB9" s="367"/>
      <c r="AC9" s="367"/>
      <c r="AD9" s="367"/>
      <c r="AE9" s="367"/>
      <c r="AF9" s="367"/>
      <c r="AG9" s="367"/>
      <c r="AH9" s="367"/>
      <c r="AI9" s="367"/>
      <c r="AJ9" s="367"/>
      <c r="AK9" s="1286" t="s">
        <v>702</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480"/>
      <c r="R10" s="352"/>
      <c r="S10" s="1308"/>
      <c r="T10" s="364" t="s">
        <v>627</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21" hidden="1">
      <c r="A11" s="1393"/>
      <c r="B11" s="1393"/>
      <c r="C11" s="1393"/>
      <c r="D11" s="1393"/>
      <c r="E11" s="2108"/>
      <c r="F11" s="2108"/>
      <c r="G11" s="2108"/>
      <c r="H11" s="2107"/>
      <c r="I11" s="1393"/>
      <c r="J11" s="1393"/>
      <c r="K11" s="1393"/>
      <c r="L11" s="1394"/>
      <c r="M11" s="1395"/>
      <c r="N11" s="1395"/>
      <c r="O11" s="543"/>
      <c r="P11" s="356"/>
      <c r="Q11" s="376"/>
      <c r="R11" s="351"/>
      <c r="S11" s="1308"/>
      <c r="T11" s="372" t="s">
        <v>703</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4" customFormat="1" customHeight="1" ht="14.25" hidden="1">
      <c r="A12" s="1373"/>
      <c r="B12" s="1373"/>
      <c r="C12" s="1344"/>
      <c r="D12" s="1344"/>
      <c r="E12" s="2108"/>
      <c r="F12" s="2107"/>
      <c r="G12" s="1344"/>
      <c r="H12" s="1344"/>
      <c r="I12" s="1344"/>
      <c r="J12" s="1344"/>
      <c r="K12" s="1344"/>
      <c r="L12" s="1488"/>
      <c r="M12" s="1351"/>
      <c r="N12" s="1351"/>
      <c r="P12" s="1346"/>
      <c r="Q12" s="1347"/>
      <c r="R12" s="1346"/>
      <c r="S12" s="1352"/>
      <c r="T12" s="1355" t="s">
        <v>255</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2"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63</v>
      </c>
      <c r="AH15" s="2105"/>
      <c r="AI15" s="2104" t="s">
        <v>63</v>
      </c>
    </row>
    <row customHeight="1" ht="14.25" hidden="1">
      <c r="AC16" s="1390"/>
      <c r="AD16" s="1390"/>
      <c r="AE16" s="324" t="str">
        <f>AF15&amp;"-"&amp;AH15</f>
        <v>-</v>
      </c>
      <c r="AF16" s="2104"/>
      <c r="AG16" s="2104"/>
      <c r="AH16" s="2104"/>
      <c r="AI16" s="2104"/>
    </row>
    <row customHeight="1" ht="14.25" hidden="1">
      <c r="AI17" s="323"/>
    </row>
    <row s="2683" customFormat="1" customHeight="1" ht="22.5" hidden="1">
      <c r="L18" s="1477"/>
      <c r="M18" s="1392"/>
      <c r="N18" s="1392"/>
      <c r="O18" s="1397" t="s">
        <v>629</v>
      </c>
      <c r="P18" s="1392"/>
      <c r="Q18" s="1401"/>
      <c r="R18" s="1401"/>
      <c r="S18" s="735"/>
      <c r="Y18" s="1397"/>
      <c r="AA18" s="1397"/>
      <c r="AB18" s="1396"/>
      <c r="AF18" s="1397"/>
      <c r="AH18" s="1397"/>
      <c r="AI18" s="1396"/>
      <c r="AL18" s="517"/>
      <c r="AM18" s="517"/>
      <c r="AN18" s="517"/>
      <c r="AO18" s="517"/>
      <c r="AP18" s="517"/>
    </row>
    <row s="2683" customFormat="1" customHeight="1" ht="14.25" hidden="1">
      <c r="L19" s="1477"/>
      <c r="M19" s="1392"/>
      <c r="N19" s="1392"/>
      <c r="O19" s="1392"/>
      <c r="P19" s="1392"/>
      <c r="Q19" s="1401"/>
      <c r="R19" s="1401"/>
      <c r="S19" s="735"/>
      <c r="AB19" s="1396"/>
      <c r="AI19" s="1396"/>
      <c r="AL19" s="517"/>
      <c r="AM19" s="517"/>
      <c r="AN19" s="517"/>
      <c r="AO19" s="517"/>
      <c r="AP19" s="517"/>
    </row>
    <row s="2683" customFormat="1" customHeight="1" ht="12" hidden="1">
      <c r="L20" s="1477"/>
      <c r="M20" s="1392"/>
      <c r="N20" s="1392"/>
      <c r="O20" s="1394" t="s">
        <v>630</v>
      </c>
      <c r="P20" s="1392"/>
      <c r="Q20" s="1472"/>
      <c r="R20" s="1472"/>
      <c r="S20" s="735"/>
      <c r="T20" s="1168" t="s">
        <v>631</v>
      </c>
      <c r="Z20" s="172" t="s">
        <v>632</v>
      </c>
      <c r="AB20" s="172" t="s">
        <v>633</v>
      </c>
      <c r="AC20" s="1168" t="s">
        <v>631</v>
      </c>
      <c r="AG20" s="172" t="s">
        <v>634</v>
      </c>
      <c r="AI20" s="172" t="s">
        <v>633</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14.25">
      <c r="Q24" s="377"/>
      <c r="R24" s="377"/>
      <c r="S24" s="214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5"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5" customFormat="1" customHeight="1" ht="18.75">
      <c r="A28" s="1398"/>
      <c r="B28" s="1398"/>
      <c r="C28" s="1398"/>
      <c r="D28" s="1398"/>
      <c r="E28" s="1398"/>
      <c r="F28" s="1398"/>
      <c r="G28" s="1398"/>
      <c r="H28" s="1398"/>
      <c r="I28" s="1398"/>
      <c r="J28" s="1398"/>
      <c r="K28" s="1398"/>
      <c r="L28" s="1399"/>
      <c r="M28" s="1398"/>
      <c r="N28" s="1398"/>
      <c r="O28" s="1398"/>
      <c r="S28" s="2098" t="s">
        <v>635</v>
      </c>
      <c r="T28" s="2098"/>
      <c r="U28" s="1402"/>
      <c r="V28" s="2099" t="str">
        <f>IF(TITLE_DATE_PR_CHANGE="",IF(TITLE_DATE_PR="","",TITLE_DATE_PR),TITLE_DATE_PR_CHANGE)</f>
        <v>45205</v>
      </c>
      <c r="W28" s="2099"/>
      <c r="X28" s="2099"/>
      <c r="Y28" s="2099"/>
      <c r="Z28" s="2099"/>
      <c r="AA28" s="2099"/>
      <c r="AB28" s="322"/>
      <c r="AC28" s="2099" t="str">
        <f>IF(TITLE_DATE_PR_CHANGE="",IF(TITLE_DATE_PR="","",TITLE_DATE_PR),TITLE_DATE_PR_CHANGE)</f>
        <v>45205</v>
      </c>
      <c r="AD28" s="2099"/>
      <c r="AE28" s="2099"/>
      <c r="AF28" s="2099"/>
      <c r="AG28" s="2099"/>
      <c r="AH28" s="2099"/>
      <c r="AI28" s="322"/>
      <c r="AJ28" s="322"/>
      <c r="AK28" s="268"/>
      <c r="AL28" s="368"/>
      <c r="AM28" s="368"/>
      <c r="AN28" s="368"/>
      <c r="AO28" s="368"/>
      <c r="AP28" s="368"/>
    </row>
    <row s="3345" customFormat="1" customHeight="1" ht="18.75">
      <c r="A29" s="1398"/>
      <c r="B29" s="1398"/>
      <c r="C29" s="1398"/>
      <c r="D29" s="1398"/>
      <c r="E29" s="1398"/>
      <c r="F29" s="1398"/>
      <c r="G29" s="1398"/>
      <c r="H29" s="1398"/>
      <c r="I29" s="1398"/>
      <c r="J29" s="1398"/>
      <c r="K29" s="1398"/>
      <c r="L29" s="1399"/>
      <c r="M29" s="1398"/>
      <c r="N29" s="1398"/>
      <c r="O29" s="1398"/>
      <c r="S29" s="2098" t="s">
        <v>636</v>
      </c>
      <c r="T29" s="2098"/>
      <c r="U29" s="1402"/>
      <c r="V29" s="2100" t="str">
        <f>IF(TITLE_NUMBER_PR_CHANGE="",IF(TITLE_NUMBER_PR="","",TITLE_NUMBER_PR),TITLE_NUMBER_PR_CHANGE)</f>
        <v>36/2</v>
      </c>
      <c r="W29" s="2100"/>
      <c r="X29" s="2100"/>
      <c r="Y29" s="2100"/>
      <c r="Z29" s="2100"/>
      <c r="AA29" s="2100"/>
      <c r="AB29" s="322"/>
      <c r="AC29" s="2100" t="str">
        <f>IF(TITLE_NUMBER_PR_CHANGE="",IF(TITLE_NUMBER_PR="","",TITLE_NUMBER_PR),TITLE_NUMBER_PR_CHANGE)</f>
        <v>36/2</v>
      </c>
      <c r="AD29" s="2100"/>
      <c r="AE29" s="2100"/>
      <c r="AF29" s="2100"/>
      <c r="AG29" s="2100"/>
      <c r="AH29" s="2100"/>
      <c r="AI29" s="322"/>
      <c r="AJ29" s="322"/>
      <c r="AK29" s="268"/>
      <c r="AL29" s="368"/>
      <c r="AM29" s="368"/>
      <c r="AN29" s="368"/>
      <c r="AO29" s="368"/>
      <c r="AP29" s="368"/>
    </row>
    <row s="3345"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https://npa.gov-murman.ru/bitrix/components/b1team/govmurman.element.file/download.php?ID=495002&amp;FID=732763</v>
      </c>
      <c r="W30" s="2100"/>
      <c r="X30" s="2100"/>
      <c r="Y30" s="2100"/>
      <c r="Z30" s="2100"/>
      <c r="AA30" s="2100"/>
      <c r="AB30" s="322"/>
      <c r="AC30" s="2100" t="str">
        <f>IF(TITLE_IST_PUB_CHANGE="",IF(TITLE_IST_PUB="","",TITLE_IST_PUB),TITLE_IST_PUB_CHANGE)</f>
        <v>https://npa.gov-murman.ru/bitrix/components/b1team/govmurman.element.file/download.php?ID=495002&amp;FID=732763</v>
      </c>
      <c r="AD30" s="2100"/>
      <c r="AE30" s="2100"/>
      <c r="AF30" s="2100"/>
      <c r="AG30" s="2100"/>
      <c r="AH30" s="2100"/>
      <c r="AI30" s="322"/>
      <c r="AJ30" s="322"/>
      <c r="AK30" s="268"/>
      <c r="AL30" s="368"/>
      <c r="AM30" s="368"/>
      <c r="AN30" s="368"/>
      <c r="AO30" s="368"/>
      <c r="AP30" s="368"/>
    </row>
    <row customHeight="1" ht="14.25" hidden="1">
      <c r="Q31" s="377"/>
      <c r="R31" s="377"/>
      <c r="S31" s="1305"/>
      <c r="T31" s="361"/>
      <c r="U31" s="361"/>
      <c r="V31" s="316"/>
      <c r="W31" s="316"/>
      <c r="X31" s="316"/>
      <c r="Y31" s="316"/>
      <c r="Z31" s="316"/>
      <c r="AA31" s="316"/>
      <c r="AB31" s="316"/>
      <c r="AC31" s="316"/>
      <c r="AD31" s="316"/>
      <c r="AE31" s="316"/>
      <c r="AF31" s="316"/>
      <c r="AG31" s="316"/>
      <c r="AH31" s="316"/>
      <c r="AI31" s="316"/>
      <c r="AJ31" s="515"/>
    </row>
    <row s="3345" customFormat="1" customHeight="1" ht="18.75" hidden="1">
      <c r="A32" s="1398"/>
      <c r="B32" s="1398"/>
      <c r="C32" s="1398"/>
      <c r="D32" s="1398"/>
      <c r="E32" s="1398"/>
      <c r="F32" s="1398"/>
      <c r="G32" s="1398"/>
      <c r="H32" s="1398"/>
      <c r="I32" s="1398"/>
      <c r="J32" s="1398"/>
      <c r="K32" s="1398"/>
      <c r="L32" s="1399"/>
      <c r="M32" s="1398"/>
      <c r="N32" s="1398"/>
      <c r="O32" s="1398"/>
      <c r="S32" s="2098" t="s">
        <v>637</v>
      </c>
      <c r="T32" s="2098"/>
      <c r="U32" s="1402"/>
      <c r="V32" s="2099" t="str">
        <f>IF(TITLE_DATE_PR_CHANGE="",IF(TITLE_DATE_PR="","",TITLE_DATE_PR),TITLE_DATE_PR_CHANGE)</f>
        <v>45205</v>
      </c>
      <c r="W32" s="2099"/>
      <c r="X32" s="2099"/>
      <c r="Y32" s="2099"/>
      <c r="Z32" s="2099"/>
      <c r="AA32" s="2099"/>
      <c r="AB32" s="322"/>
      <c r="AC32" s="2099" t="str">
        <f>IF(TITLE_DATE_PR_CHANGE="",IF(TITLE_DATE_PR="","",TITLE_DATE_PR),TITLE_DATE_PR_CHANGE)</f>
        <v>45205</v>
      </c>
      <c r="AD32" s="2099"/>
      <c r="AE32" s="2099"/>
      <c r="AF32" s="2099"/>
      <c r="AG32" s="2099"/>
      <c r="AH32" s="2099"/>
      <c r="AI32" s="322"/>
      <c r="AJ32" s="322"/>
      <c r="AK32" s="268"/>
      <c r="AL32" s="368"/>
      <c r="AM32" s="368"/>
      <c r="AN32" s="368"/>
      <c r="AO32" s="368"/>
      <c r="AP32" s="368"/>
    </row>
    <row s="3345" customFormat="1" customHeight="1" ht="18.75" hidden="1">
      <c r="A33" s="1398"/>
      <c r="B33" s="1398"/>
      <c r="C33" s="1398"/>
      <c r="D33" s="1398"/>
      <c r="E33" s="1398"/>
      <c r="F33" s="1398"/>
      <c r="G33" s="1398"/>
      <c r="H33" s="1398"/>
      <c r="I33" s="1398"/>
      <c r="J33" s="1398"/>
      <c r="K33" s="1398"/>
      <c r="L33" s="1399"/>
      <c r="M33" s="1398"/>
      <c r="N33" s="1398"/>
      <c r="O33" s="1398"/>
      <c r="S33" s="2098" t="s">
        <v>638</v>
      </c>
      <c r="T33" s="2098"/>
      <c r="U33" s="1402"/>
      <c r="V33" s="2100" t="str">
        <f>IF(TITLE_NUMBER_PR_CHANGE="",IF(TITLE_NUMBER_PR="","",TITLE_NUMBER_PR),TITLE_NUMBER_PR_CHANGE)</f>
        <v>36/2</v>
      </c>
      <c r="W33" s="2100"/>
      <c r="X33" s="2100"/>
      <c r="Y33" s="2100"/>
      <c r="Z33" s="2100"/>
      <c r="AA33" s="2100"/>
      <c r="AB33" s="322"/>
      <c r="AC33" s="2100" t="str">
        <f>IF(TITLE_NUMBER_PR_CHANGE="",IF(TITLE_NUMBER_PR="","",TITLE_NUMBER_PR),TITLE_NUMBER_PR_CHANGE)</f>
        <v>36/2</v>
      </c>
      <c r="AD33" s="2100"/>
      <c r="AE33" s="2100"/>
      <c r="AF33" s="2100"/>
      <c r="AG33" s="2100"/>
      <c r="AH33" s="2100"/>
      <c r="AI33" s="322"/>
      <c r="AJ33" s="322"/>
      <c r="AK33" s="268"/>
      <c r="AL33" s="368"/>
      <c r="AM33" s="368"/>
      <c r="AN33" s="368"/>
      <c r="AO33" s="368"/>
      <c r="AP33" s="368"/>
    </row>
    <row s="3345" customFormat="1" customHeight="1" ht="0.75">
      <c r="A34" s="1398"/>
      <c r="B34" s="1398"/>
      <c r="C34" s="1398"/>
      <c r="D34" s="1398"/>
      <c r="E34" s="1398"/>
      <c r="F34" s="1398"/>
      <c r="G34" s="1398"/>
      <c r="H34" s="1398"/>
      <c r="I34" s="1398"/>
      <c r="J34" s="1398"/>
      <c r="K34" s="1398"/>
      <c r="L34" s="1399"/>
      <c r="M34" s="1398"/>
      <c r="N34" s="1398"/>
      <c r="O34" s="1398"/>
      <c r="S34" s="318"/>
      <c r="T34" s="318"/>
      <c r="U34" s="1484"/>
      <c r="V34" s="322"/>
      <c r="W34" s="322"/>
      <c r="X34" s="322"/>
      <c r="Y34" s="322"/>
      <c r="Z34" s="322"/>
      <c r="AA34" s="322"/>
      <c r="AB34" s="266" t="s">
        <v>639</v>
      </c>
      <c r="AC34" s="322"/>
      <c r="AD34" s="322"/>
      <c r="AE34" s="322"/>
      <c r="AF34" s="322"/>
      <c r="AG34" s="322"/>
      <c r="AH34" s="322"/>
      <c r="AI34" s="266" t="s">
        <v>639</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513</v>
      </c>
      <c r="T36" s="1971"/>
      <c r="U36" s="1971"/>
      <c r="V36" s="1971"/>
      <c r="W36" s="1971"/>
      <c r="X36" s="1971"/>
      <c r="Y36" s="1971"/>
      <c r="Z36" s="1971"/>
      <c r="AA36" s="1971"/>
      <c r="AB36" s="1971"/>
      <c r="AC36" s="1971"/>
      <c r="AD36" s="1971"/>
      <c r="AE36" s="1971"/>
      <c r="AF36" s="1971"/>
      <c r="AG36" s="1971"/>
      <c r="AH36" s="1971"/>
      <c r="AI36" s="1971"/>
      <c r="AJ36" s="1971"/>
      <c r="AK36" s="1971" t="s">
        <v>514</v>
      </c>
    </row>
    <row customHeight="1" ht="14.25">
      <c r="Q37" s="377"/>
      <c r="R37" s="377"/>
      <c r="S37" s="2125" t="s">
        <v>89</v>
      </c>
      <c r="T37" s="2062" t="s">
        <v>640</v>
      </c>
      <c r="U37" s="289"/>
      <c r="V37" s="2126" t="s">
        <v>641</v>
      </c>
      <c r="W37" s="2127"/>
      <c r="X37" s="2127"/>
      <c r="Y37" s="2127"/>
      <c r="Z37" s="2127"/>
      <c r="AA37" s="2128"/>
      <c r="AB37" s="2129" t="s">
        <v>642</v>
      </c>
      <c r="AC37" s="2126" t="s">
        <v>641</v>
      </c>
      <c r="AD37" s="2127"/>
      <c r="AE37" s="2127"/>
      <c r="AF37" s="2127"/>
      <c r="AG37" s="2127"/>
      <c r="AH37" s="2128"/>
      <c r="AI37" s="2129" t="s">
        <v>643</v>
      </c>
      <c r="AJ37" s="2132" t="s">
        <v>644</v>
      </c>
      <c r="AK37" s="1971"/>
    </row>
    <row customHeight="1" ht="33.75">
      <c r="Q38" s="377"/>
      <c r="R38" s="377"/>
      <c r="S38" s="2125"/>
      <c r="T38" s="2062"/>
      <c r="U38" s="1038"/>
      <c r="V38" s="1482" t="s">
        <v>704</v>
      </c>
      <c r="W38" s="2118" t="s">
        <v>647</v>
      </c>
      <c r="X38" s="2120"/>
      <c r="Y38" s="2118" t="s">
        <v>648</v>
      </c>
      <c r="Z38" s="2119"/>
      <c r="AA38" s="2120"/>
      <c r="AB38" s="2130"/>
      <c r="AC38" s="1482" t="s">
        <v>704</v>
      </c>
      <c r="AD38" s="2118" t="s">
        <v>647</v>
      </c>
      <c r="AE38" s="2120"/>
      <c r="AF38" s="2118" t="s">
        <v>648</v>
      </c>
      <c r="AG38" s="2119"/>
      <c r="AH38" s="2120"/>
      <c r="AI38" s="2130"/>
      <c r="AJ38" s="2133"/>
      <c r="AK38" s="1971"/>
    </row>
    <row customHeight="1" ht="33.75">
      <c r="A39" s="1400"/>
      <c r="B39" s="1400" t="s">
        <v>216</v>
      </c>
      <c r="C39" s="1400" t="s">
        <v>217</v>
      </c>
      <c r="D39" s="1400" t="s">
        <v>218</v>
      </c>
      <c r="E39" s="1394" t="s">
        <v>649</v>
      </c>
      <c r="F39" s="1394" t="s">
        <v>650</v>
      </c>
      <c r="G39" s="1394" t="s">
        <v>651</v>
      </c>
      <c r="H39" s="1394"/>
      <c r="I39" s="1394" t="s">
        <v>705</v>
      </c>
      <c r="J39" s="1394" t="s">
        <v>654</v>
      </c>
      <c r="K39" s="1394" t="s">
        <v>706</v>
      </c>
      <c r="L39" s="1394" t="s">
        <v>630</v>
      </c>
      <c r="Q39" s="377"/>
      <c r="R39" s="377"/>
      <c r="S39" s="2125"/>
      <c r="T39" s="2062"/>
      <c r="U39" s="290"/>
      <c r="V39" s="1482" t="s">
        <v>707</v>
      </c>
      <c r="W39" s="1237" t="s">
        <v>708</v>
      </c>
      <c r="X39" s="1237" t="s">
        <v>709</v>
      </c>
      <c r="Y39" s="1485" t="s">
        <v>658</v>
      </c>
      <c r="Z39" s="2121" t="s">
        <v>659</v>
      </c>
      <c r="AA39" s="2122"/>
      <c r="AB39" s="2131"/>
      <c r="AC39" s="1482" t="s">
        <v>707</v>
      </c>
      <c r="AD39" s="1237" t="s">
        <v>708</v>
      </c>
      <c r="AE39" s="1237" t="s">
        <v>709</v>
      </c>
      <c r="AF39" s="1485" t="s">
        <v>658</v>
      </c>
      <c r="AG39" s="2121" t="s">
        <v>659</v>
      </c>
      <c r="AH39" s="2122"/>
      <c r="AI39" s="2131"/>
      <c r="AJ39" s="2134"/>
      <c r="AK39" s="1971"/>
    </row>
    <row s="2611" customFormat="1" customHeight="1" ht="0">
      <c r="A40" s="1400"/>
      <c r="B40" s="1400"/>
      <c r="C40" s="1400"/>
      <c r="D40" s="1400"/>
      <c r="E40" s="1400"/>
      <c r="F40" s="1400"/>
      <c r="G40" s="1400"/>
      <c r="H40" s="1400"/>
      <c r="I40" s="1400"/>
      <c r="J40" s="1400"/>
      <c r="K40" s="1400"/>
      <c r="L40" s="1394"/>
      <c r="M40" s="1392"/>
      <c r="N40" s="1392"/>
      <c r="O40" s="1392"/>
      <c r="P40" s="1264"/>
      <c r="Q40" s="1265"/>
      <c r="R40" s="1280">
        <v>1</v>
      </c>
      <c r="S40" s="1307" t="s">
        <v>193</v>
      </c>
      <c r="T40" s="1281" t="s">
        <v>104</v>
      </c>
      <c r="U40" s="1263" t="str">
        <f>OFFSET(U40,0,-1)</f>
        <v>2</v>
      </c>
      <c r="V40" s="1481">
        <f>OFFSET(V40,0,-1)+1</f>
        <v>3</v>
      </c>
      <c r="W40" s="1481">
        <f>OFFSET(W40,0,-1)+1</f>
        <v>4</v>
      </c>
      <c r="X40" s="1481">
        <f>OFFSET(X40,0,-1)+1</f>
        <v>5</v>
      </c>
      <c r="Y40" s="1481">
        <f>OFFSET(Y40,0,-1)+1</f>
        <v>6</v>
      </c>
      <c r="Z40" s="2123">
        <f>OFFSET(Z40,0,-1)+1</f>
        <v>7</v>
      </c>
      <c r="AA40" s="2123"/>
      <c r="AB40" s="1481">
        <f>OFFSET(AB40,0,-2)+1</f>
        <v>8</v>
      </c>
      <c r="AC40" s="1481">
        <f>OFFSET(AC40,0,-1)+1</f>
        <v>9</v>
      </c>
      <c r="AD40" s="1481">
        <f>OFFSET(AD40,0,-1)+1</f>
        <v>10</v>
      </c>
      <c r="AE40" s="1481">
        <f>OFFSET(AE40,0,-1)+1</f>
        <v>11</v>
      </c>
      <c r="AF40" s="1481">
        <f>OFFSET(AF40,0,-1)+1</f>
        <v>12</v>
      </c>
      <c r="AG40" s="2123">
        <f>OFFSET(AG40,0,-1)+1</f>
        <v>13</v>
      </c>
      <c r="AH40" s="2123"/>
      <c r="AI40" s="1481">
        <f>OFFSET(AI40,0,-2)+1</f>
        <v>14</v>
      </c>
      <c r="AJ40" s="1263">
        <f>OFFSET(AJ40,0,-1)</f>
        <v>14</v>
      </c>
      <c r="AK40" s="1481">
        <f>OFFSET(AK40,0,-1)+1</f>
        <v>15</v>
      </c>
      <c r="AL40" s="517"/>
      <c r="AM40" s="517"/>
      <c r="AN40" s="517"/>
      <c r="AO40" s="517"/>
      <c r="AP40" s="517"/>
    </row>
    <row customHeight="1" ht="23.25">
      <c r="A41" s="1393" t="s">
        <v>454</v>
      </c>
      <c r="B41" s="1393"/>
      <c r="C41" s="1393"/>
      <c r="D41" s="1393"/>
      <c r="E41" s="2107">
        <v>1</v>
      </c>
      <c r="F41" s="1393"/>
      <c r="G41" s="1393"/>
      <c r="H41" s="1393"/>
      <c r="I41" s="1393"/>
      <c r="J41" s="1393"/>
      <c r="K41" s="1393"/>
      <c r="L41" s="1394"/>
      <c r="M41" s="1395"/>
      <c r="N41" s="1395"/>
      <c r="O41" s="1395"/>
      <c r="P41" s="357"/>
      <c r="Q41" s="356"/>
      <c r="R41" s="351"/>
      <c r="S41" s="1487">
        <f>INDEX(PT_DIFFERENTIATION_NUM_NTAR,MATCH(A41,PT_DIFFERENTIATION_NTAR_ID,0))</f>
        <v>0</v>
      </c>
      <c r="T41" s="286" t="s">
        <v>204</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454</v>
      </c>
      <c r="B42" s="1393" t="s">
        <v>455</v>
      </c>
      <c r="C42" s="1393"/>
      <c r="D42" s="1393"/>
      <c r="E42" s="2108"/>
      <c r="F42" s="2107">
        <v>1</v>
      </c>
      <c r="G42" s="1393"/>
      <c r="H42" s="1393"/>
      <c r="I42" s="1393"/>
      <c r="J42" s="1393"/>
      <c r="K42" s="1393"/>
      <c r="L42" s="1394"/>
      <c r="M42" s="1395"/>
      <c r="N42" s="1395"/>
      <c r="O42" s="1395"/>
      <c r="P42" s="1483"/>
      <c r="Q42" s="348"/>
      <c r="R42" s="349"/>
      <c r="S42" s="1487" t="str">
        <f>INDEX(PT_DIFFERENTIATION_NUM_TER,MATCH(B42,PT_DIFFERENTIATION_TER_ID,0))</f>
        <v>.</v>
      </c>
      <c r="T42" s="298" t="s">
        <v>612</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613</v>
      </c>
      <c r="AM42" s="506"/>
      <c r="AN42" s="506" t="str">
        <f>IF(T42="","",T42)</f>
        <v>Территория действия тарифа</v>
      </c>
      <c r="AO42" s="506"/>
      <c r="AP42" s="506"/>
    </row>
    <row customHeight="1" ht="23.25">
      <c r="A43" s="1393" t="s">
        <v>454</v>
      </c>
      <c r="B43" s="1393" t="s">
        <v>455</v>
      </c>
      <c r="C43" s="1393" t="s">
        <v>456</v>
      </c>
      <c r="D43" s="1393"/>
      <c r="E43" s="2108"/>
      <c r="F43" s="2108"/>
      <c r="G43" s="2107">
        <v>1</v>
      </c>
      <c r="H43" s="1393"/>
      <c r="I43" s="1393"/>
      <c r="J43" s="1393"/>
      <c r="K43" s="1393"/>
      <c r="L43" s="1394"/>
      <c r="M43" s="1395"/>
      <c r="N43" s="1395"/>
      <c r="O43" s="1395"/>
      <c r="P43" s="350"/>
      <c r="Q43" s="348"/>
      <c r="R43" s="349"/>
      <c r="S43" s="1487" t="str">
        <f>INDEX(PT_DIFFERENTIATION_NUM_CS,MATCH(C43,PT_DIFFERENTIATION_CS_ID,0))</f>
        <v>..</v>
      </c>
      <c r="T43" s="299" t="s">
        <v>696</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697</v>
      </c>
      <c r="AM43" s="506"/>
      <c r="AN43" s="506" t="str">
        <f>IF(T43="","",T43)</f>
        <v>Наименование централизованной системы холодного водоснабжения</v>
      </c>
      <c r="AO43" s="506"/>
      <c r="AP43" s="506"/>
    </row>
    <row customHeight="1" ht="23.25">
      <c r="A44" s="1393" t="s">
        <v>454</v>
      </c>
      <c r="B44" s="1393" t="s">
        <v>455</v>
      </c>
      <c r="C44" s="1393" t="s">
        <v>456</v>
      </c>
      <c r="D44" s="1393" t="s">
        <v>713</v>
      </c>
      <c r="E44" s="2108"/>
      <c r="F44" s="2108"/>
      <c r="G44" s="2108"/>
      <c r="H44" s="2108"/>
      <c r="I44" s="2109" t="str">
        <f>S43&amp;".1"</f>
        <v>...1</v>
      </c>
      <c r="J44" s="1393"/>
      <c r="K44" s="1393"/>
      <c r="L44" s="1394"/>
      <c r="P44" s="2111">
        <v>1</v>
      </c>
      <c r="Q44" s="1480"/>
      <c r="R44" s="352"/>
      <c r="S44" s="1487" t="str">
        <f>$I44</f>
        <v>...1</v>
      </c>
      <c r="T44" s="273" t="s">
        <v>698</v>
      </c>
      <c r="U44" s="288"/>
      <c r="V44" s="2194"/>
      <c r="W44" s="2195"/>
      <c r="X44" s="2195"/>
      <c r="Y44" s="2195"/>
      <c r="Z44" s="2195"/>
      <c r="AA44" s="2195"/>
      <c r="AB44" s="2196"/>
      <c r="AC44" s="2197"/>
      <c r="AD44" s="2198"/>
      <c r="AE44" s="2198"/>
      <c r="AF44" s="2198"/>
      <c r="AG44" s="2198"/>
      <c r="AH44" s="2198"/>
      <c r="AI44" s="2198"/>
      <c r="AJ44" s="2199"/>
      <c r="AK44" s="1286" t="s">
        <v>699</v>
      </c>
      <c r="AM44" s="506"/>
      <c r="AN44" s="506" t="str">
        <f>IF(T44="","",T44)</f>
        <v>Наименование признака дифференциации</v>
      </c>
      <c r="AO44" s="506"/>
      <c r="AP44" s="506"/>
    </row>
    <row customHeight="1" ht="23.25">
      <c r="A45" s="1393" t="s">
        <v>454</v>
      </c>
      <c r="B45" s="1393" t="s">
        <v>455</v>
      </c>
      <c r="C45" s="1393" t="s">
        <v>456</v>
      </c>
      <c r="D45" s="1393" t="s">
        <v>713</v>
      </c>
      <c r="E45" s="2108"/>
      <c r="F45" s="2108"/>
      <c r="G45" s="2108"/>
      <c r="H45" s="2108"/>
      <c r="I45" s="2110"/>
      <c r="J45" s="2109" t="str">
        <f>I44&amp;".1"</f>
        <v>...1.1</v>
      </c>
      <c r="K45" s="1393"/>
      <c r="L45" s="1394" t="s">
        <v>621</v>
      </c>
      <c r="P45" s="2111"/>
      <c r="Q45" s="2111">
        <v>1</v>
      </c>
      <c r="R45" s="353"/>
      <c r="S45" s="1487" t="str">
        <f>$J45</f>
        <v>...1.1</v>
      </c>
      <c r="T45" s="274" t="s">
        <v>622</v>
      </c>
      <c r="U45" s="288"/>
      <c r="V45" s="2095"/>
      <c r="W45" s="2096"/>
      <c r="X45" s="2096"/>
      <c r="Y45" s="2096"/>
      <c r="Z45" s="2096"/>
      <c r="AA45" s="2096"/>
      <c r="AB45" s="2097"/>
      <c r="AC45" s="2095"/>
      <c r="AD45" s="2096"/>
      <c r="AE45" s="2096"/>
      <c r="AF45" s="2096"/>
      <c r="AG45" s="2096"/>
      <c r="AH45" s="2096"/>
      <c r="AI45" s="2096"/>
      <c r="AJ45" s="2097"/>
      <c r="AK45" s="1337" t="s">
        <v>700</v>
      </c>
      <c r="AM45" s="506"/>
      <c r="AN45" s="506" t="str">
        <f>IF(T45="","",T45)</f>
        <v>Группа потребителей</v>
      </c>
      <c r="AO45" s="506"/>
      <c r="AP45" s="506"/>
    </row>
    <row customHeight="1" ht="23.25">
      <c r="A46" s="1393" t="s">
        <v>454</v>
      </c>
      <c r="B46" s="1393" t="s">
        <v>455</v>
      </c>
      <c r="C46" s="1393" t="s">
        <v>456</v>
      </c>
      <c r="D46" s="1393" t="s">
        <v>713</v>
      </c>
      <c r="E46" s="2108"/>
      <c r="F46" s="2108"/>
      <c r="G46" s="2108"/>
      <c r="H46" s="2108"/>
      <c r="I46" s="2110"/>
      <c r="J46" s="2110"/>
      <c r="K46" s="2109" t="str">
        <f>J45&amp;".1"</f>
        <v>...1.1.1</v>
      </c>
      <c r="L46" s="1394"/>
      <c r="P46" s="2111"/>
      <c r="Q46" s="2111"/>
      <c r="R46" s="353">
        <v>1</v>
      </c>
      <c r="S46" s="1487" t="str">
        <f>$K46</f>
        <v>...1.1.1</v>
      </c>
      <c r="T46" s="1467"/>
      <c r="U46" s="288"/>
      <c r="V46" s="757"/>
      <c r="W46" s="757"/>
      <c r="X46" s="1285"/>
      <c r="Y46" s="2112"/>
      <c r="Z46" s="1981" t="s">
        <v>63</v>
      </c>
      <c r="AA46" s="2112"/>
      <c r="AB46" s="1981" t="s">
        <v>63</v>
      </c>
      <c r="AC46" s="757"/>
      <c r="AD46" s="757"/>
      <c r="AE46" s="1285"/>
      <c r="AF46" s="2112"/>
      <c r="AG46" s="1981" t="s">
        <v>63</v>
      </c>
      <c r="AH46" s="2114"/>
      <c r="AI46" s="1981" t="s">
        <v>63</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454</v>
      </c>
      <c r="B47" s="1393" t="s">
        <v>455</v>
      </c>
      <c r="C47" s="1393" t="s">
        <v>456</v>
      </c>
      <c r="D47" s="1393" t="s">
        <v>713</v>
      </c>
      <c r="E47" s="2108"/>
      <c r="F47" s="2108"/>
      <c r="G47" s="2108"/>
      <c r="H47" s="2108"/>
      <c r="I47" s="2110"/>
      <c r="J47" s="2110"/>
      <c r="K47" s="2109"/>
      <c r="L47" s="1394"/>
      <c r="P47" s="2111"/>
      <c r="Q47" s="2111"/>
      <c r="R47" s="353"/>
      <c r="S47" s="1486"/>
      <c r="T47" s="288"/>
      <c r="U47" s="288"/>
      <c r="V47" s="320"/>
      <c r="W47" s="320"/>
      <c r="X47" s="324" t="str">
        <f>Y46&amp;"-"&amp;AA46</f>
        <v>-</v>
      </c>
      <c r="Y47" s="2113"/>
      <c r="Z47" s="1981"/>
      <c r="AA47" s="2113"/>
      <c r="AB47" s="1981"/>
      <c r="AC47" s="320"/>
      <c r="AD47" s="320"/>
      <c r="AE47" s="324" t="str">
        <f>AF46&amp;"-"&amp;AH46</f>
        <v>-</v>
      </c>
      <c r="AF47" s="2113"/>
      <c r="AG47" s="1981"/>
      <c r="AH47" s="2115"/>
      <c r="AI47" s="1981"/>
      <c r="AJ47" s="1469"/>
      <c r="AK47" s="2200"/>
      <c r="AM47" s="506"/>
      <c r="AN47" s="506" t="str">
        <f>IF(T47="","",T47)</f>
        <v/>
      </c>
      <c r="AO47" s="506"/>
      <c r="AP47" s="506"/>
    </row>
    <row customHeight="1" ht="21">
      <c r="A48" s="1393" t="s">
        <v>454</v>
      </c>
      <c r="B48" s="1393" t="s">
        <v>455</v>
      </c>
      <c r="C48" s="1393" t="s">
        <v>456</v>
      </c>
      <c r="D48" s="1393" t="s">
        <v>713</v>
      </c>
      <c r="E48" s="2108"/>
      <c r="F48" s="2108"/>
      <c r="G48" s="2108"/>
      <c r="H48" s="2108"/>
      <c r="I48" s="2110"/>
      <c r="J48" s="2109"/>
      <c r="K48" s="1393"/>
      <c r="L48" s="1394"/>
      <c r="P48" s="2111"/>
      <c r="Q48" s="2111"/>
      <c r="R48" s="352"/>
      <c r="S48" s="1308"/>
      <c r="T48" s="275" t="s">
        <v>701</v>
      </c>
      <c r="U48" s="367"/>
      <c r="V48" s="367"/>
      <c r="W48" s="367"/>
      <c r="X48" s="367"/>
      <c r="Y48" s="367"/>
      <c r="Z48" s="367"/>
      <c r="AA48" s="367"/>
      <c r="AB48" s="367"/>
      <c r="AC48" s="367"/>
      <c r="AD48" s="367"/>
      <c r="AE48" s="367"/>
      <c r="AF48" s="367"/>
      <c r="AG48" s="367"/>
      <c r="AH48" s="367"/>
      <c r="AI48" s="367"/>
      <c r="AJ48" s="367"/>
      <c r="AK48" s="1286" t="s">
        <v>702</v>
      </c>
      <c r="AM48" s="506"/>
      <c r="AN48" s="506" t="str">
        <f>IF(T48="","",T48)</f>
        <v>Добавить значение признака дифференциации</v>
      </c>
      <c r="AO48" s="506"/>
      <c r="AP48" s="506"/>
    </row>
    <row customHeight="1" ht="21">
      <c r="A49" s="1393" t="s">
        <v>454</v>
      </c>
      <c r="B49" s="1393" t="s">
        <v>455</v>
      </c>
      <c r="C49" s="1393" t="s">
        <v>456</v>
      </c>
      <c r="D49" s="1393" t="s">
        <v>713</v>
      </c>
      <c r="E49" s="2108"/>
      <c r="F49" s="2108"/>
      <c r="G49" s="2108"/>
      <c r="H49" s="2108"/>
      <c r="I49" s="2109"/>
      <c r="J49" s="1393"/>
      <c r="K49" s="1393"/>
      <c r="L49" s="1394"/>
      <c r="P49" s="2111"/>
      <c r="Q49" s="1480"/>
      <c r="R49" s="352"/>
      <c r="S49" s="1308"/>
      <c r="T49" s="364" t="s">
        <v>627</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454</v>
      </c>
      <c r="B50" s="1393" t="s">
        <v>455</v>
      </c>
      <c r="C50" s="1393" t="s">
        <v>456</v>
      </c>
      <c r="D50" s="1393" t="s">
        <v>713</v>
      </c>
      <c r="E50" s="2108"/>
      <c r="F50" s="2108"/>
      <c r="G50" s="2108"/>
      <c r="H50" s="2107"/>
      <c r="I50" s="1393"/>
      <c r="J50" s="1393"/>
      <c r="K50" s="1393"/>
      <c r="L50" s="1394"/>
      <c r="M50" s="1395"/>
      <c r="N50" s="1395"/>
      <c r="O50" s="543"/>
      <c r="P50" s="356"/>
      <c r="Q50" s="376"/>
      <c r="R50" s="351"/>
      <c r="S50" s="1308"/>
      <c r="T50" s="372" t="s">
        <v>703</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4" customFormat="1" customHeight="1" ht="0">
      <c r="A51" s="1373" t="s">
        <v>454</v>
      </c>
      <c r="B51" s="1373" t="s">
        <v>455</v>
      </c>
      <c r="C51" s="1344"/>
      <c r="D51" s="1344"/>
      <c r="E51" s="2108"/>
      <c r="F51" s="2107"/>
      <c r="G51" s="1344"/>
      <c r="H51" s="1344"/>
      <c r="I51" s="1344"/>
      <c r="J51" s="1344"/>
      <c r="K51" s="1344"/>
      <c r="L51" s="1488"/>
      <c r="M51" s="1351"/>
      <c r="N51" s="1351"/>
      <c r="P51" s="1346"/>
      <c r="Q51" s="1347"/>
      <c r="R51" s="1346"/>
      <c r="S51" s="1352"/>
      <c r="T51" s="1355" t="s">
        <v>255</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2" customFormat="1" customHeight="1" ht="0">
      <c r="A52" s="1373" t="s">
        <v>454</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4" customFormat="1" customHeight="1" ht="0">
      <c r="A53" s="1344"/>
      <c r="B53" s="1344"/>
      <c r="C53" s="1344"/>
      <c r="D53" s="1344"/>
      <c r="E53" s="1373"/>
      <c r="F53" s="1344"/>
      <c r="G53" s="1344"/>
      <c r="H53" s="1344"/>
      <c r="I53" s="1344"/>
      <c r="J53" s="1344"/>
      <c r="K53" s="1344"/>
      <c r="L53" s="1488"/>
      <c r="M53" s="1351"/>
      <c r="N53" s="1351"/>
      <c r="P53" s="1346"/>
      <c r="Q53" s="1347"/>
      <c r="R53" s="1346"/>
      <c r="S53" s="1352"/>
      <c r="T53" s="1355" t="s">
        <v>398</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A16F6D-EC6F-F9DF-E909-15AB652C9E78}"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2683" width="11.57421875" hidden="1" customWidth="1"/>
    <col min="2" max="2" style="2683" width="11.00390625" hidden="1" customWidth="1"/>
    <col min="3" max="3" style="2683" width="10.57421875" hidden="1"/>
    <col min="4" max="4" style="2683" width="12.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2.00390625" hidden="1" customWidth="1"/>
    <col min="10" max="10" style="2683" width="9.8515625" hidden="1" customWidth="1"/>
    <col min="11" max="11" style="2683" width="11.421875" hidden="1" customWidth="1"/>
    <col min="12" max="12" style="12306" width="19.140625" hidden="1" customWidth="1"/>
    <col min="13" max="14" style="3334" width="12.28125" hidden="1" customWidth="1"/>
    <col min="15" max="15" style="3334" width="23.421875" hidden="1" customWidth="1"/>
    <col min="16" max="16" style="3334" width="3.7109375" hidden="1" customWidth="1"/>
    <col min="17" max="17" style="3336" width="3.7109375" hidden="1" customWidth="1"/>
    <col min="18" max="18" style="3411" width="3.7109375" customWidth="1"/>
    <col min="19" max="19" style="3412" width="12.7109375" customWidth="1"/>
    <col min="20" max="20" style="2984" width="32.00390625" customWidth="1"/>
    <col min="21" max="21" style="2984" width="0.140625" customWidth="1"/>
    <col min="22" max="25" style="2984" width="21.7109375" hidden="1" customWidth="1"/>
    <col min="26" max="26" style="2984" width="11.7109375" hidden="1" customWidth="1"/>
    <col min="27" max="27" style="2984" width="3.7109375" hidden="1" customWidth="1"/>
    <col min="28" max="28" style="2984" width="11.7109375" hidden="1" customWidth="1"/>
    <col min="29" max="29" style="2984" width="8.57421875" hidden="1" customWidth="1"/>
    <col min="30" max="32" style="2984" width="3.7109375" customWidth="1"/>
    <col min="33" max="33" style="2984" width="24.7109375" customWidth="1"/>
    <col min="34" max="36" style="2984" width="3.7109375" customWidth="1"/>
    <col min="37" max="37" style="2984" width="24.7109375" customWidth="1"/>
    <col min="38" max="40" style="2984" width="3.7109375" customWidth="1"/>
    <col min="41" max="41" style="2984" width="18.8515625" customWidth="1"/>
    <col min="42" max="44" style="2984" width="3.7109375" customWidth="1"/>
    <col min="45" max="45" style="2984" width="18.8515625" customWidth="1"/>
    <col min="46" max="49" style="2984" width="21.7109375" customWidth="1"/>
    <col min="50" max="50" style="2984" width="11.7109375" customWidth="1"/>
    <col min="51" max="51" style="2984" width="3.7109375" customWidth="1"/>
    <col min="52" max="52" style="2984" width="11.7109375" customWidth="1"/>
    <col min="53" max="53" style="2984" width="8.57421875" hidden="1" customWidth="1"/>
    <col min="54" max="54" style="2984" width="4.7109375" customWidth="1"/>
    <col min="55" max="55" style="2984" width="115.7109375" customWidth="1"/>
    <col min="56" max="57" style="2612" width="10.57421875"/>
    <col min="58" max="58" style="2612" width="11.140625" customWidth="1"/>
    <col min="59" max="60" style="2612" width="10.57421875"/>
  </cols>
  <sheetData>
    <row customHeight="1" ht="14.25" hidden="1">
      <c r="W1" s="323"/>
      <c r="Y1" s="323"/>
      <c r="Z1" s="323"/>
      <c r="AW1" s="323"/>
      <c r="AX1" s="323"/>
    </row>
    <row customHeight="1" ht="21" hidden="1">
      <c r="A2" s="1393"/>
      <c r="B2" s="1393"/>
      <c r="C2" s="1393"/>
      <c r="D2" s="1393"/>
      <c r="E2" s="2107">
        <v>1</v>
      </c>
      <c r="F2" s="1393"/>
      <c r="G2" s="1393"/>
      <c r="H2" s="1393"/>
      <c r="I2" s="1393"/>
      <c r="J2" s="1393"/>
      <c r="K2" s="1393"/>
      <c r="L2" s="1394"/>
      <c r="M2" s="1395"/>
      <c r="N2" s="1395"/>
      <c r="O2" s="1395"/>
      <c r="P2" s="1439"/>
      <c r="Q2" s="879"/>
      <c r="R2" s="351"/>
      <c r="S2" s="1495">
        <f>INDEX(PT_DIFFERENTIATION_NUM_NTAR,MATCH(A2,PT_DIFFERENTIATION_NTAR_ID,0))</f>
      </c>
      <c r="T2" s="286" t="s">
        <v>204</v>
      </c>
      <c r="U2" s="288"/>
      <c r="V2" s="2102"/>
      <c r="W2" s="2102"/>
      <c r="X2" s="2102"/>
      <c r="Y2" s="2102"/>
      <c r="Z2" s="2102"/>
      <c r="AA2" s="2102"/>
      <c r="AB2" s="2102"/>
      <c r="AC2" s="2103"/>
      <c r="AD2" s="2101">
        <f>INDEX(PT_DIFFERENTIATION_NTAR,MATCH(A2,PT_DIFFERENTIATION_NTAR_ID,0))</f>
      </c>
      <c r="AE2" s="2102"/>
      <c r="AF2" s="2102"/>
      <c r="AG2" s="2102"/>
      <c r="AH2" s="2102"/>
      <c r="AI2" s="2102"/>
      <c r="AJ2" s="2102"/>
      <c r="AK2" s="2102"/>
      <c r="AL2" s="2102"/>
      <c r="AM2" s="2102"/>
      <c r="AN2" s="2102"/>
      <c r="AO2" s="2102"/>
      <c r="AP2" s="2102"/>
      <c r="AQ2" s="2102"/>
      <c r="AR2" s="2102"/>
      <c r="AS2" s="2102"/>
      <c r="AT2" s="2102"/>
      <c r="AU2" s="2102"/>
      <c r="AV2" s="2102"/>
      <c r="AW2" s="2102"/>
      <c r="AX2" s="2102"/>
      <c r="AY2" s="2102"/>
      <c r="AZ2" s="2102"/>
      <c r="BA2" s="2102"/>
      <c r="BB2" s="2103"/>
      <c r="BC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506"/>
      <c r="BF2" s="506" t="str">
        <f>IF(T2="","",T2)</f>
        <v>Наименование тарифа</v>
      </c>
      <c r="BG2" s="506"/>
      <c r="BH2" s="506"/>
    </row>
    <row customHeight="1" ht="21" hidden="1">
      <c r="A3" s="1393"/>
      <c r="B3" s="1393"/>
      <c r="C3" s="1393"/>
      <c r="D3" s="1393"/>
      <c r="E3" s="2108"/>
      <c r="F3" s="2107">
        <v>1</v>
      </c>
      <c r="G3" s="1393"/>
      <c r="H3" s="1393"/>
      <c r="I3" s="1393"/>
      <c r="J3" s="1393"/>
      <c r="K3" s="1393"/>
      <c r="L3" s="1394"/>
      <c r="M3" s="1395"/>
      <c r="N3" s="1395"/>
      <c r="O3" s="1395"/>
      <c r="P3" s="1440"/>
      <c r="Q3" s="1441"/>
      <c r="R3" s="349"/>
      <c r="S3" s="1495">
        <f>INDEX(PT_DIFFERENTIATION_NUM_TER,MATCH(B3,PT_DIFFERENTIATION_TER_ID,0))</f>
      </c>
      <c r="T3" s="298" t="s">
        <v>612</v>
      </c>
      <c r="U3" s="288"/>
      <c r="V3" s="2102"/>
      <c r="W3" s="2102"/>
      <c r="X3" s="2102"/>
      <c r="Y3" s="2102"/>
      <c r="Z3" s="2102"/>
      <c r="AA3" s="2102"/>
      <c r="AB3" s="2102"/>
      <c r="AC3" s="2103"/>
      <c r="AD3" s="2101">
        <f>INDEX(PT_DIFFERENTIATION_TER,MATCH(B3,PT_DIFFERENTIATION_TER_ID,0))</f>
      </c>
      <c r="AE3" s="2102"/>
      <c r="AF3" s="2102"/>
      <c r="AG3" s="2102"/>
      <c r="AH3" s="2102"/>
      <c r="AI3" s="2102"/>
      <c r="AJ3" s="2102"/>
      <c r="AK3" s="2102"/>
      <c r="AL3" s="2102"/>
      <c r="AM3" s="2102"/>
      <c r="AN3" s="2102"/>
      <c r="AO3" s="2102"/>
      <c r="AP3" s="2102"/>
      <c r="AQ3" s="2102"/>
      <c r="AR3" s="2102"/>
      <c r="AS3" s="2102"/>
      <c r="AT3" s="2102"/>
      <c r="AU3" s="2102"/>
      <c r="AV3" s="2102"/>
      <c r="AW3" s="2102"/>
      <c r="AX3" s="2102"/>
      <c r="AY3" s="2102"/>
      <c r="AZ3" s="2102"/>
      <c r="BA3" s="2102"/>
      <c r="BB3" s="2103"/>
      <c r="BC3" s="1286" t="s">
        <v>613</v>
      </c>
      <c r="BE3" s="506"/>
      <c r="BF3" s="506" t="str">
        <f>IF(T3="","",T3)</f>
        <v>Территория действия тарифа</v>
      </c>
      <c r="BG3" s="506"/>
      <c r="BH3" s="506"/>
    </row>
    <row customHeight="1" ht="42" hidden="1">
      <c r="A4" s="1393"/>
      <c r="B4" s="1393"/>
      <c r="C4" s="1393"/>
      <c r="D4" s="1393"/>
      <c r="E4" s="2108"/>
      <c r="F4" s="2108"/>
      <c r="G4" s="2107">
        <v>1</v>
      </c>
      <c r="H4" s="1393"/>
      <c r="I4" s="1393"/>
      <c r="J4" s="1393"/>
      <c r="K4" s="1393"/>
      <c r="L4" s="1394"/>
      <c r="M4" s="1395"/>
      <c r="N4" s="1395"/>
      <c r="O4" s="1395"/>
      <c r="P4" s="1442"/>
      <c r="Q4" s="1441"/>
      <c r="R4" s="349"/>
      <c r="S4" s="1495">
        <f>INDEX(PT_DIFFERENTIATION_NUM_CS,MATCH(C4,PT_DIFFERENTIATION_CS_ID,0))</f>
      </c>
      <c r="T4" s="299" t="s">
        <v>696</v>
      </c>
      <c r="U4" s="288"/>
      <c r="V4" s="2102"/>
      <c r="W4" s="2102"/>
      <c r="X4" s="2102"/>
      <c r="Y4" s="2102"/>
      <c r="Z4" s="2102"/>
      <c r="AA4" s="2102"/>
      <c r="AB4" s="2102"/>
      <c r="AC4" s="2103"/>
      <c r="AD4" s="2101">
        <f>INDEX(PT_DIFFERENTIATION_CS,MATCH(C4,PT_DIFFERENTIATION_CS_ID,0))</f>
      </c>
      <c r="AE4" s="2102"/>
      <c r="AF4" s="2102"/>
      <c r="AG4" s="2102"/>
      <c r="AH4" s="2102"/>
      <c r="AI4" s="2102"/>
      <c r="AJ4" s="2102"/>
      <c r="AK4" s="2102"/>
      <c r="AL4" s="2102"/>
      <c r="AM4" s="2102"/>
      <c r="AN4" s="2102"/>
      <c r="AO4" s="2102"/>
      <c r="AP4" s="2102"/>
      <c r="AQ4" s="2102"/>
      <c r="AR4" s="2102"/>
      <c r="AS4" s="2102"/>
      <c r="AT4" s="2102"/>
      <c r="AU4" s="2102"/>
      <c r="AV4" s="2102"/>
      <c r="AW4" s="2102"/>
      <c r="AX4" s="2102"/>
      <c r="AY4" s="2102"/>
      <c r="AZ4" s="2102"/>
      <c r="BA4" s="2102"/>
      <c r="BB4" s="2103"/>
      <c r="BC4" s="1286" t="s">
        <v>697</v>
      </c>
      <c r="BE4" s="506"/>
      <c r="BF4" s="506" t="str">
        <f>IF(T4="","",T4)</f>
        <v>Наименование централизованной системы холодного водоснабжения</v>
      </c>
      <c r="BG4" s="506"/>
      <c r="BH4" s="506"/>
    </row>
    <row s="2612" customFormat="1" customHeight="1" ht="14.25" hidden="1">
      <c r="A5" s="1373"/>
      <c r="B5" s="1373"/>
      <c r="C5" s="1373"/>
      <c r="D5" s="1373"/>
      <c r="E5" s="2108"/>
      <c r="F5" s="2108"/>
      <c r="G5" s="2108"/>
      <c r="H5" s="2107">
        <v>1</v>
      </c>
      <c r="I5" s="1373"/>
      <c r="J5" s="1373"/>
      <c r="K5" s="1373"/>
      <c r="L5" s="1376"/>
      <c r="M5" s="1345"/>
      <c r="N5" s="1345"/>
      <c r="O5" s="1345"/>
      <c r="P5" s="1527"/>
      <c r="Q5" s="1528"/>
      <c r="R5" s="353"/>
      <c r="S5" s="1049"/>
      <c r="T5" s="1529"/>
      <c r="U5" s="1414"/>
      <c r="V5" s="2148"/>
      <c r="W5" s="2148"/>
      <c r="X5" s="2148"/>
      <c r="Y5" s="2148"/>
      <c r="Z5" s="2148"/>
      <c r="AA5" s="2148"/>
      <c r="AB5" s="2148"/>
      <c r="AC5" s="2149"/>
      <c r="AD5" s="2147"/>
      <c r="AE5" s="2148"/>
      <c r="AF5" s="2148"/>
      <c r="AG5" s="2148"/>
      <c r="AH5" s="2148"/>
      <c r="AI5" s="2148"/>
      <c r="AJ5" s="2148"/>
      <c r="AK5" s="2148"/>
      <c r="AL5" s="2148"/>
      <c r="AM5" s="2148"/>
      <c r="AN5" s="2148"/>
      <c r="AO5" s="2148"/>
      <c r="AP5" s="2148"/>
      <c r="AQ5" s="2148"/>
      <c r="AR5" s="2148"/>
      <c r="AS5" s="2148"/>
      <c r="AT5" s="2148"/>
      <c r="AU5" s="2148"/>
      <c r="AV5" s="2148"/>
      <c r="AW5" s="2148"/>
      <c r="AX5" s="2148"/>
      <c r="AY5" s="2148"/>
      <c r="AZ5" s="2148"/>
      <c r="BA5" s="2148"/>
      <c r="BB5" s="2149"/>
      <c r="BC5" s="1415" t="s">
        <v>617</v>
      </c>
      <c r="BE5" s="506"/>
      <c r="BF5" s="506" t="str">
        <f>IF(T5="","",T5)</f>
        <v/>
      </c>
      <c r="BG5" s="506"/>
      <c r="BH5" s="506"/>
    </row>
    <row s="2612" customFormat="1" customHeight="1" ht="14.25" hidden="1">
      <c r="A6" s="1373"/>
      <c r="B6" s="1373"/>
      <c r="C6" s="1373"/>
      <c r="D6" s="1373"/>
      <c r="E6" s="2108"/>
      <c r="F6" s="2108"/>
      <c r="G6" s="2108"/>
      <c r="H6" s="2108"/>
      <c r="I6" s="2109" t="str">
        <f>S5&amp;".1"</f>
        <v>.1</v>
      </c>
      <c r="J6" s="1373"/>
      <c r="K6" s="1373"/>
      <c r="L6" s="1376" t="s">
        <v>618</v>
      </c>
      <c r="M6" s="516"/>
      <c r="N6" s="516"/>
      <c r="O6" s="516"/>
      <c r="P6" s="2111">
        <v>1</v>
      </c>
      <c r="Q6" s="1492"/>
      <c r="R6" s="352"/>
      <c r="S6" s="1049"/>
      <c r="T6" s="1413"/>
      <c r="U6" s="1414"/>
      <c r="V6" s="2148"/>
      <c r="W6" s="2148"/>
      <c r="X6" s="2148"/>
      <c r="Y6" s="2148"/>
      <c r="Z6" s="2148"/>
      <c r="AA6" s="2148"/>
      <c r="AB6" s="2148"/>
      <c r="AC6" s="2149"/>
      <c r="AD6" s="2147"/>
      <c r="AE6" s="2148"/>
      <c r="AF6" s="2148"/>
      <c r="AG6" s="2148"/>
      <c r="AH6" s="2148"/>
      <c r="AI6" s="2148"/>
      <c r="AJ6" s="2148"/>
      <c r="AK6" s="2148"/>
      <c r="AL6" s="2148"/>
      <c r="AM6" s="2148"/>
      <c r="AN6" s="2148"/>
      <c r="AO6" s="2148"/>
      <c r="AP6" s="2148"/>
      <c r="AQ6" s="2148"/>
      <c r="AR6" s="2148"/>
      <c r="AS6" s="2148"/>
      <c r="AT6" s="2148"/>
      <c r="AU6" s="2148"/>
      <c r="AV6" s="2148"/>
      <c r="AW6" s="2148"/>
      <c r="AX6" s="2148"/>
      <c r="AY6" s="2148"/>
      <c r="AZ6" s="2148"/>
      <c r="BA6" s="2148"/>
      <c r="BB6" s="2149"/>
      <c r="BC6" s="1415"/>
      <c r="BE6" s="506"/>
      <c r="BF6" s="506" t="str">
        <f>IF(T6="","",T6)</f>
        <v/>
      </c>
      <c r="BG6" s="506"/>
      <c r="BH6" s="506"/>
    </row>
    <row s="2612" customFormat="1" customHeight="1" ht="14.25" hidden="1">
      <c r="A7" s="1373"/>
      <c r="B7" s="1373"/>
      <c r="C7" s="1373"/>
      <c r="D7" s="1373"/>
      <c r="E7" s="2108"/>
      <c r="F7" s="2108"/>
      <c r="G7" s="2108"/>
      <c r="H7" s="2108"/>
      <c r="I7" s="2110"/>
      <c r="J7" s="2109" t="str">
        <f>S5&amp;".1"</f>
        <v>.1</v>
      </c>
      <c r="K7" s="1373"/>
      <c r="L7" s="1376"/>
      <c r="M7" s="516"/>
      <c r="N7" s="516"/>
      <c r="O7" s="516"/>
      <c r="P7" s="2111"/>
      <c r="Q7" s="2111">
        <v>1</v>
      </c>
      <c r="R7" s="353"/>
      <c r="S7" s="1049"/>
      <c r="T7" s="1429"/>
      <c r="U7" s="1414"/>
      <c r="V7" s="2148"/>
      <c r="W7" s="2148"/>
      <c r="X7" s="2148"/>
      <c r="Y7" s="2148"/>
      <c r="Z7" s="2148"/>
      <c r="AA7" s="2148"/>
      <c r="AB7" s="2148"/>
      <c r="AC7" s="2149"/>
      <c r="AD7" s="2147"/>
      <c r="AE7" s="2148"/>
      <c r="AF7" s="2148"/>
      <c r="AG7" s="2148"/>
      <c r="AH7" s="2148"/>
      <c r="AI7" s="2148"/>
      <c r="AJ7" s="2148"/>
      <c r="AK7" s="2148"/>
      <c r="AL7" s="2148"/>
      <c r="AM7" s="2148"/>
      <c r="AN7" s="2148"/>
      <c r="AO7" s="2148"/>
      <c r="AP7" s="2148"/>
      <c r="AQ7" s="2148"/>
      <c r="AR7" s="2148"/>
      <c r="AS7" s="2148"/>
      <c r="AT7" s="2148"/>
      <c r="AU7" s="2148"/>
      <c r="AV7" s="2148"/>
      <c r="AW7" s="2148"/>
      <c r="AX7" s="2148"/>
      <c r="AY7" s="2148"/>
      <c r="AZ7" s="2148"/>
      <c r="BA7" s="2148"/>
      <c r="BB7" s="2149"/>
      <c r="BC7" s="1415"/>
      <c r="BE7" s="506"/>
      <c r="BF7" s="506" t="str">
        <f>IF(T7="","",T7)</f>
        <v/>
      </c>
      <c r="BG7" s="506"/>
      <c r="BH7" s="506"/>
    </row>
    <row customHeight="1" ht="11.25" hidden="1">
      <c r="A8" s="1393"/>
      <c r="B8" s="1393"/>
      <c r="C8" s="1393"/>
      <c r="D8" s="1393"/>
      <c r="E8" s="2108"/>
      <c r="F8" s="2108"/>
      <c r="G8" s="2108"/>
      <c r="H8" s="2108"/>
      <c r="I8" s="2110"/>
      <c r="J8" s="2110"/>
      <c r="K8" s="2109">
        <f>S4&amp;".1"</f>
      </c>
      <c r="L8" s="1394"/>
      <c r="P8" s="2111"/>
      <c r="Q8" s="2111"/>
      <c r="R8" s="2187">
        <v>1</v>
      </c>
      <c r="S8" s="2184">
        <f>$K8</f>
      </c>
      <c r="T8" s="2203"/>
      <c r="U8" s="288"/>
      <c r="V8" s="757"/>
      <c r="W8" s="1285"/>
      <c r="X8" s="757"/>
      <c r="Y8" s="1285"/>
      <c r="Z8" s="1774"/>
      <c r="AA8" s="1489" t="s">
        <v>63</v>
      </c>
      <c r="AB8" s="1774"/>
      <c r="AC8" s="1489" t="s">
        <v>63</v>
      </c>
      <c r="AD8" s="2044" t="s">
        <v>63</v>
      </c>
      <c r="AE8" s="2180"/>
      <c r="AF8" s="2057">
        <v>1</v>
      </c>
      <c r="AG8" s="2202"/>
      <c r="AH8" s="1981" t="s">
        <v>63</v>
      </c>
      <c r="AI8" s="2180"/>
      <c r="AJ8" s="2057">
        <v>1</v>
      </c>
      <c r="AK8" s="2201" t="s">
        <v>24</v>
      </c>
      <c r="AL8" s="1981" t="s">
        <v>63</v>
      </c>
      <c r="AM8" s="2029"/>
      <c r="AN8" s="2057">
        <v>1</v>
      </c>
      <c r="AO8" s="2206"/>
      <c r="AP8" s="2207" t="s">
        <v>63</v>
      </c>
      <c r="AQ8" s="301"/>
      <c r="AR8" s="1493">
        <v>1</v>
      </c>
      <c r="AS8" s="1496" t="s">
        <v>24</v>
      </c>
      <c r="AT8" s="757"/>
      <c r="AU8" s="1285"/>
      <c r="AV8" s="757"/>
      <c r="AW8" s="1285"/>
      <c r="AX8" s="1774"/>
      <c r="AY8" s="1489" t="s">
        <v>63</v>
      </c>
      <c r="AZ8" s="1774"/>
      <c r="BA8" s="1489" t="s">
        <v>63</v>
      </c>
      <c r="BB8" s="1378"/>
      <c r="BC8" s="2137" t="s">
        <v>714</v>
      </c>
      <c r="BE8" s="506"/>
      <c r="BF8" s="506" t="str">
        <f>IF(T8="","",T8)</f>
        <v/>
      </c>
      <c r="BG8" s="506"/>
      <c r="BH8" s="506"/>
    </row>
    <row customHeight="1" ht="11.25" hidden="1">
      <c r="A9" s="1393"/>
      <c r="B9" s="1393"/>
      <c r="C9" s="1393"/>
      <c r="D9" s="1393"/>
      <c r="E9" s="2108"/>
      <c r="F9" s="2108"/>
      <c r="G9" s="2108"/>
      <c r="H9" s="2108"/>
      <c r="I9" s="2110"/>
      <c r="J9" s="2110"/>
      <c r="K9" s="2109"/>
      <c r="L9" s="1394"/>
      <c r="P9" s="2111"/>
      <c r="Q9" s="2111"/>
      <c r="R9" s="2187"/>
      <c r="S9" s="2185"/>
      <c r="T9" s="2204"/>
      <c r="U9" s="288"/>
      <c r="V9" s="1423"/>
      <c r="W9" s="1526"/>
      <c r="X9" s="1423"/>
      <c r="Y9" s="1526"/>
      <c r="Z9" s="1423"/>
      <c r="AA9" s="1423"/>
      <c r="AB9" s="1423"/>
      <c r="AC9" s="1423"/>
      <c r="AD9" s="2045"/>
      <c r="AE9" s="2180"/>
      <c r="AF9" s="2057"/>
      <c r="AG9" s="2202"/>
      <c r="AH9" s="1981"/>
      <c r="AI9" s="2180"/>
      <c r="AJ9" s="2057"/>
      <c r="AK9" s="2201"/>
      <c r="AL9" s="1981"/>
      <c r="AM9" s="2037"/>
      <c r="AN9" s="2057"/>
      <c r="AO9" s="2206"/>
      <c r="AP9" s="2208"/>
      <c r="AQ9" s="308"/>
      <c r="AR9" s="422"/>
      <c r="AS9" s="422" t="s">
        <v>715</v>
      </c>
      <c r="AT9" s="1423"/>
      <c r="AU9" s="1526"/>
      <c r="AV9" s="1423"/>
      <c r="AW9" s="1526"/>
      <c r="AX9" s="1423"/>
      <c r="AY9" s="1423"/>
      <c r="AZ9" s="1423"/>
      <c r="BA9" s="1423"/>
      <c r="BB9" s="1427"/>
      <c r="BC9" s="2138"/>
      <c r="BE9" s="506"/>
      <c r="BF9" s="506"/>
      <c r="BG9" s="506"/>
      <c r="BH9" s="506"/>
    </row>
    <row customHeight="1" ht="11.25" hidden="1">
      <c r="A10" s="1393"/>
      <c r="B10" s="1393"/>
      <c r="C10" s="1393"/>
      <c r="D10" s="1393"/>
      <c r="E10" s="2108"/>
      <c r="F10" s="2108"/>
      <c r="G10" s="2108"/>
      <c r="H10" s="2108"/>
      <c r="I10" s="2110"/>
      <c r="J10" s="2110"/>
      <c r="K10" s="2109"/>
      <c r="L10" s="1394"/>
      <c r="P10" s="2111"/>
      <c r="Q10" s="2111"/>
      <c r="R10" s="2187"/>
      <c r="S10" s="2185"/>
      <c r="T10" s="2204"/>
      <c r="U10" s="288"/>
      <c r="V10" s="1423"/>
      <c r="W10" s="1526"/>
      <c r="X10" s="1423"/>
      <c r="Y10" s="1526"/>
      <c r="Z10" s="1423"/>
      <c r="AA10" s="1423"/>
      <c r="AB10" s="1423"/>
      <c r="AC10" s="1423"/>
      <c r="AD10" s="2045"/>
      <c r="AE10" s="2180"/>
      <c r="AF10" s="2057"/>
      <c r="AG10" s="2202"/>
      <c r="AH10" s="1981"/>
      <c r="AI10" s="2180"/>
      <c r="AJ10" s="2057"/>
      <c r="AK10" s="2201"/>
      <c r="AL10" s="1981"/>
      <c r="AM10" s="308"/>
      <c r="AN10" s="1530"/>
      <c r="AO10" s="1530" t="s">
        <v>716</v>
      </c>
      <c r="AP10" s="422"/>
      <c r="AQ10" s="422"/>
      <c r="AR10" s="422"/>
      <c r="AS10" s="1423"/>
      <c r="AT10" s="1423"/>
      <c r="AU10" s="1526"/>
      <c r="AV10" s="1423"/>
      <c r="AW10" s="1526"/>
      <c r="AX10" s="1423"/>
      <c r="AY10" s="1423"/>
      <c r="AZ10" s="1423"/>
      <c r="BA10" s="1423"/>
      <c r="BB10" s="1427"/>
      <c r="BC10" s="2138"/>
      <c r="BE10" s="506"/>
      <c r="BF10" s="506"/>
      <c r="BG10" s="506"/>
      <c r="BH10" s="506"/>
    </row>
    <row customHeight="1" ht="11.25" hidden="1">
      <c r="A11" s="1393"/>
      <c r="B11" s="1393"/>
      <c r="C11" s="1393"/>
      <c r="D11" s="1393"/>
      <c r="E11" s="2108"/>
      <c r="F11" s="2108"/>
      <c r="G11" s="2108"/>
      <c r="H11" s="2108"/>
      <c r="I11" s="2110"/>
      <c r="J11" s="2110"/>
      <c r="K11" s="2109"/>
      <c r="L11" s="1394"/>
      <c r="P11" s="2111"/>
      <c r="Q11" s="2111"/>
      <c r="R11" s="2187"/>
      <c r="S11" s="2185"/>
      <c r="T11" s="2204"/>
      <c r="U11" s="288"/>
      <c r="V11" s="1423"/>
      <c r="W11" s="1526"/>
      <c r="X11" s="1423"/>
      <c r="Y11" s="1526"/>
      <c r="Z11" s="1423"/>
      <c r="AA11" s="1423"/>
      <c r="AB11" s="1423"/>
      <c r="AC11" s="1423"/>
      <c r="AD11" s="2045"/>
      <c r="AE11" s="2180"/>
      <c r="AF11" s="2057"/>
      <c r="AG11" s="2202"/>
      <c r="AH11" s="1981"/>
      <c r="AI11" s="282"/>
      <c r="AJ11" s="421"/>
      <c r="AK11" s="303" t="s">
        <v>717</v>
      </c>
      <c r="AL11" s="1423"/>
      <c r="AM11" s="1423"/>
      <c r="AN11" s="1423"/>
      <c r="AO11" s="1423"/>
      <c r="AP11" s="1423"/>
      <c r="AQ11" s="1423"/>
      <c r="AR11" s="1423"/>
      <c r="AS11" s="1423"/>
      <c r="AT11" s="1423"/>
      <c r="AU11" s="1526"/>
      <c r="AV11" s="1423"/>
      <c r="AW11" s="1526"/>
      <c r="AX11" s="1423"/>
      <c r="AY11" s="1423"/>
      <c r="AZ11" s="1423"/>
      <c r="BA11" s="1423"/>
      <c r="BB11" s="1427"/>
      <c r="BC11" s="2138"/>
      <c r="BE11" s="506"/>
      <c r="BF11" s="506"/>
      <c r="BG11" s="506"/>
      <c r="BH11" s="506"/>
    </row>
    <row customHeight="1" ht="11.25" hidden="1">
      <c r="A12" s="1393"/>
      <c r="B12" s="1393"/>
      <c r="C12" s="1393"/>
      <c r="D12" s="1393"/>
      <c r="E12" s="2108"/>
      <c r="F12" s="2108"/>
      <c r="G12" s="2108"/>
      <c r="H12" s="2108"/>
      <c r="I12" s="2110"/>
      <c r="J12" s="2110"/>
      <c r="K12" s="2109"/>
      <c r="L12" s="1394"/>
      <c r="P12" s="2111"/>
      <c r="Q12" s="2111"/>
      <c r="R12" s="2187"/>
      <c r="S12" s="2186"/>
      <c r="T12" s="2205"/>
      <c r="U12" s="288"/>
      <c r="V12" s="1423"/>
      <c r="W12" s="1424" t="str">
        <f>Z8&amp;"-"&amp;AB8</f>
        <v>-</v>
      </c>
      <c r="X12" s="1423"/>
      <c r="Y12" s="1424" t="str">
        <f>AB8&amp;"-"&amp;AD8</f>
        <v>-да</v>
      </c>
      <c r="Z12" s="1423"/>
      <c r="AA12" s="1423"/>
      <c r="AB12" s="1423"/>
      <c r="AC12" s="1423"/>
      <c r="AD12" s="1986"/>
      <c r="AE12" s="302"/>
      <c r="AF12" s="304"/>
      <c r="AG12" s="422" t="s">
        <v>718</v>
      </c>
      <c r="AH12" s="1423"/>
      <c r="AI12" s="1423"/>
      <c r="AJ12" s="1423"/>
      <c r="AK12" s="1423"/>
      <c r="AL12" s="1423"/>
      <c r="AM12" s="1423"/>
      <c r="AN12" s="1423"/>
      <c r="AO12" s="1423"/>
      <c r="AP12" s="1423"/>
      <c r="AQ12" s="1423"/>
      <c r="AR12" s="1423"/>
      <c r="AS12" s="1423"/>
      <c r="AT12" s="1423"/>
      <c r="AU12" s="1424" t="str">
        <f>AX8&amp;"-"&amp;AZ8</f>
        <v>-</v>
      </c>
      <c r="AV12" s="1423"/>
      <c r="AW12" s="1424" t="str">
        <f>AZ8&amp;"-"&amp;BB8</f>
        <v>-</v>
      </c>
      <c r="AX12" s="1423"/>
      <c r="AY12" s="1423"/>
      <c r="AZ12" s="1423"/>
      <c r="BA12" s="1423"/>
      <c r="BB12" s="1426" t="str">
        <f>BE8&amp;"-"&amp;BG8</f>
        <v>-</v>
      </c>
      <c r="BC12" s="2138"/>
      <c r="BE12" s="506"/>
      <c r="BF12" s="506" t="str">
        <f>IF(T12="","",T12)</f>
        <v/>
      </c>
      <c r="BG12" s="506"/>
      <c r="BH12" s="506"/>
    </row>
    <row customHeight="1" ht="11.25" hidden="1">
      <c r="A13" s="1393"/>
      <c r="B13" s="1393"/>
      <c r="C13" s="1393"/>
      <c r="D13" s="1393"/>
      <c r="E13" s="2108"/>
      <c r="F13" s="2108"/>
      <c r="G13" s="2108"/>
      <c r="H13" s="2108"/>
      <c r="I13" s="2110"/>
      <c r="J13" s="2109"/>
      <c r="K13" s="1393"/>
      <c r="L13" s="1394"/>
      <c r="P13" s="2111"/>
      <c r="Q13" s="2111"/>
      <c r="R13" s="352"/>
      <c r="S13" s="1308"/>
      <c r="T13" s="275" t="s">
        <v>682</v>
      </c>
      <c r="U13" s="367"/>
      <c r="V13" s="367"/>
      <c r="W13" s="367"/>
      <c r="X13" s="367"/>
      <c r="Y13" s="367"/>
      <c r="Z13" s="367"/>
      <c r="AA13" s="367"/>
      <c r="AB13" s="367"/>
      <c r="AC13" s="367"/>
      <c r="AD13" s="1535"/>
      <c r="AE13" s="367"/>
      <c r="AF13" s="367"/>
      <c r="AG13" s="367"/>
      <c r="AH13" s="367"/>
      <c r="AI13" s="367"/>
      <c r="AJ13" s="367"/>
      <c r="AK13" s="367"/>
      <c r="AL13" s="367"/>
      <c r="AM13" s="367"/>
      <c r="AN13" s="367"/>
      <c r="AO13" s="367"/>
      <c r="AP13" s="367"/>
      <c r="AQ13" s="367"/>
      <c r="AR13" s="367"/>
      <c r="AS13" s="367"/>
      <c r="AT13" s="367"/>
      <c r="AU13" s="367"/>
      <c r="AV13" s="367"/>
      <c r="AW13" s="367"/>
      <c r="AX13" s="367"/>
      <c r="AY13" s="367"/>
      <c r="AZ13" s="367"/>
      <c r="BA13" s="367"/>
      <c r="BB13" s="319"/>
      <c r="BC13" s="2139"/>
      <c r="BE13" s="506"/>
      <c r="BF13" s="506" t="str">
        <f>IF(T13="","",T13)</f>
        <v>Добавить строку</v>
      </c>
      <c r="BG13" s="506"/>
      <c r="BH13" s="506"/>
    </row>
    <row s="2612" customFormat="1" customHeight="1" ht="14.25" hidden="1">
      <c r="A14" s="1373"/>
      <c r="B14" s="1373"/>
      <c r="C14" s="1373"/>
      <c r="D14" s="1373"/>
      <c r="E14" s="2108"/>
      <c r="F14" s="2108"/>
      <c r="G14" s="2108"/>
      <c r="H14" s="2108"/>
      <c r="I14" s="2109"/>
      <c r="J14" s="1373"/>
      <c r="K14" s="1373"/>
      <c r="L14" s="1376"/>
      <c r="M14" s="516"/>
      <c r="N14" s="516"/>
      <c r="O14" s="516"/>
      <c r="P14" s="2111"/>
      <c r="Q14" s="1492"/>
      <c r="R14" s="352"/>
      <c r="S14" s="1416"/>
      <c r="T14" s="1417"/>
      <c r="U14" s="1418"/>
      <c r="V14" s="1418"/>
      <c r="W14" s="1418"/>
      <c r="X14" s="1418"/>
      <c r="Y14" s="1418"/>
      <c r="Z14" s="1418"/>
      <c r="AA14" s="1418"/>
      <c r="AB14" s="1418"/>
      <c r="AC14" s="1418"/>
      <c r="AD14" s="1418"/>
      <c r="AE14" s="1418"/>
      <c r="AF14" s="1418"/>
      <c r="AG14" s="1418"/>
      <c r="AH14" s="1418"/>
      <c r="AI14" s="1418"/>
      <c r="AJ14" s="1418"/>
      <c r="AK14" s="1418"/>
      <c r="AL14" s="1418"/>
      <c r="AM14" s="1418"/>
      <c r="AN14" s="1418"/>
      <c r="AO14" s="1418"/>
      <c r="AP14" s="1418"/>
      <c r="AQ14" s="1418"/>
      <c r="AR14" s="1418"/>
      <c r="AS14" s="1418"/>
      <c r="AT14" s="1418"/>
      <c r="AU14" s="1418"/>
      <c r="AV14" s="1418"/>
      <c r="AW14" s="1418"/>
      <c r="AX14" s="1418"/>
      <c r="AY14" s="1418"/>
      <c r="AZ14" s="1418"/>
      <c r="BA14" s="1418"/>
      <c r="BB14" s="1418"/>
      <c r="BC14" s="1419"/>
      <c r="BE14" s="506"/>
      <c r="BF14" s="506" t="str">
        <f>IF(T14="","",T14)</f>
        <v/>
      </c>
      <c r="BG14" s="506"/>
      <c r="BH14" s="506"/>
    </row>
    <row s="2612" customFormat="1" customHeight="1" ht="14.25" hidden="1">
      <c r="A15" s="1373"/>
      <c r="B15" s="1373"/>
      <c r="C15" s="1373"/>
      <c r="D15" s="1373"/>
      <c r="E15" s="2108"/>
      <c r="F15" s="2108"/>
      <c r="G15" s="2108"/>
      <c r="H15" s="2107"/>
      <c r="I15" s="1373"/>
      <c r="J15" s="1373"/>
      <c r="K15" s="1373"/>
      <c r="L15" s="1376"/>
      <c r="M15" s="1345"/>
      <c r="N15" s="1345"/>
      <c r="O15" s="524"/>
      <c r="P15" s="385"/>
      <c r="Q15" s="1374"/>
      <c r="R15" s="1431"/>
      <c r="S15" s="1416"/>
      <c r="T15" s="1417"/>
      <c r="U15" s="1418"/>
      <c r="V15" s="1418"/>
      <c r="W15" s="1418"/>
      <c r="X15" s="1418"/>
      <c r="Y15" s="1418"/>
      <c r="Z15" s="1418"/>
      <c r="AA15" s="1418"/>
      <c r="AB15" s="1418"/>
      <c r="AC15" s="1418"/>
      <c r="AD15" s="1418"/>
      <c r="AE15" s="1418"/>
      <c r="AF15" s="1418"/>
      <c r="AG15" s="1418"/>
      <c r="AH15" s="1418"/>
      <c r="AI15" s="1418"/>
      <c r="AJ15" s="1418"/>
      <c r="AK15" s="1418"/>
      <c r="AL15" s="1418"/>
      <c r="AM15" s="1418"/>
      <c r="AN15" s="1418"/>
      <c r="AO15" s="1418"/>
      <c r="AP15" s="1418"/>
      <c r="AQ15" s="1418"/>
      <c r="AR15" s="1418"/>
      <c r="AS15" s="1418"/>
      <c r="AT15" s="1418"/>
      <c r="AU15" s="1418"/>
      <c r="AV15" s="1418"/>
      <c r="AW15" s="1418"/>
      <c r="AX15" s="1418"/>
      <c r="AY15" s="1418"/>
      <c r="AZ15" s="1418"/>
      <c r="BA15" s="1418"/>
      <c r="BB15" s="1418"/>
      <c r="BC15" s="1419"/>
      <c r="BE15" s="506"/>
      <c r="BF15" s="506" t="str">
        <f>IF(T15="","",T15)</f>
        <v/>
      </c>
      <c r="BG15" s="506"/>
      <c r="BH15" s="506"/>
    </row>
    <row s="3314" customFormat="1" customHeight="1" ht="14.25" hidden="1">
      <c r="A16" s="1373"/>
      <c r="B16" s="1373"/>
      <c r="C16" s="1373"/>
      <c r="D16" s="1344"/>
      <c r="E16" s="2108"/>
      <c r="F16" s="2108"/>
      <c r="G16" s="2107"/>
      <c r="H16" s="1344"/>
      <c r="I16" s="1344"/>
      <c r="J16" s="1344"/>
      <c r="K16" s="1344"/>
      <c r="L16" s="1494"/>
      <c r="M16" s="1345"/>
      <c r="N16" s="1345"/>
      <c r="P16" s="1346"/>
      <c r="Q16" s="1347"/>
      <c r="R16" s="1346"/>
      <c r="S16" s="1352"/>
      <c r="T16" s="1355"/>
      <c r="U16" s="1354"/>
      <c r="V16" s="1354"/>
      <c r="W16" s="1354"/>
      <c r="X16" s="1354"/>
      <c r="Y16" s="1354"/>
      <c r="Z16" s="1354"/>
      <c r="AA16" s="1354"/>
      <c r="AB16" s="1354"/>
      <c r="AC16" s="1354"/>
      <c r="AD16" s="1354"/>
      <c r="AE16" s="1354"/>
      <c r="AF16" s="1354"/>
      <c r="AG16" s="1354"/>
      <c r="AH16" s="1354"/>
      <c r="AI16" s="1354"/>
      <c r="AJ16" s="1354"/>
      <c r="AK16" s="1354"/>
      <c r="AL16" s="1354"/>
      <c r="AM16" s="1354"/>
      <c r="AN16" s="1354"/>
      <c r="AO16" s="1354"/>
      <c r="AP16" s="1354"/>
      <c r="AQ16" s="1354"/>
      <c r="AR16" s="1354"/>
      <c r="AS16" s="1354"/>
      <c r="AT16" s="1354"/>
      <c r="AU16" s="1354"/>
      <c r="AV16" s="1354"/>
      <c r="AW16" s="1354"/>
      <c r="AX16" s="1354"/>
      <c r="AY16" s="1354"/>
      <c r="AZ16" s="1354"/>
      <c r="BA16" s="1354"/>
      <c r="BB16" s="1354"/>
      <c r="BC16" s="1354"/>
      <c r="BE16" s="795"/>
      <c r="BF16" s="795" t="str">
        <f>IF(T16="","",T16)</f>
        <v/>
      </c>
      <c r="BG16" s="795"/>
      <c r="BH16" s="795"/>
    </row>
    <row s="3314" customFormat="1" customHeight="1" ht="14.25" hidden="1">
      <c r="A17" s="1373"/>
      <c r="B17" s="1373"/>
      <c r="C17" s="1344"/>
      <c r="D17" s="1344"/>
      <c r="E17" s="2108"/>
      <c r="F17" s="2107"/>
      <c r="G17" s="1344"/>
      <c r="H17" s="1344"/>
      <c r="I17" s="1344"/>
      <c r="J17" s="1344"/>
      <c r="K17" s="1344"/>
      <c r="L17" s="1494"/>
      <c r="M17" s="1351"/>
      <c r="N17" s="1351"/>
      <c r="P17" s="1346"/>
      <c r="Q17" s="1347"/>
      <c r="R17" s="1346"/>
      <c r="S17" s="1352"/>
      <c r="T17" s="1355" t="s">
        <v>255</v>
      </c>
      <c r="U17" s="1354"/>
      <c r="V17" s="1354"/>
      <c r="W17" s="1354"/>
      <c r="X17" s="1354"/>
      <c r="Y17" s="1354"/>
      <c r="Z17" s="1354"/>
      <c r="AA17" s="1354"/>
      <c r="AB17" s="1354"/>
      <c r="AC17" s="1354"/>
      <c r="AD17" s="1354"/>
      <c r="AE17" s="1354"/>
      <c r="AF17" s="1354"/>
      <c r="AG17" s="1354"/>
      <c r="AH17" s="1354"/>
      <c r="AI17" s="1354"/>
      <c r="AJ17" s="1354"/>
      <c r="AK17" s="1354"/>
      <c r="AL17" s="1354"/>
      <c r="AM17" s="1354"/>
      <c r="AN17" s="1354"/>
      <c r="AO17" s="1354"/>
      <c r="AP17" s="1354"/>
      <c r="AQ17" s="1354"/>
      <c r="AR17" s="1354"/>
      <c r="AS17" s="1354"/>
      <c r="AT17" s="1354"/>
      <c r="AU17" s="1354"/>
      <c r="AV17" s="1354"/>
      <c r="AW17" s="1354"/>
      <c r="AX17" s="1354"/>
      <c r="AY17" s="1354"/>
      <c r="AZ17" s="1354"/>
      <c r="BA17" s="1354"/>
      <c r="BB17" s="1354"/>
      <c r="BC17" s="1354"/>
      <c r="BE17" s="795"/>
      <c r="BF17" s="795" t="str">
        <f>IF(T17="","",T17)</f>
        <v>Добавить централизованную систему для дифференциации</v>
      </c>
      <c r="BG17" s="795"/>
      <c r="BH17" s="795"/>
    </row>
    <row s="2612" customFormat="1" customHeight="1" ht="14.25" hidden="1">
      <c r="A18" s="1373"/>
      <c r="B18" s="1373"/>
      <c r="C18" s="1373"/>
      <c r="D18" s="1373"/>
      <c r="E18" s="2107"/>
      <c r="F18" s="1373"/>
      <c r="G18" s="1373"/>
      <c r="H18" s="1373"/>
      <c r="I18" s="1373"/>
      <c r="J18" s="1373"/>
      <c r="K18" s="1373"/>
      <c r="L18" s="1376"/>
      <c r="M18" s="1351"/>
      <c r="N18" s="1351"/>
      <c r="O18" s="524"/>
      <c r="P18" s="385"/>
      <c r="Q18" s="1374"/>
      <c r="R18" s="385"/>
      <c r="S18" s="1352"/>
      <c r="T18" s="1355" t="s">
        <v>329</v>
      </c>
      <c r="U18" s="1354"/>
      <c r="V18" s="1354"/>
      <c r="W18" s="1354"/>
      <c r="X18" s="1354"/>
      <c r="Y18" s="1354"/>
      <c r="Z18" s="1354"/>
      <c r="AA18" s="1354"/>
      <c r="AB18" s="1354"/>
      <c r="AC18" s="1354"/>
      <c r="AD18" s="1354"/>
      <c r="AE18" s="1354"/>
      <c r="AF18" s="1354"/>
      <c r="AG18" s="1354"/>
      <c r="AH18" s="1354"/>
      <c r="AI18" s="1354"/>
      <c r="AJ18" s="1354"/>
      <c r="AK18" s="1354"/>
      <c r="AL18" s="1354"/>
      <c r="AM18" s="1354"/>
      <c r="AN18" s="1354"/>
      <c r="AO18" s="1354"/>
      <c r="AP18" s="1354"/>
      <c r="AQ18" s="1354"/>
      <c r="AR18" s="1354"/>
      <c r="AS18" s="1354"/>
      <c r="AT18" s="1354"/>
      <c r="AU18" s="1354"/>
      <c r="AV18" s="1354"/>
      <c r="AW18" s="1354"/>
      <c r="AX18" s="1354"/>
      <c r="AY18" s="1354"/>
      <c r="AZ18" s="1354"/>
      <c r="BA18" s="1354"/>
      <c r="BB18" s="1354"/>
      <c r="BC18" s="1354"/>
      <c r="BE18" s="506"/>
      <c r="BF18" s="506" t="str">
        <f>IF(T18="","",T18)</f>
        <v>Добавить территорию для дифференциации</v>
      </c>
      <c r="BG18" s="506"/>
      <c r="BH18" s="506"/>
    </row>
    <row customHeight="1" ht="14.25" hidden="1">
      <c r="AC19" s="323"/>
      <c r="BA19" s="323"/>
    </row>
    <row customHeight="1" ht="14.25" hidden="1">
      <c r="AD20" s="1354" t="s">
        <v>58</v>
      </c>
      <c r="AE20" s="1531"/>
      <c r="AF20" s="554">
        <v>1</v>
      </c>
      <c r="AG20" s="1532"/>
      <c r="AH20" s="1354" t="s">
        <v>58</v>
      </c>
      <c r="AI20" s="1531"/>
      <c r="AJ20" s="554">
        <v>1</v>
      </c>
      <c r="AK20" s="1532"/>
      <c r="AL20" s="1354" t="s">
        <v>58</v>
      </c>
      <c r="AM20" s="1533"/>
      <c r="AN20" s="554">
        <v>1</v>
      </c>
      <c r="AO20" s="1534"/>
      <c r="AP20" s="1354" t="s">
        <v>58</v>
      </c>
      <c r="AQ20" s="1533"/>
      <c r="AR20" s="554">
        <v>1</v>
      </c>
      <c r="AS20" s="1534"/>
      <c r="AT20" s="320"/>
      <c r="AU20" s="390"/>
      <c r="AV20" s="320"/>
      <c r="AW20" s="390"/>
      <c r="AX20" s="1776"/>
      <c r="AY20" s="1490" t="s">
        <v>63</v>
      </c>
      <c r="AZ20" s="1776"/>
      <c r="BA20" s="1490" t="s">
        <v>63</v>
      </c>
    </row>
    <row customHeight="1" ht="14.25" hidden="1">
      <c r="BD21" s="502"/>
      <c r="BE21" s="502"/>
      <c r="BF21" s="502"/>
      <c r="BG21" s="502"/>
      <c r="BH21" s="502"/>
    </row>
    <row customHeight="1" ht="14.25" hidden="1">
      <c r="O22" s="1397" t="s">
        <v>629</v>
      </c>
      <c r="Z22" s="1375"/>
      <c r="AB22" s="1375"/>
      <c r="AC22" s="323"/>
      <c r="AX22" s="1375"/>
      <c r="AZ22" s="1375"/>
      <c r="BA22" s="323"/>
      <c r="BD22" s="502"/>
      <c r="BE22" s="502"/>
      <c r="BF22" s="502"/>
      <c r="BG22" s="502"/>
      <c r="BH22" s="502"/>
    </row>
    <row customHeight="1" ht="14.25" hidden="1">
      <c r="AC23" s="323"/>
      <c r="BA23" s="323"/>
      <c r="BD23" s="502"/>
      <c r="BE23" s="502"/>
      <c r="BF23" s="502"/>
      <c r="BG23" s="502"/>
      <c r="BH23" s="502"/>
    </row>
    <row s="12221" customFormat="1" customHeight="1" ht="14.25" hidden="1">
      <c r="M24" s="1538"/>
      <c r="N24" s="1538"/>
      <c r="O24" s="1539" t="s">
        <v>630</v>
      </c>
      <c r="P24" s="1538"/>
      <c r="Q24" s="1540"/>
      <c r="R24" s="1540"/>
      <c r="AA24" s="1537" t="s">
        <v>632</v>
      </c>
      <c r="AC24" s="1537" t="s">
        <v>633</v>
      </c>
      <c r="AD24" s="1537" t="s">
        <v>683</v>
      </c>
      <c r="AH24" s="1537" t="s">
        <v>683</v>
      </c>
      <c r="AK24" s="1537" t="s">
        <v>719</v>
      </c>
      <c r="AL24" s="1537" t="s">
        <v>683</v>
      </c>
      <c r="AP24" s="1537" t="s">
        <v>683</v>
      </c>
      <c r="AY24" s="1537" t="s">
        <v>632</v>
      </c>
      <c r="BA24" s="1537" t="s">
        <v>633</v>
      </c>
      <c r="BD24" s="1541"/>
      <c r="BE24" s="1541"/>
      <c r="BF24" s="1541"/>
      <c r="BG24" s="1541"/>
      <c r="BH24" s="1541"/>
    </row>
    <row customHeight="1" ht="14.25" hidden="1">
      <c r="O25" s="1394"/>
      <c r="BD25" s="502"/>
      <c r="BE25" s="502"/>
      <c r="BF25" s="502"/>
      <c r="BG25" s="502"/>
      <c r="BH25" s="502"/>
    </row>
    <row customHeight="1" ht="14.25" hidden="1">
      <c r="O26" s="1394"/>
      <c r="BD26" s="502"/>
      <c r="BE26" s="502"/>
      <c r="BF26" s="502"/>
      <c r="BG26" s="502"/>
      <c r="BH26" s="502"/>
    </row>
    <row customHeight="1" ht="14.25">
      <c r="Q27" s="279"/>
      <c r="R27" s="377"/>
      <c r="S27" s="1305"/>
      <c r="T27" s="361"/>
      <c r="U27" s="361"/>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row>
    <row customHeight="1" ht="14.25">
      <c r="Q28" s="279"/>
      <c r="R28" s="377"/>
      <c r="S28" s="2140"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140"/>
      <c r="U28" s="2140"/>
      <c r="V28" s="2140"/>
      <c r="W28" s="2140"/>
      <c r="X28" s="2140"/>
      <c r="Y28" s="2140"/>
      <c r="Z28" s="2140"/>
      <c r="AA28" s="2140"/>
      <c r="AB28" s="2140"/>
      <c r="AC28" s="2140"/>
      <c r="AD28" s="2140"/>
      <c r="AE28" s="2140"/>
      <c r="AF28" s="2140"/>
      <c r="AG28" s="2140"/>
      <c r="AH28" s="2140"/>
      <c r="AI28" s="2140"/>
      <c r="AJ28" s="2140"/>
      <c r="AK28" s="2140"/>
      <c r="AL28" s="2140"/>
      <c r="AM28" s="2140"/>
      <c r="AN28" s="2140"/>
      <c r="AO28" s="2140"/>
      <c r="AP28" s="2140"/>
      <c r="AQ28" s="2140"/>
      <c r="AR28" s="2140"/>
      <c r="AS28" s="2140"/>
      <c r="AT28" s="2140"/>
      <c r="AU28" s="2140"/>
      <c r="AV28" s="2140"/>
      <c r="AW28" s="2140"/>
      <c r="AX28" s="2140"/>
      <c r="AY28" s="2140"/>
      <c r="AZ28" s="2140"/>
      <c r="BA28" s="1261"/>
    </row>
    <row customHeight="1" ht="14.25">
      <c r="Q29" s="279"/>
      <c r="R29" s="377"/>
      <c r="S29" s="2141" t="str">
        <f>IF(org=0,"Не определено",org)</f>
        <v>АО "Мурманэнергосбыт"</v>
      </c>
      <c r="T29" s="2141"/>
      <c r="U29" s="2141"/>
      <c r="V29" s="2141"/>
      <c r="W29" s="2141"/>
      <c r="X29" s="2141"/>
      <c r="Y29" s="2141"/>
      <c r="Z29" s="2141"/>
      <c r="AA29" s="2141"/>
      <c r="AB29" s="2141"/>
      <c r="AC29" s="2141"/>
      <c r="AD29" s="2141"/>
      <c r="AE29" s="2141"/>
      <c r="AF29" s="2141"/>
      <c r="AG29" s="2141"/>
      <c r="AH29" s="2141"/>
      <c r="AI29" s="2141"/>
      <c r="AJ29" s="2141"/>
      <c r="AK29" s="2141"/>
      <c r="AL29" s="2141"/>
      <c r="AM29" s="2141"/>
      <c r="AN29" s="2141"/>
      <c r="AO29" s="2141"/>
      <c r="AP29" s="2141"/>
      <c r="AQ29" s="2141"/>
      <c r="AR29" s="2141"/>
      <c r="AS29" s="2141"/>
      <c r="AT29" s="2141"/>
      <c r="AU29" s="2141"/>
      <c r="AV29" s="2141"/>
      <c r="AW29" s="2141"/>
      <c r="AX29" s="2141"/>
      <c r="AY29" s="2141"/>
      <c r="AZ29" s="2141"/>
      <c r="BA29" s="1261"/>
    </row>
    <row customHeight="1" ht="14.25">
      <c r="Q30" s="279"/>
      <c r="R30" s="377"/>
      <c r="S30" s="1305"/>
      <c r="T30" s="361"/>
      <c r="U30" s="361"/>
      <c r="V30" s="316"/>
      <c r="W30" s="316"/>
      <c r="X30" s="316"/>
      <c r="Y30" s="316"/>
      <c r="Z30" s="316"/>
      <c r="AA30" s="316"/>
      <c r="AB30" s="316"/>
      <c r="AC30" s="316"/>
      <c r="AD30" s="316"/>
      <c r="AE30" s="316"/>
      <c r="AF30" s="316"/>
      <c r="AG30" s="316"/>
      <c r="AH30" s="316"/>
      <c r="AI30" s="316"/>
      <c r="AJ30" s="316"/>
      <c r="AK30" s="316"/>
      <c r="AL30" s="316"/>
      <c r="AM30" s="316"/>
      <c r="AN30" s="316"/>
      <c r="AO30" s="316"/>
      <c r="AP30" s="316"/>
      <c r="AQ30" s="316"/>
      <c r="AR30" s="316"/>
      <c r="AS30" s="316"/>
      <c r="AT30" s="316"/>
      <c r="AU30" s="316"/>
      <c r="AV30" s="316"/>
      <c r="AW30" s="316"/>
      <c r="AX30" s="316"/>
      <c r="AY30" s="316"/>
      <c r="AZ30" s="316"/>
      <c r="BA30" s="316"/>
      <c r="BB30" s="515"/>
    </row>
    <row s="3345" customFormat="1" customHeight="1" ht="25.5">
      <c r="A31" s="1398"/>
      <c r="B31" s="1398"/>
      <c r="C31" s="1398"/>
      <c r="D31" s="1398"/>
      <c r="E31" s="1398"/>
      <c r="F31" s="1398"/>
      <c r="G31" s="1398"/>
      <c r="H31" s="1398"/>
      <c r="I31" s="1398"/>
      <c r="J31" s="1398"/>
      <c r="K31" s="1398"/>
      <c r="L31" s="1399"/>
      <c r="M31" s="1398"/>
      <c r="N31" s="1398"/>
      <c r="O31" s="1398"/>
      <c r="P31" s="1398"/>
      <c r="Q31" s="1398"/>
      <c r="S31" s="2098" t="s">
        <v>38</v>
      </c>
      <c r="T31" s="2098"/>
      <c r="U31" s="1402"/>
      <c r="V31" s="2100" t="str">
        <f>IF(TITLE_NAME_OR_PR_CHANGE="",IF(TITLE_NAME_OR_PR="","",TITLE_NAME_OR_PR),TITLE_NAME_OR_PR_CHANGE)</f>
        <v>Комитет по тарифному регулированию Мурманской области</v>
      </c>
      <c r="W31" s="2100"/>
      <c r="X31" s="2100"/>
      <c r="Y31" s="2100"/>
      <c r="Z31" s="2100"/>
      <c r="AA31" s="2100"/>
      <c r="AB31" s="2100"/>
      <c r="AC31" s="322"/>
      <c r="AD31" s="2100" t="str">
        <f>IF(TITLE_NAME_OR_PR_CHANGE="",IF(TITLE_NAME_OR_PR="","",TITLE_NAME_OR_PR),TITLE_NAME_OR_PR_CHANGE)</f>
        <v>Комитет по тарифному регулированию Мурманской области</v>
      </c>
      <c r="AE31" s="2100"/>
      <c r="AF31" s="2100"/>
      <c r="AG31" s="2100"/>
      <c r="AH31" s="2100"/>
      <c r="AI31" s="2100"/>
      <c r="AJ31" s="2100"/>
      <c r="AK31" s="2100"/>
      <c r="AL31" s="2100"/>
      <c r="AM31" s="2100"/>
      <c r="AN31" s="2100"/>
      <c r="AO31" s="2100"/>
      <c r="AP31" s="2100"/>
      <c r="AQ31" s="2100"/>
      <c r="AR31" s="2100"/>
      <c r="AS31" s="2100"/>
      <c r="AT31" s="2100"/>
      <c r="AU31" s="2100"/>
      <c r="AV31" s="2100"/>
      <c r="AW31" s="2100"/>
      <c r="AX31" s="2100"/>
      <c r="AY31" s="2100"/>
      <c r="AZ31" s="2100"/>
      <c r="BA31" s="322"/>
      <c r="BB31" s="322"/>
      <c r="BC31" s="268"/>
      <c r="BD31" s="368"/>
      <c r="BE31" s="368"/>
      <c r="BF31" s="368"/>
      <c r="BG31" s="368"/>
      <c r="BH31" s="368"/>
    </row>
    <row s="3345" customFormat="1" customHeight="1" ht="18.75">
      <c r="A32" s="1398"/>
      <c r="B32" s="1398"/>
      <c r="C32" s="1398"/>
      <c r="D32" s="1398"/>
      <c r="E32" s="1398"/>
      <c r="F32" s="1398"/>
      <c r="G32" s="1398"/>
      <c r="H32" s="1398"/>
      <c r="I32" s="1398"/>
      <c r="J32" s="1398"/>
      <c r="K32" s="1398"/>
      <c r="L32" s="1399"/>
      <c r="M32" s="1398"/>
      <c r="N32" s="1398"/>
      <c r="O32" s="1398"/>
      <c r="P32" s="1398"/>
      <c r="Q32" s="1398"/>
      <c r="S32" s="2098" t="s">
        <v>635</v>
      </c>
      <c r="T32" s="2098"/>
      <c r="U32" s="1402"/>
      <c r="V32" s="2099" t="str">
        <f>IF(TITLE_DATE_PR_CHANGE="",IF(TITLE_DATE_PR="","",TITLE_DATE_PR),TITLE_DATE_PR_CHANGE)</f>
        <v>45205</v>
      </c>
      <c r="W32" s="2099"/>
      <c r="X32" s="2099"/>
      <c r="Y32" s="2099"/>
      <c r="Z32" s="2099"/>
      <c r="AA32" s="2099"/>
      <c r="AB32" s="2099"/>
      <c r="AC32" s="322"/>
      <c r="AD32" s="2099" t="str">
        <f>IF(TITLE_DATE_PR_CHANGE="",IF(TITLE_DATE_PR="","",TITLE_DATE_PR),TITLE_DATE_PR_CHANGE)</f>
        <v>45205</v>
      </c>
      <c r="AE32" s="2099"/>
      <c r="AF32" s="2099"/>
      <c r="AG32" s="2099"/>
      <c r="AH32" s="2099"/>
      <c r="AI32" s="2099"/>
      <c r="AJ32" s="2099"/>
      <c r="AK32" s="2099"/>
      <c r="AL32" s="2099"/>
      <c r="AM32" s="2099"/>
      <c r="AN32" s="2099"/>
      <c r="AO32" s="2099"/>
      <c r="AP32" s="2099"/>
      <c r="AQ32" s="2099"/>
      <c r="AR32" s="2099"/>
      <c r="AS32" s="2099"/>
      <c r="AT32" s="2099"/>
      <c r="AU32" s="2099"/>
      <c r="AV32" s="2099"/>
      <c r="AW32" s="2099"/>
      <c r="AX32" s="2099"/>
      <c r="AY32" s="2099"/>
      <c r="AZ32" s="2099"/>
      <c r="BA32" s="322"/>
      <c r="BB32" s="322"/>
      <c r="BC32" s="268"/>
      <c r="BD32" s="368"/>
      <c r="BE32" s="368"/>
      <c r="BF32" s="368"/>
      <c r="BG32" s="368"/>
      <c r="BH32" s="368"/>
    </row>
    <row s="3345" customFormat="1" customHeight="1" ht="18.75">
      <c r="A33" s="1398"/>
      <c r="B33" s="1398"/>
      <c r="C33" s="1398"/>
      <c r="D33" s="1398"/>
      <c r="E33" s="1398"/>
      <c r="F33" s="1398"/>
      <c r="G33" s="1398"/>
      <c r="H33" s="1398"/>
      <c r="I33" s="1398"/>
      <c r="J33" s="1398"/>
      <c r="K33" s="1398"/>
      <c r="L33" s="1399"/>
      <c r="M33" s="1398"/>
      <c r="N33" s="1398"/>
      <c r="O33" s="1398"/>
      <c r="P33" s="1398"/>
      <c r="Q33" s="1398"/>
      <c r="S33" s="2098" t="s">
        <v>636</v>
      </c>
      <c r="T33" s="2098"/>
      <c r="U33" s="1402"/>
      <c r="V33" s="2100" t="str">
        <f>IF(TITLE_NUMBER_PR_CHANGE="",IF(TITLE_NUMBER_PR="","",TITLE_NUMBER_PR),TITLE_NUMBER_PR_CHANGE)</f>
        <v>36/2</v>
      </c>
      <c r="W33" s="2100"/>
      <c r="X33" s="2100"/>
      <c r="Y33" s="2100"/>
      <c r="Z33" s="2100"/>
      <c r="AA33" s="2100"/>
      <c r="AB33" s="2100"/>
      <c r="AC33" s="322"/>
      <c r="AD33" s="2100" t="str">
        <f>IF(TITLE_NUMBER_PR_CHANGE="",IF(TITLE_NUMBER_PR="","",TITLE_NUMBER_PR),TITLE_NUMBER_PR_CHANGE)</f>
        <v>36/2</v>
      </c>
      <c r="AE33" s="2100"/>
      <c r="AF33" s="2100"/>
      <c r="AG33" s="2100"/>
      <c r="AH33" s="2100"/>
      <c r="AI33" s="2100"/>
      <c r="AJ33" s="2100"/>
      <c r="AK33" s="2100"/>
      <c r="AL33" s="2100"/>
      <c r="AM33" s="2100"/>
      <c r="AN33" s="2100"/>
      <c r="AO33" s="2100"/>
      <c r="AP33" s="2100"/>
      <c r="AQ33" s="2100"/>
      <c r="AR33" s="2100"/>
      <c r="AS33" s="2100"/>
      <c r="AT33" s="2100"/>
      <c r="AU33" s="2100"/>
      <c r="AV33" s="2100"/>
      <c r="AW33" s="2100"/>
      <c r="AX33" s="2100"/>
      <c r="AY33" s="2100"/>
      <c r="AZ33" s="2100"/>
      <c r="BA33" s="322"/>
      <c r="BB33" s="322"/>
      <c r="BC33" s="268"/>
      <c r="BD33" s="368"/>
      <c r="BE33" s="368"/>
      <c r="BF33" s="368"/>
      <c r="BG33" s="368"/>
      <c r="BH33" s="368"/>
    </row>
    <row s="3345" customFormat="1" customHeight="1" ht="18.75">
      <c r="A34" s="1398"/>
      <c r="B34" s="1398"/>
      <c r="C34" s="1398"/>
      <c r="D34" s="1398"/>
      <c r="E34" s="1398"/>
      <c r="F34" s="1398"/>
      <c r="G34" s="1398"/>
      <c r="H34" s="1398"/>
      <c r="I34" s="1398"/>
      <c r="J34" s="1398"/>
      <c r="K34" s="1398"/>
      <c r="L34" s="1399"/>
      <c r="M34" s="1398"/>
      <c r="N34" s="1398"/>
      <c r="O34" s="1398"/>
      <c r="P34" s="1398"/>
      <c r="Q34" s="1398"/>
      <c r="S34" s="2098" t="s">
        <v>40</v>
      </c>
      <c r="T34" s="2098"/>
      <c r="U34" s="1402"/>
      <c r="V34" s="2100" t="str">
        <f>IF(TITLE_IST_PUB_CHANGE="",IF(TITLE_IST_PUB="","",TITLE_IST_PUB),TITLE_IST_PUB_CHANGE)</f>
        <v>https://npa.gov-murman.ru/bitrix/components/b1team/govmurman.element.file/download.php?ID=495002&amp;FID=732763</v>
      </c>
      <c r="W34" s="2100"/>
      <c r="X34" s="2100"/>
      <c r="Y34" s="2100"/>
      <c r="Z34" s="2100"/>
      <c r="AA34" s="2100"/>
      <c r="AB34" s="2100"/>
      <c r="AC34" s="322"/>
      <c r="AD34" s="2100" t="str">
        <f>IF(TITLE_IST_PUB_CHANGE="",IF(TITLE_IST_PUB="","",TITLE_IST_PUB),TITLE_IST_PUB_CHANGE)</f>
        <v>https://npa.gov-murman.ru/bitrix/components/b1team/govmurman.element.file/download.php?ID=495002&amp;FID=732763</v>
      </c>
      <c r="AE34" s="2100"/>
      <c r="AF34" s="2100"/>
      <c r="AG34" s="2100"/>
      <c r="AH34" s="2100"/>
      <c r="AI34" s="2100"/>
      <c r="AJ34" s="2100"/>
      <c r="AK34" s="2100"/>
      <c r="AL34" s="2100"/>
      <c r="AM34" s="2100"/>
      <c r="AN34" s="2100"/>
      <c r="AO34" s="2100"/>
      <c r="AP34" s="2100"/>
      <c r="AQ34" s="2100"/>
      <c r="AR34" s="2100"/>
      <c r="AS34" s="2100"/>
      <c r="AT34" s="2100"/>
      <c r="AU34" s="2100"/>
      <c r="AV34" s="2100"/>
      <c r="AW34" s="2100"/>
      <c r="AX34" s="2100"/>
      <c r="AY34" s="2100"/>
      <c r="AZ34" s="2100"/>
      <c r="BA34" s="322"/>
      <c r="BB34" s="322"/>
      <c r="BC34" s="268"/>
      <c r="BD34" s="368"/>
      <c r="BE34" s="368"/>
      <c r="BF34" s="368"/>
      <c r="BG34" s="368"/>
      <c r="BH34" s="368"/>
    </row>
    <row customHeight="1" ht="14.25" hidden="1">
      <c r="Q35" s="279"/>
      <c r="R35" s="377"/>
      <c r="S35" s="1305"/>
      <c r="T35" s="361"/>
      <c r="U35" s="361"/>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c r="AU35" s="316"/>
      <c r="AV35" s="316"/>
      <c r="AW35" s="316"/>
      <c r="AX35" s="316"/>
      <c r="AY35" s="316"/>
      <c r="AZ35" s="316"/>
      <c r="BA35" s="316"/>
      <c r="BB35" s="515"/>
    </row>
    <row s="3345" customFormat="1" customHeight="1" ht="18.75" hidden="1">
      <c r="A36" s="1398"/>
      <c r="B36" s="1398"/>
      <c r="C36" s="1398"/>
      <c r="D36" s="1398"/>
      <c r="E36" s="1398"/>
      <c r="F36" s="1398"/>
      <c r="G36" s="1398"/>
      <c r="H36" s="1398"/>
      <c r="I36" s="1398"/>
      <c r="J36" s="1398"/>
      <c r="K36" s="1398"/>
      <c r="L36" s="1399"/>
      <c r="M36" s="1398"/>
      <c r="N36" s="1398"/>
      <c r="O36" s="1398"/>
      <c r="P36" s="1398"/>
      <c r="Q36" s="1398"/>
      <c r="S36" s="2098" t="s">
        <v>635</v>
      </c>
      <c r="T36" s="2098"/>
      <c r="U36" s="1402"/>
      <c r="V36" s="2099" t="str">
        <f>IF(TITLE_DATE_PR_CHANGE="",IF(TITLE_DATE_PR="","",TITLE_DATE_PR),TITLE_DATE_PR_CHANGE)</f>
        <v>45205</v>
      </c>
      <c r="W36" s="2099"/>
      <c r="X36" s="2099"/>
      <c r="Y36" s="2099"/>
      <c r="Z36" s="2099"/>
      <c r="AA36" s="2099"/>
      <c r="AB36" s="2099"/>
      <c r="AC36" s="322"/>
      <c r="AD36" s="2099" t="str">
        <f>IF(TITLE_DATE_PR_CHANGE="",IF(TITLE_DATE_PR="","",TITLE_DATE_PR),TITLE_DATE_PR_CHANGE)</f>
        <v>45205</v>
      </c>
      <c r="AE36" s="2099"/>
      <c r="AF36" s="2099"/>
      <c r="AG36" s="2099"/>
      <c r="AH36" s="2099"/>
      <c r="AI36" s="2099"/>
      <c r="AJ36" s="2099"/>
      <c r="AK36" s="2099"/>
      <c r="AL36" s="2099"/>
      <c r="AM36" s="2099"/>
      <c r="AN36" s="2099"/>
      <c r="AO36" s="2099"/>
      <c r="AP36" s="2099"/>
      <c r="AQ36" s="2099"/>
      <c r="AR36" s="2099"/>
      <c r="AS36" s="2099"/>
      <c r="AT36" s="2099"/>
      <c r="AU36" s="2099"/>
      <c r="AV36" s="2099"/>
      <c r="AW36" s="2099"/>
      <c r="AX36" s="2099"/>
      <c r="AY36" s="2099"/>
      <c r="AZ36" s="2099"/>
      <c r="BA36" s="322"/>
      <c r="BB36" s="322"/>
      <c r="BC36" s="268"/>
      <c r="BD36" s="368"/>
      <c r="BE36" s="368"/>
      <c r="BF36" s="368"/>
      <c r="BG36" s="368"/>
      <c r="BH36" s="368"/>
    </row>
    <row s="3345" customFormat="1" customHeight="1" ht="18.75" hidden="1">
      <c r="A37" s="1398"/>
      <c r="B37" s="1398"/>
      <c r="C37" s="1398"/>
      <c r="D37" s="1398"/>
      <c r="E37" s="1398"/>
      <c r="F37" s="1398"/>
      <c r="G37" s="1398"/>
      <c r="H37" s="1398"/>
      <c r="I37" s="1398"/>
      <c r="J37" s="1398"/>
      <c r="K37" s="1398"/>
      <c r="L37" s="1399"/>
      <c r="M37" s="1398"/>
      <c r="N37" s="1398"/>
      <c r="O37" s="1398"/>
      <c r="P37" s="1398"/>
      <c r="Q37" s="1398"/>
      <c r="S37" s="2098" t="s">
        <v>636</v>
      </c>
      <c r="T37" s="2098"/>
      <c r="U37" s="1402"/>
      <c r="V37" s="2100" t="str">
        <f>IF(TITLE_NUMBER_PR_CHANGE="",IF(TITLE_NUMBER_PR="","",TITLE_NUMBER_PR),TITLE_NUMBER_PR_CHANGE)</f>
        <v>36/2</v>
      </c>
      <c r="W37" s="2100"/>
      <c r="X37" s="2100"/>
      <c r="Y37" s="2100"/>
      <c r="Z37" s="2100"/>
      <c r="AA37" s="2100"/>
      <c r="AB37" s="2100"/>
      <c r="AC37" s="322"/>
      <c r="AD37" s="2100" t="str">
        <f>IF(TITLE_NUMBER_PR_CHANGE="",IF(TITLE_NUMBER_PR="","",TITLE_NUMBER_PR),TITLE_NUMBER_PR_CHANGE)</f>
        <v>36/2</v>
      </c>
      <c r="AE37" s="2100"/>
      <c r="AF37" s="2100"/>
      <c r="AG37" s="2100"/>
      <c r="AH37" s="2100"/>
      <c r="AI37" s="2100"/>
      <c r="AJ37" s="2100"/>
      <c r="AK37" s="2100"/>
      <c r="AL37" s="2100"/>
      <c r="AM37" s="2100"/>
      <c r="AN37" s="2100"/>
      <c r="AO37" s="2100"/>
      <c r="AP37" s="2100"/>
      <c r="AQ37" s="2100"/>
      <c r="AR37" s="2100"/>
      <c r="AS37" s="2100"/>
      <c r="AT37" s="2100"/>
      <c r="AU37" s="2100"/>
      <c r="AV37" s="2100"/>
      <c r="AW37" s="2100"/>
      <c r="AX37" s="2100"/>
      <c r="AY37" s="2100"/>
      <c r="AZ37" s="2100"/>
      <c r="BA37" s="322"/>
      <c r="BB37" s="322"/>
      <c r="BC37" s="268"/>
      <c r="BD37" s="368"/>
      <c r="BE37" s="368"/>
      <c r="BF37" s="368"/>
      <c r="BG37" s="368"/>
      <c r="BH37" s="368"/>
    </row>
    <row s="3345" customFormat="1" customHeight="1" ht="0">
      <c r="A38" s="1398"/>
      <c r="B38" s="1398"/>
      <c r="C38" s="1398"/>
      <c r="D38" s="1398"/>
      <c r="E38" s="1398"/>
      <c r="F38" s="1398"/>
      <c r="G38" s="1398"/>
      <c r="H38" s="1398"/>
      <c r="I38" s="1398"/>
      <c r="J38" s="1398"/>
      <c r="K38" s="1398"/>
      <c r="L38" s="1399"/>
      <c r="M38" s="1398"/>
      <c r="N38" s="1398"/>
      <c r="O38" s="1398"/>
      <c r="P38" s="1398"/>
      <c r="Q38" s="1398"/>
      <c r="S38" s="318"/>
      <c r="T38" s="318"/>
      <c r="U38" s="1484"/>
      <c r="V38" s="322"/>
      <c r="W38" s="322"/>
      <c r="X38" s="322"/>
      <c r="Y38" s="322"/>
      <c r="Z38" s="322"/>
      <c r="AA38" s="322"/>
      <c r="AB38" s="322"/>
      <c r="AC38" s="266" t="s">
        <v>639</v>
      </c>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266" t="s">
        <v>639</v>
      </c>
      <c r="BD38" s="368"/>
      <c r="BE38" s="368"/>
      <c r="BF38" s="368"/>
      <c r="BG38" s="368"/>
      <c r="BH38" s="368"/>
    </row>
    <row customHeight="1" ht="14.25">
      <c r="Q39" s="279"/>
      <c r="R39" s="377"/>
      <c r="S39" s="1305"/>
      <c r="T39" s="361"/>
      <c r="U39" s="1262"/>
      <c r="V39" s="2124"/>
      <c r="W39" s="2124"/>
      <c r="X39" s="2124"/>
      <c r="Y39" s="2124"/>
      <c r="Z39" s="2124"/>
      <c r="AA39" s="2124"/>
      <c r="AB39" s="2124"/>
      <c r="AC39" s="2124"/>
      <c r="AD39" s="2124"/>
      <c r="AE39" s="2124"/>
      <c r="AF39" s="2124"/>
      <c r="AG39" s="2124"/>
      <c r="AH39" s="2124"/>
      <c r="AI39" s="2124"/>
      <c r="AJ39" s="2124"/>
      <c r="AK39" s="2124"/>
      <c r="AL39" s="2124"/>
      <c r="AM39" s="2124"/>
      <c r="AN39" s="2124"/>
      <c r="AO39" s="2124"/>
      <c r="AP39" s="2124"/>
      <c r="AQ39" s="2124"/>
      <c r="AR39" s="2124"/>
      <c r="AS39" s="2124"/>
      <c r="AT39" s="2124"/>
      <c r="AU39" s="2124"/>
      <c r="AV39" s="2124"/>
      <c r="AW39" s="2124"/>
      <c r="AX39" s="2124"/>
      <c r="AY39" s="2124"/>
      <c r="AZ39" s="2124"/>
      <c r="BA39" s="2124"/>
    </row>
    <row customHeight="1" ht="14.25">
      <c r="Q40" s="279"/>
      <c r="R40" s="377"/>
      <c r="S40" s="1971" t="s">
        <v>513</v>
      </c>
      <c r="T40" s="1971"/>
      <c r="U40" s="1971"/>
      <c r="V40" s="1971"/>
      <c r="W40" s="1971"/>
      <c r="X40" s="1971"/>
      <c r="Y40" s="1971"/>
      <c r="Z40" s="1971"/>
      <c r="AA40" s="1971"/>
      <c r="AB40" s="1971"/>
      <c r="AC40" s="1971"/>
      <c r="AD40" s="1971"/>
      <c r="AE40" s="1971"/>
      <c r="AF40" s="1971"/>
      <c r="AG40" s="1971"/>
      <c r="AH40" s="1971"/>
      <c r="AI40" s="1971"/>
      <c r="AJ40" s="1971"/>
      <c r="AK40" s="1971"/>
      <c r="AL40" s="1971"/>
      <c r="AM40" s="1971"/>
      <c r="AN40" s="1971"/>
      <c r="AO40" s="1971"/>
      <c r="AP40" s="1971"/>
      <c r="AQ40" s="1971"/>
      <c r="AR40" s="1971"/>
      <c r="AS40" s="1971"/>
      <c r="AT40" s="1971"/>
      <c r="AU40" s="1971"/>
      <c r="AV40" s="1971"/>
      <c r="AW40" s="1971"/>
      <c r="AX40" s="1971"/>
      <c r="AY40" s="1971"/>
      <c r="AZ40" s="1971"/>
      <c r="BA40" s="1971"/>
      <c r="BB40" s="1971"/>
      <c r="BC40" s="1971" t="s">
        <v>514</v>
      </c>
    </row>
    <row customHeight="1" ht="14.25">
      <c r="Q41" s="279"/>
      <c r="R41" s="377"/>
      <c r="S41" s="2125" t="s">
        <v>89</v>
      </c>
      <c r="T41" s="2062" t="s">
        <v>720</v>
      </c>
      <c r="U41" s="289"/>
      <c r="V41" s="2126" t="s">
        <v>641</v>
      </c>
      <c r="W41" s="2127"/>
      <c r="X41" s="2127"/>
      <c r="Y41" s="2127"/>
      <c r="Z41" s="2127"/>
      <c r="AA41" s="2127"/>
      <c r="AB41" s="2128"/>
      <c r="AC41" s="2129" t="s">
        <v>642</v>
      </c>
      <c r="AD41" s="2173" t="s">
        <v>721</v>
      </c>
      <c r="AE41" s="2146"/>
      <c r="AF41" s="2146"/>
      <c r="AG41" s="2174"/>
      <c r="AH41" s="2173" t="s">
        <v>722</v>
      </c>
      <c r="AI41" s="2146"/>
      <c r="AJ41" s="2146"/>
      <c r="AK41" s="2174"/>
      <c r="AL41" s="2173" t="s">
        <v>723</v>
      </c>
      <c r="AM41" s="2146"/>
      <c r="AN41" s="2146"/>
      <c r="AO41" s="2174"/>
      <c r="AP41" s="2173" t="s">
        <v>724</v>
      </c>
      <c r="AQ41" s="2146"/>
      <c r="AR41" s="2146"/>
      <c r="AS41" s="2174"/>
      <c r="AT41" s="2126" t="s">
        <v>641</v>
      </c>
      <c r="AU41" s="2127"/>
      <c r="AV41" s="2127"/>
      <c r="AW41" s="2127"/>
      <c r="AX41" s="2127"/>
      <c r="AY41" s="2127"/>
      <c r="AZ41" s="2128"/>
      <c r="BA41" s="2129" t="s">
        <v>642</v>
      </c>
      <c r="BB41" s="2132" t="s">
        <v>644</v>
      </c>
      <c r="BC41" s="1971"/>
    </row>
    <row customHeight="1" ht="33.75">
      <c r="Q42" s="279"/>
      <c r="R42" s="377"/>
      <c r="S42" s="2125"/>
      <c r="T42" s="2062"/>
      <c r="U42" s="1038"/>
      <c r="V42" s="2029" t="s">
        <v>725</v>
      </c>
      <c r="W42" s="2030"/>
      <c r="X42" s="2029" t="s">
        <v>726</v>
      </c>
      <c r="Y42" s="2030"/>
      <c r="Z42" s="2144" t="s">
        <v>727</v>
      </c>
      <c r="AA42" s="2162"/>
      <c r="AB42" s="2163"/>
      <c r="AC42" s="2130"/>
      <c r="AD42" s="2175"/>
      <c r="AE42" s="2176"/>
      <c r="AF42" s="2176"/>
      <c r="AG42" s="2188"/>
      <c r="AH42" s="2175"/>
      <c r="AI42" s="2176"/>
      <c r="AJ42" s="2176"/>
      <c r="AK42" s="2188"/>
      <c r="AL42" s="2175"/>
      <c r="AM42" s="2176"/>
      <c r="AN42" s="2176"/>
      <c r="AO42" s="2188"/>
      <c r="AP42" s="2175"/>
      <c r="AQ42" s="2176"/>
      <c r="AR42" s="2176"/>
      <c r="AS42" s="2188"/>
      <c r="AT42" s="2029" t="s">
        <v>725</v>
      </c>
      <c r="AU42" s="2030"/>
      <c r="AV42" s="2029" t="s">
        <v>726</v>
      </c>
      <c r="AW42" s="2030"/>
      <c r="AX42" s="2144" t="s">
        <v>727</v>
      </c>
      <c r="AY42" s="2162"/>
      <c r="AZ42" s="2163"/>
      <c r="BA42" s="2130"/>
      <c r="BB42" s="2133"/>
      <c r="BC42" s="1971"/>
    </row>
    <row customHeight="1" ht="14.25">
      <c r="Q43" s="279"/>
      <c r="R43" s="377"/>
      <c r="S43" s="2125"/>
      <c r="T43" s="2062"/>
      <c r="U43" s="1038"/>
      <c r="V43" s="2037"/>
      <c r="W43" s="2038"/>
      <c r="X43" s="2037"/>
      <c r="Y43" s="2038"/>
      <c r="Z43" s="2145"/>
      <c r="AA43" s="2164"/>
      <c r="AB43" s="2165"/>
      <c r="AC43" s="2130"/>
      <c r="AD43" s="2175"/>
      <c r="AE43" s="2176"/>
      <c r="AF43" s="2176"/>
      <c r="AG43" s="2188"/>
      <c r="AH43" s="2175"/>
      <c r="AI43" s="2176"/>
      <c r="AJ43" s="2176"/>
      <c r="AK43" s="2188"/>
      <c r="AL43" s="2175"/>
      <c r="AM43" s="2176"/>
      <c r="AN43" s="2176"/>
      <c r="AO43" s="2188"/>
      <c r="AP43" s="2175"/>
      <c r="AQ43" s="2176"/>
      <c r="AR43" s="2176"/>
      <c r="AS43" s="2188"/>
      <c r="AT43" s="2037"/>
      <c r="AU43" s="2038"/>
      <c r="AV43" s="2037"/>
      <c r="AW43" s="2038"/>
      <c r="AX43" s="2145"/>
      <c r="AY43" s="2164"/>
      <c r="AZ43" s="2165"/>
      <c r="BA43" s="2130"/>
      <c r="BB43" s="2133"/>
      <c r="BC43" s="1971"/>
    </row>
    <row customHeight="1" ht="14.25">
      <c r="A44" s="1400"/>
      <c r="B44" s="1400" t="s">
        <v>216</v>
      </c>
      <c r="C44" s="1400" t="s">
        <v>217</v>
      </c>
      <c r="D44" s="1400" t="s">
        <v>218</v>
      </c>
      <c r="E44" s="1394" t="s">
        <v>649</v>
      </c>
      <c r="F44" s="1394" t="s">
        <v>650</v>
      </c>
      <c r="G44" s="1394" t="s">
        <v>651</v>
      </c>
      <c r="H44" s="1394" t="s">
        <v>652</v>
      </c>
      <c r="I44" s="1394" t="s">
        <v>653</v>
      </c>
      <c r="J44" s="1394" t="s">
        <v>654</v>
      </c>
      <c r="K44" s="1394" t="s">
        <v>655</v>
      </c>
      <c r="L44" s="1394" t="s">
        <v>630</v>
      </c>
      <c r="Q44" s="279"/>
      <c r="R44" s="377"/>
      <c r="S44" s="2125"/>
      <c r="T44" s="2062"/>
      <c r="U44" s="290"/>
      <c r="V44" s="1478" t="s">
        <v>693</v>
      </c>
      <c r="W44" s="1478" t="s">
        <v>694</v>
      </c>
      <c r="X44" s="1478" t="s">
        <v>693</v>
      </c>
      <c r="Y44" s="1478" t="s">
        <v>694</v>
      </c>
      <c r="Z44" s="1485" t="s">
        <v>658</v>
      </c>
      <c r="AA44" s="2121" t="s">
        <v>659</v>
      </c>
      <c r="AB44" s="2122"/>
      <c r="AC44" s="2131"/>
      <c r="AD44" s="2177"/>
      <c r="AE44" s="2178"/>
      <c r="AF44" s="2178"/>
      <c r="AG44" s="2179"/>
      <c r="AH44" s="2177"/>
      <c r="AI44" s="2178"/>
      <c r="AJ44" s="2178"/>
      <c r="AK44" s="2179"/>
      <c r="AL44" s="2177"/>
      <c r="AM44" s="2178"/>
      <c r="AN44" s="2178"/>
      <c r="AO44" s="2179"/>
      <c r="AP44" s="2177"/>
      <c r="AQ44" s="2178"/>
      <c r="AR44" s="2178"/>
      <c r="AS44" s="2179"/>
      <c r="AT44" s="1478" t="s">
        <v>693</v>
      </c>
      <c r="AU44" s="1478" t="s">
        <v>694</v>
      </c>
      <c r="AV44" s="1478" t="s">
        <v>693</v>
      </c>
      <c r="AW44" s="1478" t="s">
        <v>694</v>
      </c>
      <c r="AX44" s="1485" t="s">
        <v>658</v>
      </c>
      <c r="AY44" s="2121" t="s">
        <v>659</v>
      </c>
      <c r="AZ44" s="2122"/>
      <c r="BA44" s="2131"/>
      <c r="BB44" s="2134"/>
      <c r="BC44" s="1971"/>
    </row>
    <row s="2611" customFormat="1" customHeight="1" ht="11.25" hidden="1">
      <c r="A45" s="1400"/>
      <c r="B45" s="1400"/>
      <c r="C45" s="1400"/>
      <c r="D45" s="1400"/>
      <c r="E45" s="1400"/>
      <c r="F45" s="1400"/>
      <c r="G45" s="1400"/>
      <c r="H45" s="1400"/>
      <c r="I45" s="1400"/>
      <c r="J45" s="1400"/>
      <c r="K45" s="1400"/>
      <c r="L45" s="1394"/>
      <c r="M45" s="1392"/>
      <c r="N45" s="1392"/>
      <c r="O45" s="1392"/>
      <c r="P45" s="516"/>
      <c r="Q45" s="1280"/>
      <c r="R45" s="1280">
        <v>1</v>
      </c>
      <c r="S45" s="1307" t="s">
        <v>193</v>
      </c>
      <c r="T45" s="1281" t="s">
        <v>104</v>
      </c>
      <c r="U45" s="1263" t="str">
        <f>OFFSET(U45,0,-1)</f>
        <v>2</v>
      </c>
      <c r="V45" s="1481">
        <f>OFFSET(V45,0,-1)+1</f>
        <v>3</v>
      </c>
      <c r="W45" s="1481">
        <f>OFFSET(W45,0,-1)+1</f>
        <v>4</v>
      </c>
      <c r="X45" s="1481">
        <f>OFFSET(X45,0,-1)+1</f>
        <v>5</v>
      </c>
      <c r="Y45" s="1481">
        <f>OFFSET(Y45,0,-1)+1</f>
        <v>6</v>
      </c>
      <c r="Z45" s="1481">
        <f>OFFSET(Z45,0,-1)+1</f>
        <v>7</v>
      </c>
      <c r="AA45" s="2123">
        <f>OFFSET(AA45,0,-1)+1</f>
        <v>8</v>
      </c>
      <c r="AB45" s="2123"/>
      <c r="AC45" s="1481">
        <f>OFFSET(AC45,0,-2)+1</f>
        <v>9</v>
      </c>
      <c r="AD45" s="1481">
        <f>OFFSET(AD45,0,-1)+1</f>
        <v>10</v>
      </c>
      <c r="AE45" s="1481"/>
      <c r="AF45" s="1481"/>
      <c r="AG45" s="1481"/>
      <c r="AH45" s="1481"/>
      <c r="AI45" s="1481"/>
      <c r="AJ45" s="1481"/>
      <c r="AK45" s="1481"/>
      <c r="AL45" s="1481"/>
      <c r="AM45" s="1481"/>
      <c r="AN45" s="1481"/>
      <c r="AO45" s="1481"/>
      <c r="AP45" s="1481"/>
      <c r="AQ45" s="1481"/>
      <c r="AR45" s="1481"/>
      <c r="AS45" s="1481"/>
      <c r="AT45" s="1481"/>
      <c r="AU45" s="1481"/>
      <c r="AV45" s="1481"/>
      <c r="AW45" s="1481">
        <f>OFFSET(AW45,0,-1)+1</f>
        <v>1</v>
      </c>
      <c r="AX45" s="1481">
        <f>OFFSET(AX45,0,-1)+1</f>
        <v>2</v>
      </c>
      <c r="AY45" s="2123">
        <f>OFFSET(AY45,0,-1)+1</f>
        <v>3</v>
      </c>
      <c r="AZ45" s="2123"/>
      <c r="BA45" s="1481">
        <f>OFFSET(BA45,0,-2)+1</f>
        <v>4</v>
      </c>
      <c r="BB45" s="1263">
        <f>OFFSET(BB45,0,-1)</f>
        <v>4</v>
      </c>
      <c r="BC45" s="1481">
        <f>OFFSET(BC45,0,-1)+1</f>
        <v>5</v>
      </c>
      <c r="BD45" s="517"/>
      <c r="BE45" s="517"/>
      <c r="BF45" s="517"/>
      <c r="BG45" s="517"/>
      <c r="BH45" s="517"/>
    </row>
    <row customHeight="1" ht="21">
      <c r="A46" s="1393" t="s">
        <v>459</v>
      </c>
      <c r="B46" s="1393"/>
      <c r="C46" s="1393"/>
      <c r="D46" s="1393"/>
      <c r="E46" s="2107">
        <v>1</v>
      </c>
      <c r="F46" s="1393"/>
      <c r="G46" s="1393"/>
      <c r="H46" s="1393"/>
      <c r="I46" s="1393"/>
      <c r="J46" s="1393"/>
      <c r="K46" s="1393"/>
      <c r="L46" s="1394"/>
      <c r="M46" s="1395"/>
      <c r="N46" s="1395"/>
      <c r="O46" s="1395"/>
      <c r="P46" s="1439"/>
      <c r="Q46" s="879"/>
      <c r="R46" s="351"/>
      <c r="S46" s="1487">
        <f>INDEX(PT_DIFFERENTIATION_NUM_NTAR,MATCH(A46,PT_DIFFERENTIATION_NTAR_ID,0))</f>
        <v>0</v>
      </c>
      <c r="T46" s="286" t="s">
        <v>204</v>
      </c>
      <c r="U46" s="288"/>
      <c r="V46" s="2102"/>
      <c r="W46" s="2102"/>
      <c r="X46" s="2102"/>
      <c r="Y46" s="2102"/>
      <c r="Z46" s="2102"/>
      <c r="AA46" s="2102"/>
      <c r="AB46" s="2102"/>
      <c r="AC46" s="2103"/>
      <c r="AD46" s="2101" t="str">
        <f>INDEX(PT_DIFFERENTIATION_NTAR,MATCH(A46,PT_DIFFERENTIATION_NTAR_ID,0))</f>
        <v/>
      </c>
      <c r="AE46" s="2102"/>
      <c r="AF46" s="2102"/>
      <c r="AG46" s="2102"/>
      <c r="AH46" s="2102"/>
      <c r="AI46" s="2102"/>
      <c r="AJ46" s="2102"/>
      <c r="AK46" s="2102"/>
      <c r="AL46" s="2102"/>
      <c r="AM46" s="2102"/>
      <c r="AN46" s="2102"/>
      <c r="AO46" s="2102"/>
      <c r="AP46" s="2102"/>
      <c r="AQ46" s="2102"/>
      <c r="AR46" s="2102"/>
      <c r="AS46" s="2102"/>
      <c r="AT46" s="2102"/>
      <c r="AU46" s="2102"/>
      <c r="AV46" s="2102"/>
      <c r="AW46" s="2102"/>
      <c r="AX46" s="2102"/>
      <c r="AY46" s="2102"/>
      <c r="AZ46" s="2102"/>
      <c r="BA46" s="2102"/>
      <c r="BB46" s="2103"/>
      <c r="BC46"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506"/>
      <c r="BF46" s="506" t="str">
        <f>IF(T46="","",T46)</f>
        <v>Наименование тарифа</v>
      </c>
      <c r="BG46" s="506"/>
      <c r="BH46" s="506"/>
    </row>
    <row customHeight="1" ht="21">
      <c r="A47" s="1393" t="s">
        <v>459</v>
      </c>
      <c r="B47" s="1393" t="s">
        <v>460</v>
      </c>
      <c r="C47" s="1393"/>
      <c r="D47" s="1393"/>
      <c r="E47" s="2108"/>
      <c r="F47" s="2107">
        <v>1</v>
      </c>
      <c r="G47" s="1393"/>
      <c r="H47" s="1393"/>
      <c r="I47" s="1393"/>
      <c r="J47" s="1393"/>
      <c r="K47" s="1393"/>
      <c r="L47" s="1394"/>
      <c r="M47" s="1395"/>
      <c r="N47" s="1395"/>
      <c r="O47" s="1395"/>
      <c r="P47" s="1440"/>
      <c r="Q47" s="1441"/>
      <c r="R47" s="349"/>
      <c r="S47" s="1487" t="str">
        <f>INDEX(PT_DIFFERENTIATION_NUM_TER,MATCH(B47,PT_DIFFERENTIATION_TER_ID,0))</f>
        <v>.</v>
      </c>
      <c r="T47" s="298" t="s">
        <v>612</v>
      </c>
      <c r="U47" s="288"/>
      <c r="V47" s="2102"/>
      <c r="W47" s="2102"/>
      <c r="X47" s="2102"/>
      <c r="Y47" s="2102"/>
      <c r="Z47" s="2102"/>
      <c r="AA47" s="2102"/>
      <c r="AB47" s="2102"/>
      <c r="AC47" s="2103"/>
      <c r="AD47" s="2101" t="str">
        <f>INDEX(PT_DIFFERENTIATION_TER,MATCH(B47,PT_DIFFERENTIATION_TER_ID,0))</f>
        <v/>
      </c>
      <c r="AE47" s="2102"/>
      <c r="AF47" s="2102"/>
      <c r="AG47" s="2102"/>
      <c r="AH47" s="2102"/>
      <c r="AI47" s="2102"/>
      <c r="AJ47" s="2102"/>
      <c r="AK47" s="2102"/>
      <c r="AL47" s="2102"/>
      <c r="AM47" s="2102"/>
      <c r="AN47" s="2102"/>
      <c r="AO47" s="2102"/>
      <c r="AP47" s="2102"/>
      <c r="AQ47" s="2102"/>
      <c r="AR47" s="2102"/>
      <c r="AS47" s="2102"/>
      <c r="AT47" s="2102"/>
      <c r="AU47" s="2102"/>
      <c r="AV47" s="2102"/>
      <c r="AW47" s="2102"/>
      <c r="AX47" s="2102"/>
      <c r="AY47" s="2102"/>
      <c r="AZ47" s="2102"/>
      <c r="BA47" s="2102"/>
      <c r="BB47" s="2103"/>
      <c r="BC47" s="1286" t="s">
        <v>613</v>
      </c>
      <c r="BE47" s="506"/>
      <c r="BF47" s="506" t="str">
        <f>IF(T47="","",T47)</f>
        <v>Территория действия тарифа</v>
      </c>
      <c r="BG47" s="506"/>
      <c r="BH47" s="506"/>
    </row>
    <row customHeight="1" ht="42">
      <c r="A48" s="1393" t="s">
        <v>459</v>
      </c>
      <c r="B48" s="1393" t="s">
        <v>460</v>
      </c>
      <c r="C48" s="1393" t="s">
        <v>461</v>
      </c>
      <c r="D48" s="1393"/>
      <c r="E48" s="2108"/>
      <c r="F48" s="2108"/>
      <c r="G48" s="2107">
        <v>1</v>
      </c>
      <c r="H48" s="1393"/>
      <c r="I48" s="1393"/>
      <c r="J48" s="1393"/>
      <c r="K48" s="1393"/>
      <c r="L48" s="1394"/>
      <c r="M48" s="1395"/>
      <c r="N48" s="1395"/>
      <c r="O48" s="1395"/>
      <c r="P48" s="1442"/>
      <c r="Q48" s="1441"/>
      <c r="R48" s="349"/>
      <c r="S48" s="1487" t="str">
        <f>INDEX(PT_DIFFERENTIATION_NUM_CS,MATCH(C48,PT_DIFFERENTIATION_CS_ID,0))</f>
        <v>..</v>
      </c>
      <c r="T48" s="299" t="s">
        <v>696</v>
      </c>
      <c r="U48" s="288"/>
      <c r="V48" s="2102"/>
      <c r="W48" s="2102"/>
      <c r="X48" s="2102"/>
      <c r="Y48" s="2102"/>
      <c r="Z48" s="2102"/>
      <c r="AA48" s="2102"/>
      <c r="AB48" s="2102"/>
      <c r="AC48" s="2103"/>
      <c r="AD48" s="2101" t="str">
        <f>INDEX(PT_DIFFERENTIATION_CS,MATCH(C48,PT_DIFFERENTIATION_CS_ID,0))</f>
        <v/>
      </c>
      <c r="AE48" s="2102"/>
      <c r="AF48" s="2102"/>
      <c r="AG48" s="2102"/>
      <c r="AH48" s="2102"/>
      <c r="AI48" s="2102"/>
      <c r="AJ48" s="2102"/>
      <c r="AK48" s="2102"/>
      <c r="AL48" s="2102"/>
      <c r="AM48" s="2102"/>
      <c r="AN48" s="2102"/>
      <c r="AO48" s="2102"/>
      <c r="AP48" s="2102"/>
      <c r="AQ48" s="2102"/>
      <c r="AR48" s="2102"/>
      <c r="AS48" s="2102"/>
      <c r="AT48" s="2102"/>
      <c r="AU48" s="2102"/>
      <c r="AV48" s="2102"/>
      <c r="AW48" s="2102"/>
      <c r="AX48" s="2102"/>
      <c r="AY48" s="2102"/>
      <c r="AZ48" s="2102"/>
      <c r="BA48" s="2102"/>
      <c r="BB48" s="2103"/>
      <c r="BC48" s="1286" t="s">
        <v>697</v>
      </c>
      <c r="BE48" s="506"/>
      <c r="BF48" s="506" t="str">
        <f>IF(T48="","",T48)</f>
        <v>Наименование централизованной системы холодного водоснабжения</v>
      </c>
      <c r="BG48" s="506"/>
      <c r="BH48" s="506"/>
    </row>
    <row s="2612" customFormat="1" customHeight="1" ht="0">
      <c r="A49" s="1373" t="s">
        <v>459</v>
      </c>
      <c r="B49" s="1373" t="s">
        <v>460</v>
      </c>
      <c r="C49" s="1373" t="s">
        <v>461</v>
      </c>
      <c r="D49" s="1373" t="s">
        <v>728</v>
      </c>
      <c r="E49" s="2108"/>
      <c r="F49" s="2108"/>
      <c r="G49" s="2108"/>
      <c r="H49" s="2107">
        <v>1</v>
      </c>
      <c r="I49" s="1373"/>
      <c r="J49" s="1373"/>
      <c r="K49" s="1373"/>
      <c r="L49" s="1376"/>
      <c r="M49" s="1345"/>
      <c r="N49" s="1345"/>
      <c r="O49" s="1345"/>
      <c r="P49" s="1527"/>
      <c r="Q49" s="1528"/>
      <c r="R49" s="353"/>
      <c r="S49" s="1049"/>
      <c r="T49" s="1529"/>
      <c r="U49" s="1414"/>
      <c r="V49" s="2148"/>
      <c r="W49" s="2148"/>
      <c r="X49" s="2148"/>
      <c r="Y49" s="2148"/>
      <c r="Z49" s="2148"/>
      <c r="AA49" s="2148"/>
      <c r="AB49" s="2148"/>
      <c r="AC49" s="2149"/>
      <c r="AD49" s="2147"/>
      <c r="AE49" s="2148"/>
      <c r="AF49" s="2148"/>
      <c r="AG49" s="2148"/>
      <c r="AH49" s="2148"/>
      <c r="AI49" s="2148"/>
      <c r="AJ49" s="2148"/>
      <c r="AK49" s="2148"/>
      <c r="AL49" s="2148"/>
      <c r="AM49" s="2148"/>
      <c r="AN49" s="2148"/>
      <c r="AO49" s="2148"/>
      <c r="AP49" s="2148"/>
      <c r="AQ49" s="2148"/>
      <c r="AR49" s="2148"/>
      <c r="AS49" s="2148"/>
      <c r="AT49" s="2148"/>
      <c r="AU49" s="2148"/>
      <c r="AV49" s="2148"/>
      <c r="AW49" s="2148"/>
      <c r="AX49" s="2148"/>
      <c r="AY49" s="2148"/>
      <c r="AZ49" s="2148"/>
      <c r="BA49" s="2148"/>
      <c r="BB49" s="2149"/>
      <c r="BC49" s="1415" t="s">
        <v>617</v>
      </c>
      <c r="BE49" s="506"/>
      <c r="BF49" s="506" t="str">
        <f>IF(T49="","",T49)</f>
        <v/>
      </c>
      <c r="BG49" s="506"/>
      <c r="BH49" s="506"/>
    </row>
    <row s="2612" customFormat="1" customHeight="1" ht="0">
      <c r="A50" s="1373" t="s">
        <v>459</v>
      </c>
      <c r="B50" s="1373" t="s">
        <v>460</v>
      </c>
      <c r="C50" s="1373" t="s">
        <v>461</v>
      </c>
      <c r="D50" s="1373" t="s">
        <v>728</v>
      </c>
      <c r="E50" s="2108"/>
      <c r="F50" s="2108"/>
      <c r="G50" s="2108"/>
      <c r="H50" s="2108"/>
      <c r="I50" s="2109" t="str">
        <f>S49&amp;".1"</f>
        <v>.1</v>
      </c>
      <c r="J50" s="1373"/>
      <c r="K50" s="1373"/>
      <c r="L50" s="1376" t="s">
        <v>618</v>
      </c>
      <c r="M50" s="516"/>
      <c r="N50" s="516"/>
      <c r="O50" s="516"/>
      <c r="P50" s="2111">
        <v>1</v>
      </c>
      <c r="Q50" s="1492"/>
      <c r="R50" s="352"/>
      <c r="S50" s="1049"/>
      <c r="T50" s="1413"/>
      <c r="U50" s="1414"/>
      <c r="V50" s="2148"/>
      <c r="W50" s="2148"/>
      <c r="X50" s="2148"/>
      <c r="Y50" s="2148"/>
      <c r="Z50" s="2148"/>
      <c r="AA50" s="2148"/>
      <c r="AB50" s="2148"/>
      <c r="AC50" s="2149"/>
      <c r="AD50" s="2147"/>
      <c r="AE50" s="2148"/>
      <c r="AF50" s="2148"/>
      <c r="AG50" s="2148"/>
      <c r="AH50" s="2148"/>
      <c r="AI50" s="2148"/>
      <c r="AJ50" s="2148"/>
      <c r="AK50" s="2148"/>
      <c r="AL50" s="2148"/>
      <c r="AM50" s="2148"/>
      <c r="AN50" s="2148"/>
      <c r="AO50" s="2148"/>
      <c r="AP50" s="2148"/>
      <c r="AQ50" s="2148"/>
      <c r="AR50" s="2148"/>
      <c r="AS50" s="2148"/>
      <c r="AT50" s="2148"/>
      <c r="AU50" s="2148"/>
      <c r="AV50" s="2148"/>
      <c r="AW50" s="2148"/>
      <c r="AX50" s="2148"/>
      <c r="AY50" s="2148"/>
      <c r="AZ50" s="2148"/>
      <c r="BA50" s="2148"/>
      <c r="BB50" s="2149"/>
      <c r="BC50" s="1415"/>
      <c r="BE50" s="506"/>
      <c r="BF50" s="506" t="str">
        <f>IF(T50="","",T50)</f>
        <v/>
      </c>
      <c r="BG50" s="506"/>
      <c r="BH50" s="506"/>
    </row>
    <row s="2612" customFormat="1" customHeight="1" ht="0">
      <c r="A51" s="1373" t="s">
        <v>459</v>
      </c>
      <c r="B51" s="1373" t="s">
        <v>460</v>
      </c>
      <c r="C51" s="1373" t="s">
        <v>461</v>
      </c>
      <c r="D51" s="1373" t="s">
        <v>728</v>
      </c>
      <c r="E51" s="2108"/>
      <c r="F51" s="2108"/>
      <c r="G51" s="2108"/>
      <c r="H51" s="2108"/>
      <c r="I51" s="2110"/>
      <c r="J51" s="2109" t="str">
        <f>S49&amp;".1"</f>
        <v>.1</v>
      </c>
      <c r="K51" s="1373"/>
      <c r="L51" s="1376"/>
      <c r="M51" s="516"/>
      <c r="N51" s="516"/>
      <c r="O51" s="516"/>
      <c r="P51" s="2111"/>
      <c r="Q51" s="2111">
        <v>1</v>
      </c>
      <c r="R51" s="353"/>
      <c r="S51" s="1049"/>
      <c r="T51" s="1429"/>
      <c r="U51" s="1414"/>
      <c r="V51" s="2148"/>
      <c r="W51" s="2148"/>
      <c r="X51" s="2148"/>
      <c r="Y51" s="2148"/>
      <c r="Z51" s="2148"/>
      <c r="AA51" s="2148"/>
      <c r="AB51" s="2148"/>
      <c r="AC51" s="2149"/>
      <c r="AD51" s="2147"/>
      <c r="AE51" s="2148"/>
      <c r="AF51" s="2148"/>
      <c r="AG51" s="2148"/>
      <c r="AH51" s="2148"/>
      <c r="AI51" s="2148"/>
      <c r="AJ51" s="2148"/>
      <c r="AK51" s="2148"/>
      <c r="AL51" s="2148"/>
      <c r="AM51" s="2148"/>
      <c r="AN51" s="2209"/>
      <c r="AO51" s="2209"/>
      <c r="AP51" s="2148"/>
      <c r="AQ51" s="2148"/>
      <c r="AR51" s="2148"/>
      <c r="AS51" s="2148"/>
      <c r="AT51" s="2148"/>
      <c r="AU51" s="2148"/>
      <c r="AV51" s="2148"/>
      <c r="AW51" s="2148"/>
      <c r="AX51" s="2148"/>
      <c r="AY51" s="2148"/>
      <c r="AZ51" s="2148"/>
      <c r="BA51" s="2148"/>
      <c r="BB51" s="2149"/>
      <c r="BC51" s="1415"/>
      <c r="BE51" s="506"/>
      <c r="BF51" s="506" t="str">
        <f>IF(T51="","",T51)</f>
        <v/>
      </c>
      <c r="BG51" s="506"/>
      <c r="BH51" s="506"/>
    </row>
    <row customHeight="1" ht="11.25">
      <c r="A52" s="1393" t="s">
        <v>459</v>
      </c>
      <c r="B52" s="1393" t="s">
        <v>460</v>
      </c>
      <c r="C52" s="1393" t="s">
        <v>461</v>
      </c>
      <c r="D52" s="1393" t="s">
        <v>728</v>
      </c>
      <c r="E52" s="2108"/>
      <c r="F52" s="2108"/>
      <c r="G52" s="2108"/>
      <c r="H52" s="2108"/>
      <c r="I52" s="2110"/>
      <c r="J52" s="2110"/>
      <c r="K52" s="2109" t="str">
        <f>S48&amp;".1"</f>
        <v>...1</v>
      </c>
      <c r="L52" s="1394"/>
      <c r="P52" s="2111"/>
      <c r="Q52" s="2111"/>
      <c r="R52" s="353">
        <v>1</v>
      </c>
      <c r="S52" s="2184" t="str">
        <f>$K52</f>
        <v>...1</v>
      </c>
      <c r="T52" s="2203"/>
      <c r="U52" s="288"/>
      <c r="V52" s="757"/>
      <c r="W52" s="1285"/>
      <c r="X52" s="757"/>
      <c r="Y52" s="1285"/>
      <c r="Z52" s="1774"/>
      <c r="AA52" s="1489" t="s">
        <v>63</v>
      </c>
      <c r="AB52" s="1774"/>
      <c r="AC52" s="1489" t="s">
        <v>63</v>
      </c>
      <c r="AD52" s="2044" t="s">
        <v>63</v>
      </c>
      <c r="AE52" s="2180"/>
      <c r="AF52" s="2057">
        <v>1</v>
      </c>
      <c r="AG52" s="2202"/>
      <c r="AH52" s="1981" t="s">
        <v>63</v>
      </c>
      <c r="AI52" s="2180"/>
      <c r="AJ52" s="2057">
        <v>1</v>
      </c>
      <c r="AK52" s="2201" t="s">
        <v>24</v>
      </c>
      <c r="AL52" s="1981" t="s">
        <v>63</v>
      </c>
      <c r="AM52" s="2029"/>
      <c r="AN52" s="2057">
        <v>1</v>
      </c>
      <c r="AO52" s="2206"/>
      <c r="AP52" s="2207" t="s">
        <v>63</v>
      </c>
      <c r="AQ52" s="301"/>
      <c r="AR52" s="1493">
        <v>1</v>
      </c>
      <c r="AS52" s="1496" t="s">
        <v>24</v>
      </c>
      <c r="AT52" s="757"/>
      <c r="AU52" s="1285"/>
      <c r="AV52" s="757"/>
      <c r="AW52" s="1285"/>
      <c r="AX52" s="1774"/>
      <c r="AY52" s="1489" t="s">
        <v>63</v>
      </c>
      <c r="AZ52" s="1774"/>
      <c r="BA52" s="1489" t="s">
        <v>63</v>
      </c>
      <c r="BB52" s="1378"/>
      <c r="BC52" s="2137" t="s">
        <v>714</v>
      </c>
      <c r="BE52" s="506"/>
      <c r="BF52" s="506" t="str">
        <f>IF(T52="","",T52)</f>
        <v/>
      </c>
      <c r="BG52" s="506"/>
      <c r="BH52" s="506"/>
    </row>
    <row customHeight="1" ht="11.25">
      <c r="A53" s="1393"/>
      <c r="B53" s="1393"/>
      <c r="C53" s="1393"/>
      <c r="D53" s="1393"/>
      <c r="E53" s="2108"/>
      <c r="F53" s="2108"/>
      <c r="G53" s="2108"/>
      <c r="H53" s="2108"/>
      <c r="I53" s="2110"/>
      <c r="J53" s="2110"/>
      <c r="K53" s="2109"/>
      <c r="L53" s="1394"/>
      <c r="P53" s="2111"/>
      <c r="Q53" s="2111"/>
      <c r="R53" s="353"/>
      <c r="S53" s="2185"/>
      <c r="T53" s="2204"/>
      <c r="U53" s="288"/>
      <c r="V53" s="1423"/>
      <c r="W53" s="1526"/>
      <c r="X53" s="1423"/>
      <c r="Y53" s="1526"/>
      <c r="Z53" s="1423"/>
      <c r="AA53" s="1423"/>
      <c r="AB53" s="1423"/>
      <c r="AC53" s="1423"/>
      <c r="AD53" s="2045"/>
      <c r="AE53" s="2180"/>
      <c r="AF53" s="2057"/>
      <c r="AG53" s="2202"/>
      <c r="AH53" s="1981"/>
      <c r="AI53" s="2180"/>
      <c r="AJ53" s="2057"/>
      <c r="AK53" s="2201"/>
      <c r="AL53" s="1981"/>
      <c r="AM53" s="2037"/>
      <c r="AN53" s="2057"/>
      <c r="AO53" s="2206"/>
      <c r="AP53" s="2208"/>
      <c r="AQ53" s="308"/>
      <c r="AR53" s="422"/>
      <c r="AS53" s="422" t="s">
        <v>715</v>
      </c>
      <c r="AT53" s="1423"/>
      <c r="AU53" s="1526"/>
      <c r="AV53" s="1423"/>
      <c r="AW53" s="1526"/>
      <c r="AX53" s="1423"/>
      <c r="AY53" s="1423"/>
      <c r="AZ53" s="1423"/>
      <c r="BA53" s="1423"/>
      <c r="BB53" s="1427"/>
      <c r="BC53" s="2138"/>
      <c r="BE53" s="506"/>
      <c r="BF53" s="506"/>
      <c r="BG53" s="506"/>
      <c r="BH53" s="506"/>
    </row>
    <row customHeight="1" ht="11.25">
      <c r="A54" s="1393" t="s">
        <v>459</v>
      </c>
      <c r="B54" s="1393"/>
      <c r="C54" s="1393"/>
      <c r="D54" s="1393"/>
      <c r="E54" s="2108"/>
      <c r="F54" s="2108"/>
      <c r="G54" s="2108"/>
      <c r="H54" s="2108"/>
      <c r="I54" s="2110"/>
      <c r="J54" s="2110"/>
      <c r="K54" s="2109"/>
      <c r="L54" s="1394"/>
      <c r="P54" s="2111"/>
      <c r="Q54" s="2111"/>
      <c r="R54" s="353"/>
      <c r="S54" s="2185"/>
      <c r="T54" s="2204"/>
      <c r="U54" s="288"/>
      <c r="V54" s="1423"/>
      <c r="W54" s="1526"/>
      <c r="X54" s="1423"/>
      <c r="Y54" s="1526"/>
      <c r="Z54" s="1423"/>
      <c r="AA54" s="1423"/>
      <c r="AB54" s="1423"/>
      <c r="AC54" s="1423"/>
      <c r="AD54" s="2045"/>
      <c r="AE54" s="2180"/>
      <c r="AF54" s="2057"/>
      <c r="AG54" s="2202"/>
      <c r="AH54" s="1981"/>
      <c r="AI54" s="2180"/>
      <c r="AJ54" s="2057"/>
      <c r="AK54" s="2201"/>
      <c r="AL54" s="1981"/>
      <c r="AM54" s="308"/>
      <c r="AN54" s="1530"/>
      <c r="AO54" s="1530" t="s">
        <v>716</v>
      </c>
      <c r="AP54" s="422"/>
      <c r="AQ54" s="422"/>
      <c r="AR54" s="422"/>
      <c r="AS54" s="1423"/>
      <c r="AT54" s="1423"/>
      <c r="AU54" s="1526"/>
      <c r="AV54" s="1423"/>
      <c r="AW54" s="1526"/>
      <c r="AX54" s="1423"/>
      <c r="AY54" s="1423"/>
      <c r="AZ54" s="1423"/>
      <c r="BA54" s="1423"/>
      <c r="BB54" s="1427"/>
      <c r="BC54" s="2138"/>
      <c r="BE54" s="506"/>
      <c r="BF54" s="506"/>
      <c r="BG54" s="506"/>
      <c r="BH54" s="506"/>
    </row>
    <row customHeight="1" ht="11.25">
      <c r="A55" s="1393" t="s">
        <v>459</v>
      </c>
      <c r="B55" s="1393"/>
      <c r="C55" s="1393"/>
      <c r="D55" s="1393"/>
      <c r="E55" s="2108"/>
      <c r="F55" s="2108"/>
      <c r="G55" s="2108"/>
      <c r="H55" s="2108"/>
      <c r="I55" s="2110"/>
      <c r="J55" s="2110"/>
      <c r="K55" s="2109"/>
      <c r="L55" s="1394"/>
      <c r="P55" s="2111"/>
      <c r="Q55" s="2111"/>
      <c r="R55" s="353"/>
      <c r="S55" s="2185"/>
      <c r="T55" s="2204"/>
      <c r="U55" s="288"/>
      <c r="V55" s="1423"/>
      <c r="W55" s="1526"/>
      <c r="X55" s="1423"/>
      <c r="Y55" s="1526"/>
      <c r="Z55" s="1423"/>
      <c r="AA55" s="1423"/>
      <c r="AB55" s="1423"/>
      <c r="AC55" s="1423"/>
      <c r="AD55" s="2045"/>
      <c r="AE55" s="2180"/>
      <c r="AF55" s="2057"/>
      <c r="AG55" s="2202"/>
      <c r="AH55" s="1981"/>
      <c r="AI55" s="282"/>
      <c r="AJ55" s="421"/>
      <c r="AK55" s="303" t="s">
        <v>717</v>
      </c>
      <c r="AL55" s="1423"/>
      <c r="AM55" s="1423"/>
      <c r="AN55" s="1423"/>
      <c r="AO55" s="1423"/>
      <c r="AP55" s="1423"/>
      <c r="AQ55" s="1423"/>
      <c r="AR55" s="1423"/>
      <c r="AS55" s="1423"/>
      <c r="AT55" s="1423"/>
      <c r="AU55" s="1526"/>
      <c r="AV55" s="1423"/>
      <c r="AW55" s="1526"/>
      <c r="AX55" s="1423"/>
      <c r="AY55" s="1423"/>
      <c r="AZ55" s="1423"/>
      <c r="BA55" s="1423"/>
      <c r="BB55" s="1427"/>
      <c r="BC55" s="2138"/>
      <c r="BE55" s="506"/>
      <c r="BF55" s="506"/>
      <c r="BG55" s="506"/>
      <c r="BH55" s="506"/>
    </row>
    <row customHeight="1" ht="11.25">
      <c r="A56" s="1393" t="s">
        <v>459</v>
      </c>
      <c r="B56" s="1393" t="s">
        <v>460</v>
      </c>
      <c r="C56" s="1393" t="s">
        <v>461</v>
      </c>
      <c r="D56" s="1393" t="s">
        <v>728</v>
      </c>
      <c r="E56" s="2108"/>
      <c r="F56" s="2108"/>
      <c r="G56" s="2108"/>
      <c r="H56" s="2108"/>
      <c r="I56" s="2110"/>
      <c r="J56" s="2110"/>
      <c r="K56" s="2109"/>
      <c r="L56" s="1394"/>
      <c r="P56" s="2111"/>
      <c r="Q56" s="2111"/>
      <c r="R56" s="353"/>
      <c r="S56" s="2186"/>
      <c r="T56" s="2205"/>
      <c r="U56" s="288"/>
      <c r="V56" s="1423"/>
      <c r="W56" s="1424" t="str">
        <f>Z52&amp;"-"&amp;AB52</f>
        <v>-</v>
      </c>
      <c r="X56" s="1423"/>
      <c r="Y56" s="1424" t="str">
        <f>AB52&amp;"-"&amp;AD52</f>
        <v>-да</v>
      </c>
      <c r="Z56" s="1423"/>
      <c r="AA56" s="1423"/>
      <c r="AB56" s="1423"/>
      <c r="AC56" s="1423"/>
      <c r="AD56" s="1986"/>
      <c r="AE56" s="302"/>
      <c r="AF56" s="304"/>
      <c r="AG56" s="422" t="s">
        <v>718</v>
      </c>
      <c r="AH56" s="1423"/>
      <c r="AI56" s="1423"/>
      <c r="AJ56" s="1423"/>
      <c r="AK56" s="1423"/>
      <c r="AL56" s="1423"/>
      <c r="AM56" s="1423"/>
      <c r="AN56" s="1423"/>
      <c r="AO56" s="1423"/>
      <c r="AP56" s="1423"/>
      <c r="AQ56" s="1423"/>
      <c r="AR56" s="1423"/>
      <c r="AS56" s="1423"/>
      <c r="AT56" s="1423"/>
      <c r="AU56" s="1424" t="str">
        <f>AX52&amp;"-"&amp;AZ52</f>
        <v>-</v>
      </c>
      <c r="AV56" s="1423"/>
      <c r="AW56" s="1424" t="str">
        <f>AZ52&amp;"-"&amp;BB52</f>
        <v>-</v>
      </c>
      <c r="AX56" s="1423"/>
      <c r="AY56" s="1423"/>
      <c r="AZ56" s="1423"/>
      <c r="BA56" s="1423"/>
      <c r="BB56" s="1426" t="str">
        <f>BE52&amp;"-"&amp;BG52</f>
        <v>-</v>
      </c>
      <c r="BC56" s="2138"/>
      <c r="BE56" s="506"/>
      <c r="BF56" s="506" t="str">
        <f>IF(T56="","",T56)</f>
        <v/>
      </c>
      <c r="BG56" s="506"/>
      <c r="BH56" s="506"/>
    </row>
    <row customHeight="1" ht="11.25">
      <c r="A57" s="1393" t="s">
        <v>459</v>
      </c>
      <c r="B57" s="1393" t="s">
        <v>460</v>
      </c>
      <c r="C57" s="1393" t="s">
        <v>461</v>
      </c>
      <c r="D57" s="1393" t="s">
        <v>728</v>
      </c>
      <c r="E57" s="2108"/>
      <c r="F57" s="2108"/>
      <c r="G57" s="2108"/>
      <c r="H57" s="2108"/>
      <c r="I57" s="2110"/>
      <c r="J57" s="2109"/>
      <c r="K57" s="1393"/>
      <c r="L57" s="1394"/>
      <c r="P57" s="2111"/>
      <c r="Q57" s="2111"/>
      <c r="R57" s="352"/>
      <c r="S57" s="1308"/>
      <c r="T57" s="275" t="s">
        <v>682</v>
      </c>
      <c r="U57" s="367"/>
      <c r="V57" s="367"/>
      <c r="W57" s="367"/>
      <c r="X57" s="367"/>
      <c r="Y57" s="367"/>
      <c r="Z57" s="367"/>
      <c r="AA57" s="367"/>
      <c r="AB57" s="367"/>
      <c r="AC57" s="319"/>
      <c r="AD57" s="1535"/>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19"/>
      <c r="BC57" s="2139"/>
      <c r="BE57" s="506"/>
      <c r="BF57" s="506" t="str">
        <f>IF(T57="","",T57)</f>
        <v>Добавить строку</v>
      </c>
      <c r="BG57" s="506"/>
      <c r="BH57" s="506"/>
    </row>
    <row s="2612" customFormat="1" customHeight="1" ht="0">
      <c r="A58" s="1373" t="s">
        <v>459</v>
      </c>
      <c r="B58" s="1373" t="s">
        <v>460</v>
      </c>
      <c r="C58" s="1373" t="s">
        <v>461</v>
      </c>
      <c r="D58" s="1373" t="s">
        <v>728</v>
      </c>
      <c r="E58" s="2108"/>
      <c r="F58" s="2108"/>
      <c r="G58" s="2108"/>
      <c r="H58" s="2108"/>
      <c r="I58" s="2109"/>
      <c r="J58" s="1373"/>
      <c r="K58" s="1373"/>
      <c r="L58" s="1376"/>
      <c r="M58" s="516"/>
      <c r="N58" s="516"/>
      <c r="O58" s="516"/>
      <c r="P58" s="2111"/>
      <c r="Q58" s="1492"/>
      <c r="R58" s="352"/>
      <c r="S58" s="1416"/>
      <c r="T58" s="1417"/>
      <c r="U58" s="1418"/>
      <c r="V58" s="1418"/>
      <c r="W58" s="1418"/>
      <c r="X58" s="1418"/>
      <c r="Y58" s="1418"/>
      <c r="Z58" s="1418"/>
      <c r="AA58" s="1418"/>
      <c r="AB58" s="1418"/>
      <c r="AC58" s="1418"/>
      <c r="AD58" s="1418"/>
      <c r="AE58" s="1418"/>
      <c r="AF58" s="1418"/>
      <c r="AG58" s="1418"/>
      <c r="AH58" s="1418"/>
      <c r="AI58" s="1418"/>
      <c r="AJ58" s="1418"/>
      <c r="AK58" s="1418"/>
      <c r="AL58" s="1418"/>
      <c r="AM58" s="1418"/>
      <c r="AN58" s="1418"/>
      <c r="AO58" s="1418"/>
      <c r="AP58" s="1418"/>
      <c r="AQ58" s="1418"/>
      <c r="AR58" s="1418"/>
      <c r="AS58" s="1418"/>
      <c r="AT58" s="1418"/>
      <c r="AU58" s="1418"/>
      <c r="AV58" s="1418"/>
      <c r="AW58" s="1418"/>
      <c r="AX58" s="1418"/>
      <c r="AY58" s="1418"/>
      <c r="AZ58" s="1418"/>
      <c r="BA58" s="1418"/>
      <c r="BB58" s="1418"/>
      <c r="BC58" s="1419"/>
      <c r="BE58" s="506"/>
      <c r="BF58" s="506" t="str">
        <f>IF(T58="","",T58)</f>
        <v/>
      </c>
      <c r="BG58" s="506"/>
      <c r="BH58" s="506"/>
    </row>
    <row s="2612" customFormat="1" customHeight="1" ht="0">
      <c r="A59" s="1373" t="s">
        <v>459</v>
      </c>
      <c r="B59" s="1373" t="s">
        <v>460</v>
      </c>
      <c r="C59" s="1373" t="s">
        <v>461</v>
      </c>
      <c r="D59" s="1373" t="s">
        <v>728</v>
      </c>
      <c r="E59" s="2108"/>
      <c r="F59" s="2108"/>
      <c r="G59" s="2108"/>
      <c r="H59" s="2107"/>
      <c r="I59" s="1373"/>
      <c r="J59" s="1373"/>
      <c r="K59" s="1373"/>
      <c r="L59" s="1376"/>
      <c r="M59" s="1345"/>
      <c r="N59" s="1345"/>
      <c r="O59" s="524"/>
      <c r="P59" s="385"/>
      <c r="Q59" s="1374"/>
      <c r="R59" s="1431"/>
      <c r="S59" s="1416"/>
      <c r="T59" s="1417"/>
      <c r="U59" s="1418"/>
      <c r="V59" s="1418"/>
      <c r="W59" s="1418"/>
      <c r="X59" s="1418"/>
      <c r="Y59" s="1418"/>
      <c r="Z59" s="1418"/>
      <c r="AA59" s="1418"/>
      <c r="AB59" s="1418"/>
      <c r="AC59" s="1418"/>
      <c r="AD59" s="1418"/>
      <c r="AE59" s="1418"/>
      <c r="AF59" s="1418"/>
      <c r="AG59" s="1418"/>
      <c r="AH59" s="1418"/>
      <c r="AI59" s="1418"/>
      <c r="AJ59" s="1418"/>
      <c r="AK59" s="1418"/>
      <c r="AL59" s="1418"/>
      <c r="AM59" s="1418"/>
      <c r="AN59" s="1418"/>
      <c r="AO59" s="1418"/>
      <c r="AP59" s="1418"/>
      <c r="AQ59" s="1418"/>
      <c r="AR59" s="1418"/>
      <c r="AS59" s="1418"/>
      <c r="AT59" s="1418"/>
      <c r="AU59" s="1418"/>
      <c r="AV59" s="1418"/>
      <c r="AW59" s="1418"/>
      <c r="AX59" s="1418"/>
      <c r="AY59" s="1418"/>
      <c r="AZ59" s="1418"/>
      <c r="BA59" s="1418"/>
      <c r="BB59" s="1418"/>
      <c r="BC59" s="1419"/>
      <c r="BE59" s="506"/>
      <c r="BF59" s="506" t="str">
        <f>IF(T59="","",T59)</f>
        <v/>
      </c>
      <c r="BG59" s="506"/>
      <c r="BH59" s="506"/>
    </row>
    <row s="3314" customFormat="1" customHeight="1" ht="0">
      <c r="A60" s="1373" t="s">
        <v>459</v>
      </c>
      <c r="B60" s="1373" t="s">
        <v>460</v>
      </c>
      <c r="C60" s="1373" t="s">
        <v>461</v>
      </c>
      <c r="D60" s="1344"/>
      <c r="E60" s="2108"/>
      <c r="F60" s="2108"/>
      <c r="G60" s="2107"/>
      <c r="H60" s="1344"/>
      <c r="I60" s="1344"/>
      <c r="J60" s="1344"/>
      <c r="K60" s="1344"/>
      <c r="L60" s="1494"/>
      <c r="M60" s="1345"/>
      <c r="N60" s="1345"/>
      <c r="P60" s="1346"/>
      <c r="Q60" s="1347"/>
      <c r="R60" s="1346"/>
      <c r="S60" s="1352"/>
      <c r="T60" s="1355"/>
      <c r="U60" s="1354"/>
      <c r="V60" s="1354"/>
      <c r="W60" s="1354"/>
      <c r="X60" s="1354"/>
      <c r="Y60" s="1354"/>
      <c r="Z60" s="1354"/>
      <c r="AA60" s="1354"/>
      <c r="AB60" s="1354"/>
      <c r="AC60" s="1354"/>
      <c r="AD60" s="1354"/>
      <c r="AE60" s="1354"/>
      <c r="AF60" s="1354"/>
      <c r="AG60" s="1354"/>
      <c r="AH60" s="1354"/>
      <c r="AI60" s="1354"/>
      <c r="AJ60" s="1354"/>
      <c r="AK60" s="1354"/>
      <c r="AL60" s="1354"/>
      <c r="AM60" s="1354"/>
      <c r="AN60" s="1354"/>
      <c r="AO60" s="1354"/>
      <c r="AP60" s="1354"/>
      <c r="AQ60" s="1354"/>
      <c r="AR60" s="1354"/>
      <c r="AS60" s="1354"/>
      <c r="AT60" s="1354"/>
      <c r="AU60" s="1354"/>
      <c r="AV60" s="1354"/>
      <c r="AW60" s="1354"/>
      <c r="AX60" s="1354"/>
      <c r="AY60" s="1354"/>
      <c r="AZ60" s="1354"/>
      <c r="BA60" s="1354"/>
      <c r="BB60" s="1354"/>
      <c r="BC60" s="1354"/>
      <c r="BE60" s="795"/>
      <c r="BF60" s="795" t="str">
        <f>IF(T60="","",T60)</f>
        <v/>
      </c>
      <c r="BG60" s="795"/>
      <c r="BH60" s="795"/>
    </row>
    <row s="3314" customFormat="1" customHeight="1" ht="0">
      <c r="A61" s="1373" t="s">
        <v>459</v>
      </c>
      <c r="B61" s="1373" t="s">
        <v>460</v>
      </c>
      <c r="C61" s="1344"/>
      <c r="D61" s="1344"/>
      <c r="E61" s="2108"/>
      <c r="F61" s="2107"/>
      <c r="G61" s="1344"/>
      <c r="H61" s="1344"/>
      <c r="I61" s="1344"/>
      <c r="J61" s="1344"/>
      <c r="K61" s="1344"/>
      <c r="L61" s="1494"/>
      <c r="M61" s="1351"/>
      <c r="N61" s="1351"/>
      <c r="P61" s="1346"/>
      <c r="Q61" s="1347"/>
      <c r="R61" s="1346"/>
      <c r="S61" s="1352"/>
      <c r="T61" s="1355" t="s">
        <v>255</v>
      </c>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E61" s="795"/>
      <c r="BF61" s="795" t="str">
        <f>IF(T61="","",T61)</f>
        <v>Добавить централизованную систему для дифференциации</v>
      </c>
      <c r="BG61" s="795"/>
      <c r="BH61" s="795"/>
    </row>
    <row s="2612" customFormat="1" customHeight="1" ht="0">
      <c r="A62" s="1373" t="s">
        <v>459</v>
      </c>
      <c r="B62" s="1373"/>
      <c r="C62" s="1373"/>
      <c r="D62" s="1373"/>
      <c r="E62" s="2107"/>
      <c r="F62" s="1373"/>
      <c r="G62" s="1373"/>
      <c r="H62" s="1373"/>
      <c r="I62" s="1373"/>
      <c r="J62" s="1373"/>
      <c r="K62" s="1373"/>
      <c r="L62" s="1376"/>
      <c r="M62" s="1351"/>
      <c r="N62" s="1351"/>
      <c r="O62" s="524"/>
      <c r="P62" s="385"/>
      <c r="Q62" s="1374"/>
      <c r="R62" s="385"/>
      <c r="S62" s="1352"/>
      <c r="T62" s="1355" t="s">
        <v>329</v>
      </c>
      <c r="U62" s="1354"/>
      <c r="V62" s="1354"/>
      <c r="W62" s="1354"/>
      <c r="X62" s="1354"/>
      <c r="Y62" s="1354"/>
      <c r="Z62" s="1354"/>
      <c r="AA62" s="1354"/>
      <c r="AB62" s="1354"/>
      <c r="AC62" s="1354"/>
      <c r="AD62" s="1354"/>
      <c r="AE62" s="1354"/>
      <c r="AF62" s="1354"/>
      <c r="AG62" s="1354"/>
      <c r="AH62" s="1354"/>
      <c r="AI62" s="1354"/>
      <c r="AJ62" s="1354"/>
      <c r="AK62" s="1354"/>
      <c r="AL62" s="1354"/>
      <c r="AM62" s="1354"/>
      <c r="AN62" s="1354"/>
      <c r="AO62" s="1354"/>
      <c r="AP62" s="1354"/>
      <c r="AQ62" s="1354"/>
      <c r="AR62" s="1354"/>
      <c r="AS62" s="1354"/>
      <c r="AT62" s="1354"/>
      <c r="AU62" s="1354"/>
      <c r="AV62" s="1354"/>
      <c r="AW62" s="1354"/>
      <c r="AX62" s="1354"/>
      <c r="AY62" s="1354"/>
      <c r="AZ62" s="1354"/>
      <c r="BA62" s="1354"/>
      <c r="BB62" s="1354"/>
      <c r="BC62" s="1354"/>
      <c r="BE62" s="506"/>
      <c r="BF62" s="506" t="str">
        <f>IF(T62="","",T62)</f>
        <v>Добавить территорию для дифференциации</v>
      </c>
      <c r="BG62" s="506"/>
      <c r="BH62" s="506"/>
    </row>
    <row s="3314" customFormat="1" customHeight="1" ht="0">
      <c r="A63" s="1344"/>
      <c r="B63" s="1344"/>
      <c r="C63" s="1344"/>
      <c r="D63" s="1344"/>
      <c r="E63" s="1373"/>
      <c r="F63" s="1344"/>
      <c r="G63" s="1344"/>
      <c r="H63" s="1344"/>
      <c r="I63" s="1344"/>
      <c r="J63" s="1344"/>
      <c r="K63" s="1344"/>
      <c r="L63" s="1494"/>
      <c r="M63" s="1351"/>
      <c r="N63" s="1351"/>
      <c r="P63" s="1346"/>
      <c r="Q63" s="1347"/>
      <c r="R63" s="1346"/>
      <c r="S63" s="1352"/>
      <c r="T63" s="1355" t="s">
        <v>398</v>
      </c>
      <c r="U63" s="1354"/>
      <c r="V63" s="1354"/>
      <c r="W63" s="1354"/>
      <c r="X63" s="1354"/>
      <c r="Y63" s="1354"/>
      <c r="Z63" s="1354"/>
      <c r="AA63" s="1354"/>
      <c r="AB63" s="1354"/>
      <c r="AC63" s="1354"/>
      <c r="AD63" s="1354"/>
      <c r="AE63" s="1354"/>
      <c r="AF63" s="1354"/>
      <c r="AG63" s="1354"/>
      <c r="AH63" s="1354"/>
      <c r="AI63" s="1354"/>
      <c r="AJ63" s="1354"/>
      <c r="AK63" s="1354"/>
      <c r="AL63" s="1354"/>
      <c r="AM63" s="1354"/>
      <c r="AN63" s="1354"/>
      <c r="AO63" s="1354"/>
      <c r="AP63" s="1354"/>
      <c r="AQ63" s="1354"/>
      <c r="AR63" s="1354"/>
      <c r="AS63" s="1354"/>
      <c r="AT63" s="1354"/>
      <c r="AU63" s="1354"/>
      <c r="AV63" s="1354"/>
      <c r="AW63" s="1354"/>
      <c r="AX63" s="1354"/>
      <c r="AY63" s="1354"/>
      <c r="AZ63" s="1354"/>
      <c r="BA63" s="1354"/>
      <c r="BB63" s="1354"/>
      <c r="BC63" s="1354"/>
      <c r="BE63" s="795"/>
      <c r="BF63" s="795" t="str">
        <f>IF(T63="","",T63)</f>
        <v>Добавить наименование тарифа</v>
      </c>
      <c r="BG63" s="795"/>
      <c r="BH63" s="795"/>
    </row>
    <row customHeight="1" ht="11.25">
      <c r="M64" s="1168"/>
      <c r="N64" s="1168"/>
      <c r="O64" s="543"/>
      <c r="P64" s="1168"/>
      <c r="Q64" s="1168"/>
      <c r="R64" s="1163"/>
      <c r="S64" s="1163"/>
      <c r="BD64" s="1163"/>
      <c r="BE64" s="1163"/>
      <c r="BF64" s="1163"/>
      <c r="BG64" s="1163"/>
      <c r="BH64" s="1163"/>
    </row>
    <row customHeight="1" ht="18.75">
      <c r="O65" s="543"/>
      <c r="S65" s="1273"/>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c r="AS65" s="2106"/>
      <c r="AT65" s="2106"/>
      <c r="AU65" s="2106"/>
      <c r="AV65" s="2106"/>
      <c r="AW65" s="2106"/>
      <c r="AX65" s="2106"/>
      <c r="AY65" s="2106"/>
      <c r="AZ65" s="2106"/>
      <c r="BA65" s="2106"/>
      <c r="BB65" s="2106"/>
      <c r="BC65" s="2106"/>
    </row>
    <row customHeight="1" ht="14.25">
      <c r="O66" s="543"/>
      <c r="T66" s="1479"/>
      <c r="U66" s="1479"/>
      <c r="V66" s="1479"/>
      <c r="W66" s="1479"/>
      <c r="X66" s="1479"/>
      <c r="Y66" s="1479"/>
      <c r="Z66" s="1479"/>
      <c r="AA66" s="1479"/>
      <c r="AB66" s="1479"/>
      <c r="AC66" s="1479"/>
      <c r="AD66" s="1479"/>
      <c r="AE66" s="1479"/>
      <c r="AF66" s="1479"/>
      <c r="AG66" s="1479"/>
      <c r="AH66" s="1479"/>
      <c r="AI66" s="1479"/>
      <c r="AJ66" s="1479"/>
      <c r="AK66" s="1479"/>
      <c r="AL66" s="1479"/>
      <c r="AM66" s="1479"/>
      <c r="AN66" s="1479"/>
      <c r="AO66" s="1479"/>
      <c r="AP66" s="1479"/>
      <c r="AQ66" s="1479"/>
      <c r="AR66" s="1479"/>
      <c r="AS66" s="1479"/>
      <c r="AT66" s="1479"/>
      <c r="AU66" s="1479"/>
      <c r="AV66" s="1479"/>
      <c r="AW66" s="1479"/>
      <c r="AX66" s="1479"/>
      <c r="AY66" s="1479"/>
      <c r="AZ66" s="1479"/>
      <c r="BA66" s="1479"/>
      <c r="BB66" s="1479"/>
      <c r="BC66" s="1479"/>
    </row>
    <row customHeight="1" ht="18.75">
      <c r="O67" s="543"/>
      <c r="S67" s="1273"/>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c r="AS67" s="2106"/>
      <c r="AT67" s="2106"/>
      <c r="AU67" s="2106"/>
      <c r="AV67" s="2106"/>
      <c r="AW67" s="2106"/>
      <c r="AX67" s="2106"/>
      <c r="AY67" s="2106"/>
      <c r="AZ67" s="2106"/>
      <c r="BA67" s="2106"/>
      <c r="BB67" s="2106"/>
      <c r="BC67" s="2106"/>
    </row>
    <row customHeight="1" ht="14.25">
      <c r="O68" s="543"/>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62DECD-EC7E-5211-38AA-E8176C54F49B}"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4.140625" hidden="1" customWidth="1"/>
    <col min="10" max="10" style="2683" width="9.8515625" hidden="1" customWidth="1"/>
    <col min="11" max="11" style="2683" width="14.7109375" hidden="1" customWidth="1"/>
    <col min="12" max="12" style="12312" width="19.140625" hidden="1" customWidth="1"/>
    <col min="13" max="14" style="3334" width="12.28125" hidden="1" customWidth="1"/>
    <col min="15" max="15" style="3334" width="23.421875" hidden="1" customWidth="1"/>
    <col min="16" max="16" style="12317" width="3.7109375" customWidth="1"/>
    <col min="17" max="18" style="3411" width="3.7109375" customWidth="1"/>
    <col min="19" max="19" style="3412" width="12.7109375" customWidth="1"/>
    <col min="20" max="20" style="2984" width="35.7109375" customWidth="1"/>
    <col min="21" max="21" style="2984" width="0.140625" customWidth="1"/>
    <col min="22" max="24" style="2984" width="24.7109375" hidden="1" customWidth="1"/>
    <col min="25" max="25" style="2984" width="11.7109375" hidden="1" customWidth="1"/>
    <col min="26" max="26" style="2984" width="3.7109375" hidden="1" customWidth="1"/>
    <col min="27" max="27" style="2984" width="11.7109375" hidden="1" customWidth="1"/>
    <col min="28" max="28" style="2984" width="8.57421875" hidden="1" customWidth="1"/>
    <col min="29" max="31" style="2984" width="24.7109375" customWidth="1"/>
    <col min="32" max="32" style="2984" width="11.7109375" customWidth="1"/>
    <col min="33" max="33" style="2984" width="3.7109375" customWidth="1"/>
    <col min="34" max="34" style="2984" width="11.7109375" customWidth="1"/>
    <col min="35" max="35" style="2984" width="8.57421875" hidden="1" customWidth="1"/>
    <col min="36" max="36" style="2984" width="4.7109375" customWidth="1"/>
    <col min="37" max="37" style="2984" width="115.7109375" customWidth="1"/>
    <col min="38" max="39" style="2612" width="10.57421875"/>
    <col min="40" max="40" style="2612" width="11.140625" customWidth="1"/>
    <col min="41" max="42" style="2612"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523">
        <f>INDEX(PT_DIFFERENTIATION_NUM_NTAR,MATCH(A2,PT_DIFFERENTIATION_NTAR_ID,0))</f>
      </c>
      <c r="T2" s="286" t="s">
        <v>204</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517"/>
      <c r="Q3" s="348"/>
      <c r="R3" s="349"/>
      <c r="S3" s="1523">
        <f>INDEX(PT_DIFFERENTIATION_NUM_TER,MATCH(B3,PT_DIFFERENTIATION_TER_ID,0))</f>
      </c>
      <c r="T3" s="298" t="s">
        <v>612</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613</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523">
        <f>INDEX(PT_DIFFERENTIATION_NUM_CS,MATCH(C4,PT_DIFFERENTIATION_CS_ID,0))</f>
      </c>
      <c r="T4" s="299" t="s">
        <v>729</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730</v>
      </c>
      <c r="AM4" s="506"/>
      <c r="AN4" s="506" t="str">
        <f>IF(T4="","",T4)</f>
        <v>Наименование централизованной системы водоотведения</v>
      </c>
      <c r="AO4" s="506"/>
      <c r="AP4" s="506"/>
    </row>
    <row customHeight="1" ht="23.25" hidden="1">
      <c r="A5" s="1393"/>
      <c r="B5" s="1393"/>
      <c r="C5" s="1393"/>
      <c r="D5" s="1393"/>
      <c r="E5" s="2108"/>
      <c r="F5" s="2108"/>
      <c r="G5" s="2108"/>
      <c r="H5" s="2108"/>
      <c r="I5" s="2109">
        <f>S4&amp;".1"</f>
      </c>
      <c r="J5" s="1393"/>
      <c r="K5" s="1393"/>
      <c r="L5" s="1394"/>
      <c r="P5" s="2111">
        <v>1</v>
      </c>
      <c r="Q5" s="1511"/>
      <c r="R5" s="352"/>
      <c r="S5" s="1523">
        <f>$I5</f>
      </c>
      <c r="T5" s="273" t="s">
        <v>698</v>
      </c>
      <c r="U5" s="288"/>
      <c r="V5" s="2194"/>
      <c r="W5" s="2195"/>
      <c r="X5" s="2195"/>
      <c r="Y5" s="2195"/>
      <c r="Z5" s="2195"/>
      <c r="AA5" s="2195"/>
      <c r="AB5" s="2196"/>
      <c r="AC5" s="2197"/>
      <c r="AD5" s="2198"/>
      <c r="AE5" s="2198"/>
      <c r="AF5" s="2198"/>
      <c r="AG5" s="2198"/>
      <c r="AH5" s="2198"/>
      <c r="AI5" s="2198"/>
      <c r="AJ5" s="2199"/>
      <c r="AK5" s="1286" t="s">
        <v>699</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621</v>
      </c>
      <c r="P6" s="2111"/>
      <c r="Q6" s="2111">
        <v>1</v>
      </c>
      <c r="R6" s="353"/>
      <c r="S6" s="1523">
        <f>$J6</f>
      </c>
      <c r="T6" s="274" t="s">
        <v>622</v>
      </c>
      <c r="U6" s="288"/>
      <c r="V6" s="2095"/>
      <c r="W6" s="2096"/>
      <c r="X6" s="2096"/>
      <c r="Y6" s="2096"/>
      <c r="Z6" s="2096"/>
      <c r="AA6" s="2096"/>
      <c r="AB6" s="2097"/>
      <c r="AC6" s="2095"/>
      <c r="AD6" s="2096"/>
      <c r="AE6" s="2096"/>
      <c r="AF6" s="2096"/>
      <c r="AG6" s="2096"/>
      <c r="AH6" s="2096"/>
      <c r="AI6" s="2096"/>
      <c r="AJ6" s="2097"/>
      <c r="AK6" s="1337" t="s">
        <v>700</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523">
        <f>$K7</f>
      </c>
      <c r="T7" s="1467"/>
      <c r="U7" s="288"/>
      <c r="V7" s="757"/>
      <c r="W7" s="757"/>
      <c r="X7" s="1285"/>
      <c r="Y7" s="2112"/>
      <c r="Z7" s="1981" t="s">
        <v>63</v>
      </c>
      <c r="AA7" s="2112"/>
      <c r="AB7" s="1981" t="s">
        <v>63</v>
      </c>
      <c r="AC7" s="757"/>
      <c r="AD7" s="757"/>
      <c r="AE7" s="1285"/>
      <c r="AF7" s="2112"/>
      <c r="AG7" s="1981" t="s">
        <v>63</v>
      </c>
      <c r="AH7" s="2114"/>
      <c r="AI7" s="1981" t="s">
        <v>63</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520"/>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701</v>
      </c>
      <c r="U9" s="367"/>
      <c r="V9" s="367"/>
      <c r="W9" s="367"/>
      <c r="X9" s="367"/>
      <c r="Y9" s="367"/>
      <c r="Z9" s="367"/>
      <c r="AA9" s="367"/>
      <c r="AB9" s="367"/>
      <c r="AC9" s="367"/>
      <c r="AD9" s="367"/>
      <c r="AE9" s="367"/>
      <c r="AF9" s="367"/>
      <c r="AG9" s="367"/>
      <c r="AH9" s="367"/>
      <c r="AI9" s="367"/>
      <c r="AJ9" s="367"/>
      <c r="AK9" s="1286" t="s">
        <v>702</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511"/>
      <c r="R10" s="352"/>
      <c r="S10" s="1308"/>
      <c r="T10" s="364" t="s">
        <v>627</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21" hidden="1">
      <c r="A11" s="1393"/>
      <c r="B11" s="1393"/>
      <c r="C11" s="1393"/>
      <c r="D11" s="1393"/>
      <c r="E11" s="2108"/>
      <c r="F11" s="2108"/>
      <c r="G11" s="2108"/>
      <c r="H11" s="2107"/>
      <c r="I11" s="1393"/>
      <c r="J11" s="1393"/>
      <c r="K11" s="1393"/>
      <c r="L11" s="1394"/>
      <c r="M11" s="1395"/>
      <c r="N11" s="1395"/>
      <c r="O11" s="543"/>
      <c r="P11" s="356"/>
      <c r="Q11" s="376"/>
      <c r="R11" s="351"/>
      <c r="S11" s="1308"/>
      <c r="T11" s="372" t="s">
        <v>703</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4" customFormat="1" customHeight="1" ht="14.25" hidden="1">
      <c r="A12" s="1373"/>
      <c r="B12" s="1373"/>
      <c r="C12" s="1344"/>
      <c r="D12" s="1344"/>
      <c r="E12" s="2108"/>
      <c r="F12" s="2107"/>
      <c r="G12" s="1344"/>
      <c r="H12" s="1344"/>
      <c r="I12" s="1344"/>
      <c r="J12" s="1344"/>
      <c r="K12" s="1344"/>
      <c r="L12" s="1524"/>
      <c r="M12" s="1351"/>
      <c r="N12" s="1351"/>
      <c r="P12" s="1346"/>
      <c r="Q12" s="1347"/>
      <c r="R12" s="1346"/>
      <c r="S12" s="1352"/>
      <c r="T12" s="1355" t="s">
        <v>255</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2"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63</v>
      </c>
      <c r="AH15" s="2105"/>
      <c r="AI15" s="2104" t="s">
        <v>63</v>
      </c>
    </row>
    <row customHeight="1" ht="14.25" hidden="1">
      <c r="AC16" s="1390"/>
      <c r="AD16" s="1390"/>
      <c r="AE16" s="324" t="str">
        <f>AF15&amp;"-"&amp;AH15</f>
        <v>-</v>
      </c>
      <c r="AF16" s="2104"/>
      <c r="AG16" s="2104"/>
      <c r="AH16" s="2104"/>
      <c r="AI16" s="2104"/>
    </row>
    <row customHeight="1" ht="14.25" hidden="1">
      <c r="AI17" s="323"/>
    </row>
    <row s="2683" customFormat="1" customHeight="1" ht="22.5" hidden="1">
      <c r="L18" s="1508"/>
      <c r="M18" s="1392"/>
      <c r="N18" s="1392"/>
      <c r="O18" s="1397" t="s">
        <v>629</v>
      </c>
      <c r="P18" s="1392"/>
      <c r="Q18" s="1401"/>
      <c r="R18" s="1401"/>
      <c r="S18" s="735"/>
      <c r="Y18" s="1397"/>
      <c r="AA18" s="1397"/>
      <c r="AB18" s="1396"/>
      <c r="AF18" s="1397"/>
      <c r="AH18" s="1397"/>
      <c r="AI18" s="1396"/>
      <c r="AL18" s="517"/>
      <c r="AM18" s="517"/>
      <c r="AN18" s="517"/>
      <c r="AO18" s="517"/>
      <c r="AP18" s="517"/>
    </row>
    <row s="2683" customFormat="1" customHeight="1" ht="14.25" hidden="1">
      <c r="L19" s="1508"/>
      <c r="M19" s="1392"/>
      <c r="N19" s="1392"/>
      <c r="O19" s="1392"/>
      <c r="P19" s="1392"/>
      <c r="Q19" s="1401"/>
      <c r="R19" s="1401"/>
      <c r="S19" s="735"/>
      <c r="AB19" s="1396"/>
      <c r="AI19" s="1396"/>
      <c r="AL19" s="517"/>
      <c r="AM19" s="517"/>
      <c r="AN19" s="517"/>
      <c r="AO19" s="517"/>
      <c r="AP19" s="517"/>
    </row>
    <row s="2683" customFormat="1" customHeight="1" ht="12" hidden="1">
      <c r="L20" s="1508"/>
      <c r="M20" s="1392"/>
      <c r="N20" s="1392"/>
      <c r="O20" s="1394" t="s">
        <v>630</v>
      </c>
      <c r="P20" s="1392"/>
      <c r="Q20" s="1472"/>
      <c r="R20" s="1472"/>
      <c r="S20" s="735"/>
      <c r="T20" s="1168" t="s">
        <v>631</v>
      </c>
      <c r="Z20" s="172" t="s">
        <v>632</v>
      </c>
      <c r="AB20" s="172" t="s">
        <v>633</v>
      </c>
      <c r="AC20" s="1168" t="s">
        <v>631</v>
      </c>
      <c r="AG20" s="172" t="s">
        <v>634</v>
      </c>
      <c r="AI20" s="172" t="s">
        <v>633</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14.25">
      <c r="Q24" s="377"/>
      <c r="R24" s="377"/>
      <c r="S24" s="214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5"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5" customFormat="1" customHeight="1" ht="18.75">
      <c r="A28" s="1398"/>
      <c r="B28" s="1398"/>
      <c r="C28" s="1398"/>
      <c r="D28" s="1398"/>
      <c r="E28" s="1398"/>
      <c r="F28" s="1398"/>
      <c r="G28" s="1398"/>
      <c r="H28" s="1398"/>
      <c r="I28" s="1398"/>
      <c r="J28" s="1398"/>
      <c r="K28" s="1398"/>
      <c r="L28" s="1399"/>
      <c r="M28" s="1398"/>
      <c r="N28" s="1398"/>
      <c r="O28" s="1398"/>
      <c r="S28" s="2098" t="s">
        <v>635</v>
      </c>
      <c r="T28" s="2098"/>
      <c r="U28" s="1402"/>
      <c r="V28" s="2099" t="str">
        <f>IF(TITLE_DATE_PR_CHANGE="",IF(TITLE_DATE_PR="","",TITLE_DATE_PR),TITLE_DATE_PR_CHANGE)</f>
        <v>45205</v>
      </c>
      <c r="W28" s="2099"/>
      <c r="X28" s="2099"/>
      <c r="Y28" s="2099"/>
      <c r="Z28" s="2099"/>
      <c r="AA28" s="2099"/>
      <c r="AB28" s="322"/>
      <c r="AC28" s="2099" t="str">
        <f>IF(TITLE_DATE_PR_CHANGE="",IF(TITLE_DATE_PR="","",TITLE_DATE_PR),TITLE_DATE_PR_CHANGE)</f>
        <v>45205</v>
      </c>
      <c r="AD28" s="2099"/>
      <c r="AE28" s="2099"/>
      <c r="AF28" s="2099"/>
      <c r="AG28" s="2099"/>
      <c r="AH28" s="2099"/>
      <c r="AI28" s="322"/>
      <c r="AJ28" s="322"/>
      <c r="AK28" s="268"/>
      <c r="AL28" s="368"/>
      <c r="AM28" s="368"/>
      <c r="AN28" s="368"/>
      <c r="AO28" s="368"/>
      <c r="AP28" s="368"/>
    </row>
    <row s="3345" customFormat="1" customHeight="1" ht="18.75">
      <c r="A29" s="1398"/>
      <c r="B29" s="1398"/>
      <c r="C29" s="1398"/>
      <c r="D29" s="1398"/>
      <c r="E29" s="1398"/>
      <c r="F29" s="1398"/>
      <c r="G29" s="1398"/>
      <c r="H29" s="1398"/>
      <c r="I29" s="1398"/>
      <c r="J29" s="1398"/>
      <c r="K29" s="1398"/>
      <c r="L29" s="1399"/>
      <c r="M29" s="1398"/>
      <c r="N29" s="1398"/>
      <c r="O29" s="1398"/>
      <c r="S29" s="2098" t="s">
        <v>636</v>
      </c>
      <c r="T29" s="2098"/>
      <c r="U29" s="1402"/>
      <c r="V29" s="2100" t="str">
        <f>IF(TITLE_NUMBER_PR_CHANGE="",IF(TITLE_NUMBER_PR="","",TITLE_NUMBER_PR),TITLE_NUMBER_PR_CHANGE)</f>
        <v>36/2</v>
      </c>
      <c r="W29" s="2100"/>
      <c r="X29" s="2100"/>
      <c r="Y29" s="2100"/>
      <c r="Z29" s="2100"/>
      <c r="AA29" s="2100"/>
      <c r="AB29" s="322"/>
      <c r="AC29" s="2100" t="str">
        <f>IF(TITLE_NUMBER_PR_CHANGE="",IF(TITLE_NUMBER_PR="","",TITLE_NUMBER_PR),TITLE_NUMBER_PR_CHANGE)</f>
        <v>36/2</v>
      </c>
      <c r="AD29" s="2100"/>
      <c r="AE29" s="2100"/>
      <c r="AF29" s="2100"/>
      <c r="AG29" s="2100"/>
      <c r="AH29" s="2100"/>
      <c r="AI29" s="322"/>
      <c r="AJ29" s="322"/>
      <c r="AK29" s="268"/>
      <c r="AL29" s="368"/>
      <c r="AM29" s="368"/>
      <c r="AN29" s="368"/>
      <c r="AO29" s="368"/>
      <c r="AP29" s="368"/>
    </row>
    <row s="3345"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https://npa.gov-murman.ru/bitrix/components/b1team/govmurman.element.file/download.php?ID=495002&amp;FID=732763</v>
      </c>
      <c r="W30" s="2100"/>
      <c r="X30" s="2100"/>
      <c r="Y30" s="2100"/>
      <c r="Z30" s="2100"/>
      <c r="AA30" s="2100"/>
      <c r="AB30" s="322"/>
      <c r="AC30" s="2100" t="str">
        <f>IF(TITLE_IST_PUB_CHANGE="",IF(TITLE_IST_PUB="","",TITLE_IST_PUB),TITLE_IST_PUB_CHANGE)</f>
        <v>https://npa.gov-murman.ru/bitrix/components/b1team/govmurman.element.file/download.php?ID=495002&amp;FID=732763</v>
      </c>
      <c r="AD30" s="2100"/>
      <c r="AE30" s="2100"/>
      <c r="AF30" s="2100"/>
      <c r="AG30" s="2100"/>
      <c r="AH30" s="2100"/>
      <c r="AI30" s="322"/>
      <c r="AJ30" s="322"/>
      <c r="AK30" s="268"/>
      <c r="AL30" s="368"/>
      <c r="AM30" s="368"/>
      <c r="AN30" s="368"/>
      <c r="AO30" s="368"/>
      <c r="AP30" s="368"/>
    </row>
    <row customHeight="1" ht="14.25" hidden="1">
      <c r="Q31" s="377"/>
      <c r="R31" s="377"/>
      <c r="S31" s="1305"/>
      <c r="T31" s="361"/>
      <c r="U31" s="361"/>
      <c r="V31" s="316"/>
      <c r="W31" s="316"/>
      <c r="X31" s="316"/>
      <c r="Y31" s="316"/>
      <c r="Z31" s="316"/>
      <c r="AA31" s="316"/>
      <c r="AB31" s="316"/>
      <c r="AC31" s="316"/>
      <c r="AD31" s="316"/>
      <c r="AE31" s="316"/>
      <c r="AF31" s="316"/>
      <c r="AG31" s="316"/>
      <c r="AH31" s="316"/>
      <c r="AI31" s="316"/>
      <c r="AJ31" s="515"/>
    </row>
    <row s="3345" customFormat="1" customHeight="1" ht="18.75" hidden="1">
      <c r="A32" s="1398"/>
      <c r="B32" s="1398"/>
      <c r="C32" s="1398"/>
      <c r="D32" s="1398"/>
      <c r="E32" s="1398"/>
      <c r="F32" s="1398"/>
      <c r="G32" s="1398"/>
      <c r="H32" s="1398"/>
      <c r="I32" s="1398"/>
      <c r="J32" s="1398"/>
      <c r="K32" s="1398"/>
      <c r="L32" s="1399"/>
      <c r="M32" s="1398"/>
      <c r="N32" s="1398"/>
      <c r="O32" s="1398"/>
      <c r="S32" s="2098" t="s">
        <v>637</v>
      </c>
      <c r="T32" s="2098"/>
      <c r="U32" s="1402"/>
      <c r="V32" s="2099" t="str">
        <f>IF(TITLE_DATE_PR_CHANGE="",IF(TITLE_DATE_PR="","",TITLE_DATE_PR),TITLE_DATE_PR_CHANGE)</f>
        <v>45205</v>
      </c>
      <c r="W32" s="2099"/>
      <c r="X32" s="2099"/>
      <c r="Y32" s="2099"/>
      <c r="Z32" s="2099"/>
      <c r="AA32" s="2099"/>
      <c r="AB32" s="322"/>
      <c r="AC32" s="2099" t="str">
        <f>IF(TITLE_DATE_PR_CHANGE="",IF(TITLE_DATE_PR="","",TITLE_DATE_PR),TITLE_DATE_PR_CHANGE)</f>
        <v>45205</v>
      </c>
      <c r="AD32" s="2099"/>
      <c r="AE32" s="2099"/>
      <c r="AF32" s="2099"/>
      <c r="AG32" s="2099"/>
      <c r="AH32" s="2099"/>
      <c r="AI32" s="322"/>
      <c r="AJ32" s="322"/>
      <c r="AK32" s="268"/>
      <c r="AL32" s="368"/>
      <c r="AM32" s="368"/>
      <c r="AN32" s="368"/>
      <c r="AO32" s="368"/>
      <c r="AP32" s="368"/>
    </row>
    <row s="3345" customFormat="1" customHeight="1" ht="18.75" hidden="1">
      <c r="A33" s="1398"/>
      <c r="B33" s="1398"/>
      <c r="C33" s="1398"/>
      <c r="D33" s="1398"/>
      <c r="E33" s="1398"/>
      <c r="F33" s="1398"/>
      <c r="G33" s="1398"/>
      <c r="H33" s="1398"/>
      <c r="I33" s="1398"/>
      <c r="J33" s="1398"/>
      <c r="K33" s="1398"/>
      <c r="L33" s="1399"/>
      <c r="M33" s="1398"/>
      <c r="N33" s="1398"/>
      <c r="O33" s="1398"/>
      <c r="S33" s="2098" t="s">
        <v>638</v>
      </c>
      <c r="T33" s="2098"/>
      <c r="U33" s="1402"/>
      <c r="V33" s="2100" t="str">
        <f>IF(TITLE_NUMBER_PR_CHANGE="",IF(TITLE_NUMBER_PR="","",TITLE_NUMBER_PR),TITLE_NUMBER_PR_CHANGE)</f>
        <v>36/2</v>
      </c>
      <c r="W33" s="2100"/>
      <c r="X33" s="2100"/>
      <c r="Y33" s="2100"/>
      <c r="Z33" s="2100"/>
      <c r="AA33" s="2100"/>
      <c r="AB33" s="322"/>
      <c r="AC33" s="2100" t="str">
        <f>IF(TITLE_NUMBER_PR_CHANGE="",IF(TITLE_NUMBER_PR="","",TITLE_NUMBER_PR),TITLE_NUMBER_PR_CHANGE)</f>
        <v>36/2</v>
      </c>
      <c r="AD33" s="2100"/>
      <c r="AE33" s="2100"/>
      <c r="AF33" s="2100"/>
      <c r="AG33" s="2100"/>
      <c r="AH33" s="2100"/>
      <c r="AI33" s="322"/>
      <c r="AJ33" s="322"/>
      <c r="AK33" s="268"/>
      <c r="AL33" s="368"/>
      <c r="AM33" s="368"/>
      <c r="AN33" s="368"/>
      <c r="AO33" s="368"/>
      <c r="AP33" s="368"/>
    </row>
    <row s="3345" customFormat="1" customHeight="1" ht="0.75">
      <c r="A34" s="1398"/>
      <c r="B34" s="1398"/>
      <c r="C34" s="1398"/>
      <c r="D34" s="1398"/>
      <c r="E34" s="1398"/>
      <c r="F34" s="1398"/>
      <c r="G34" s="1398"/>
      <c r="H34" s="1398"/>
      <c r="I34" s="1398"/>
      <c r="J34" s="1398"/>
      <c r="K34" s="1398"/>
      <c r="L34" s="1399"/>
      <c r="M34" s="1398"/>
      <c r="N34" s="1398"/>
      <c r="O34" s="1398"/>
      <c r="S34" s="318"/>
      <c r="T34" s="318"/>
      <c r="U34" s="1518"/>
      <c r="V34" s="322"/>
      <c r="W34" s="322"/>
      <c r="X34" s="322"/>
      <c r="Y34" s="322"/>
      <c r="Z34" s="322"/>
      <c r="AA34" s="322"/>
      <c r="AB34" s="266" t="s">
        <v>639</v>
      </c>
      <c r="AC34" s="322"/>
      <c r="AD34" s="322"/>
      <c r="AE34" s="322"/>
      <c r="AF34" s="322"/>
      <c r="AG34" s="322"/>
      <c r="AH34" s="322"/>
      <c r="AI34" s="266" t="s">
        <v>639</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513</v>
      </c>
      <c r="T36" s="1971"/>
      <c r="U36" s="1971"/>
      <c r="V36" s="1971"/>
      <c r="W36" s="1971"/>
      <c r="X36" s="1971"/>
      <c r="Y36" s="1971"/>
      <c r="Z36" s="1971"/>
      <c r="AA36" s="1971"/>
      <c r="AB36" s="1971"/>
      <c r="AC36" s="1971"/>
      <c r="AD36" s="1971"/>
      <c r="AE36" s="1971"/>
      <c r="AF36" s="1971"/>
      <c r="AG36" s="1971"/>
      <c r="AH36" s="1971"/>
      <c r="AI36" s="1971"/>
      <c r="AJ36" s="1971"/>
      <c r="AK36" s="1971" t="s">
        <v>514</v>
      </c>
    </row>
    <row customHeight="1" ht="14.25">
      <c r="Q37" s="377"/>
      <c r="R37" s="377"/>
      <c r="S37" s="2125" t="s">
        <v>89</v>
      </c>
      <c r="T37" s="2062" t="s">
        <v>640</v>
      </c>
      <c r="U37" s="289"/>
      <c r="V37" s="2126" t="s">
        <v>641</v>
      </c>
      <c r="W37" s="2127"/>
      <c r="X37" s="2127"/>
      <c r="Y37" s="2127"/>
      <c r="Z37" s="2127"/>
      <c r="AA37" s="2128"/>
      <c r="AB37" s="2129" t="s">
        <v>642</v>
      </c>
      <c r="AC37" s="2126" t="s">
        <v>641</v>
      </c>
      <c r="AD37" s="2127"/>
      <c r="AE37" s="2127"/>
      <c r="AF37" s="2127"/>
      <c r="AG37" s="2127"/>
      <c r="AH37" s="2128"/>
      <c r="AI37" s="2129" t="s">
        <v>643</v>
      </c>
      <c r="AJ37" s="2132" t="s">
        <v>644</v>
      </c>
      <c r="AK37" s="1971"/>
    </row>
    <row customHeight="1" ht="33.75">
      <c r="Q38" s="377"/>
      <c r="R38" s="377"/>
      <c r="S38" s="2125"/>
      <c r="T38" s="2062"/>
      <c r="U38" s="1038"/>
      <c r="V38" s="1513" t="s">
        <v>704</v>
      </c>
      <c r="W38" s="2118" t="s">
        <v>647</v>
      </c>
      <c r="X38" s="2120"/>
      <c r="Y38" s="2118" t="s">
        <v>648</v>
      </c>
      <c r="Z38" s="2119"/>
      <c r="AA38" s="2120"/>
      <c r="AB38" s="2130"/>
      <c r="AC38" s="1513" t="s">
        <v>704</v>
      </c>
      <c r="AD38" s="2118" t="s">
        <v>647</v>
      </c>
      <c r="AE38" s="2120"/>
      <c r="AF38" s="2118" t="s">
        <v>648</v>
      </c>
      <c r="AG38" s="2119"/>
      <c r="AH38" s="2120"/>
      <c r="AI38" s="2130"/>
      <c r="AJ38" s="2133"/>
      <c r="AK38" s="1971"/>
    </row>
    <row customHeight="1" ht="86.25">
      <c r="A39" s="1400"/>
      <c r="B39" s="1400" t="s">
        <v>216</v>
      </c>
      <c r="C39" s="1400" t="s">
        <v>217</v>
      </c>
      <c r="D39" s="1400" t="s">
        <v>218</v>
      </c>
      <c r="E39" s="1394" t="s">
        <v>649</v>
      </c>
      <c r="F39" s="1394" t="s">
        <v>650</v>
      </c>
      <c r="G39" s="1394" t="s">
        <v>651</v>
      </c>
      <c r="H39" s="1394"/>
      <c r="I39" s="1394" t="s">
        <v>705</v>
      </c>
      <c r="J39" s="1394" t="s">
        <v>654</v>
      </c>
      <c r="K39" s="1394" t="s">
        <v>706</v>
      </c>
      <c r="L39" s="1394" t="s">
        <v>630</v>
      </c>
      <c r="Q39" s="377"/>
      <c r="R39" s="377"/>
      <c r="S39" s="2125"/>
      <c r="T39" s="2062"/>
      <c r="U39" s="290"/>
      <c r="V39" s="1513" t="s">
        <v>731</v>
      </c>
      <c r="W39" s="1237" t="s">
        <v>732</v>
      </c>
      <c r="X39" s="1237" t="s">
        <v>709</v>
      </c>
      <c r="Y39" s="1519" t="s">
        <v>658</v>
      </c>
      <c r="Z39" s="2121" t="s">
        <v>659</v>
      </c>
      <c r="AA39" s="2122"/>
      <c r="AB39" s="2131"/>
      <c r="AC39" s="1513" t="s">
        <v>731</v>
      </c>
      <c r="AD39" s="1237" t="s">
        <v>732</v>
      </c>
      <c r="AE39" s="1237" t="s">
        <v>709</v>
      </c>
      <c r="AF39" s="1519" t="s">
        <v>658</v>
      </c>
      <c r="AG39" s="2121" t="s">
        <v>659</v>
      </c>
      <c r="AH39" s="2122"/>
      <c r="AI39" s="2131"/>
      <c r="AJ39" s="2134"/>
      <c r="AK39" s="1971"/>
    </row>
    <row s="2611" customFormat="1" customHeight="1" ht="11.25" hidden="1">
      <c r="A40" s="1400"/>
      <c r="B40" s="1400"/>
      <c r="C40" s="1400"/>
      <c r="D40" s="1400"/>
      <c r="E40" s="1400"/>
      <c r="F40" s="1400"/>
      <c r="G40" s="1400"/>
      <c r="H40" s="1400"/>
      <c r="I40" s="1400"/>
      <c r="J40" s="1400"/>
      <c r="K40" s="1400"/>
      <c r="L40" s="1394"/>
      <c r="M40" s="1392"/>
      <c r="N40" s="1392"/>
      <c r="O40" s="1392"/>
      <c r="P40" s="1264"/>
      <c r="Q40" s="1265"/>
      <c r="R40" s="1280">
        <v>1</v>
      </c>
      <c r="S40" s="1307" t="s">
        <v>193</v>
      </c>
      <c r="T40" s="1281" t="s">
        <v>104</v>
      </c>
      <c r="U40" s="1263" t="str">
        <f>OFFSET(U40,0,-1)</f>
        <v>2</v>
      </c>
      <c r="V40" s="1512">
        <f>OFFSET(V40,0,-1)+1</f>
        <v>3</v>
      </c>
      <c r="W40" s="1512">
        <f>OFFSET(W40,0,-1)+1</f>
        <v>4</v>
      </c>
      <c r="X40" s="1512">
        <f>OFFSET(X40,0,-1)+1</f>
        <v>5</v>
      </c>
      <c r="Y40" s="1512">
        <f>OFFSET(Y40,0,-1)+1</f>
        <v>6</v>
      </c>
      <c r="Z40" s="2123">
        <f>OFFSET(Z40,0,-1)+1</f>
        <v>7</v>
      </c>
      <c r="AA40" s="2123"/>
      <c r="AB40" s="1512">
        <f>OFFSET(AB40,0,-2)+1</f>
        <v>8</v>
      </c>
      <c r="AC40" s="1512">
        <f>OFFSET(AC40,0,-1)+1</f>
        <v>9</v>
      </c>
      <c r="AD40" s="1512">
        <f>OFFSET(AD40,0,-1)+1</f>
        <v>10</v>
      </c>
      <c r="AE40" s="1512">
        <f>OFFSET(AE40,0,-1)+1</f>
        <v>11</v>
      </c>
      <c r="AF40" s="1512">
        <f>OFFSET(AF40,0,-1)+1</f>
        <v>12</v>
      </c>
      <c r="AG40" s="2123">
        <f>OFFSET(AG40,0,-1)+1</f>
        <v>13</v>
      </c>
      <c r="AH40" s="2123"/>
      <c r="AI40" s="1512">
        <f>OFFSET(AI40,0,-2)+1</f>
        <v>14</v>
      </c>
      <c r="AJ40" s="1263">
        <f>OFFSET(AJ40,0,-1)</f>
        <v>14</v>
      </c>
      <c r="AK40" s="1512">
        <f>OFFSET(AK40,0,-1)+1</f>
        <v>15</v>
      </c>
      <c r="AL40" s="517"/>
      <c r="AM40" s="517"/>
      <c r="AN40" s="517"/>
      <c r="AO40" s="517"/>
      <c r="AP40" s="517"/>
    </row>
    <row customHeight="1" ht="23.25">
      <c r="A41" s="1393" t="s">
        <v>479</v>
      </c>
      <c r="B41" s="1393"/>
      <c r="C41" s="1393"/>
      <c r="D41" s="1393"/>
      <c r="E41" s="2107">
        <v>1</v>
      </c>
      <c r="F41" s="1393"/>
      <c r="G41" s="1393"/>
      <c r="H41" s="1393"/>
      <c r="I41" s="1393"/>
      <c r="J41" s="1393"/>
      <c r="K41" s="1393"/>
      <c r="L41" s="1394"/>
      <c r="M41" s="1395"/>
      <c r="N41" s="1395"/>
      <c r="O41" s="1395"/>
      <c r="P41" s="357"/>
      <c r="Q41" s="356"/>
      <c r="R41" s="351"/>
      <c r="S41" s="1523">
        <f>INDEX(PT_DIFFERENTIATION_NUM_NTAR,MATCH(A41,PT_DIFFERENTIATION_NTAR_ID,0))</f>
        <v>0</v>
      </c>
      <c r="T41" s="286" t="s">
        <v>204</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479</v>
      </c>
      <c r="B42" s="1393" t="s">
        <v>480</v>
      </c>
      <c r="C42" s="1393"/>
      <c r="D42" s="1393"/>
      <c r="E42" s="2108"/>
      <c r="F42" s="2107">
        <v>1</v>
      </c>
      <c r="G42" s="1393"/>
      <c r="H42" s="1393"/>
      <c r="I42" s="1393"/>
      <c r="J42" s="1393"/>
      <c r="K42" s="1393"/>
      <c r="L42" s="1394"/>
      <c r="M42" s="1395"/>
      <c r="N42" s="1395"/>
      <c r="O42" s="1395"/>
      <c r="P42" s="1517"/>
      <c r="Q42" s="348"/>
      <c r="R42" s="349"/>
      <c r="S42" s="1523" t="str">
        <f>INDEX(PT_DIFFERENTIATION_NUM_TER,MATCH(B42,PT_DIFFERENTIATION_TER_ID,0))</f>
        <v>.</v>
      </c>
      <c r="T42" s="298" t="s">
        <v>612</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613</v>
      </c>
      <c r="AM42" s="506"/>
      <c r="AN42" s="506" t="str">
        <f>IF(T42="","",T42)</f>
        <v>Территория действия тарифа</v>
      </c>
      <c r="AO42" s="506"/>
      <c r="AP42" s="506"/>
    </row>
    <row customHeight="1" ht="23.25">
      <c r="A43" s="1393" t="s">
        <v>479</v>
      </c>
      <c r="B43" s="1393" t="s">
        <v>480</v>
      </c>
      <c r="C43" s="1393" t="s">
        <v>481</v>
      </c>
      <c r="D43" s="1393"/>
      <c r="E43" s="2108"/>
      <c r="F43" s="2108"/>
      <c r="G43" s="2107">
        <v>1</v>
      </c>
      <c r="H43" s="1393"/>
      <c r="I43" s="1393"/>
      <c r="J43" s="1393"/>
      <c r="K43" s="1393"/>
      <c r="L43" s="1394"/>
      <c r="M43" s="1395"/>
      <c r="N43" s="1395"/>
      <c r="O43" s="1395"/>
      <c r="P43" s="350"/>
      <c r="Q43" s="348"/>
      <c r="R43" s="349"/>
      <c r="S43" s="1523" t="str">
        <f>INDEX(PT_DIFFERENTIATION_NUM_CS,MATCH(C43,PT_DIFFERENTIATION_CS_ID,0))</f>
        <v>..</v>
      </c>
      <c r="T43" s="299" t="s">
        <v>729</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730</v>
      </c>
      <c r="AM43" s="506"/>
      <c r="AN43" s="506" t="str">
        <f>IF(T43="","",T43)</f>
        <v>Наименование централизованной системы водоотведения</v>
      </c>
      <c r="AO43" s="506"/>
      <c r="AP43" s="506"/>
    </row>
    <row customHeight="1" ht="23.25">
      <c r="A44" s="1393" t="s">
        <v>479</v>
      </c>
      <c r="B44" s="1393" t="s">
        <v>480</v>
      </c>
      <c r="C44" s="1393" t="s">
        <v>481</v>
      </c>
      <c r="D44" s="1393" t="s">
        <v>733</v>
      </c>
      <c r="E44" s="2108"/>
      <c r="F44" s="2108"/>
      <c r="G44" s="2108"/>
      <c r="H44" s="2108"/>
      <c r="I44" s="2109" t="str">
        <f>S43&amp;".1"</f>
        <v>...1</v>
      </c>
      <c r="J44" s="1393"/>
      <c r="K44" s="1393"/>
      <c r="L44" s="1394"/>
      <c r="P44" s="2111">
        <v>1</v>
      </c>
      <c r="Q44" s="1511"/>
      <c r="R44" s="352"/>
      <c r="S44" s="1523" t="str">
        <f>$I44</f>
        <v>...1</v>
      </c>
      <c r="T44" s="273" t="s">
        <v>698</v>
      </c>
      <c r="U44" s="288"/>
      <c r="V44" s="2194"/>
      <c r="W44" s="2195"/>
      <c r="X44" s="2195"/>
      <c r="Y44" s="2195"/>
      <c r="Z44" s="2195"/>
      <c r="AA44" s="2195"/>
      <c r="AB44" s="2196"/>
      <c r="AC44" s="2197"/>
      <c r="AD44" s="2198"/>
      <c r="AE44" s="2198"/>
      <c r="AF44" s="2198"/>
      <c r="AG44" s="2198"/>
      <c r="AH44" s="2198"/>
      <c r="AI44" s="2198"/>
      <c r="AJ44" s="2199"/>
      <c r="AK44" s="1286" t="s">
        <v>699</v>
      </c>
      <c r="AM44" s="506"/>
      <c r="AN44" s="506" t="str">
        <f>IF(T44="","",T44)</f>
        <v>Наименование признака дифференциации</v>
      </c>
      <c r="AO44" s="506"/>
      <c r="AP44" s="506"/>
    </row>
    <row customHeight="1" ht="23.25">
      <c r="A45" s="1393" t="s">
        <v>479</v>
      </c>
      <c r="B45" s="1393" t="s">
        <v>480</v>
      </c>
      <c r="C45" s="1393" t="s">
        <v>481</v>
      </c>
      <c r="D45" s="1393" t="s">
        <v>733</v>
      </c>
      <c r="E45" s="2108"/>
      <c r="F45" s="2108"/>
      <c r="G45" s="2108"/>
      <c r="H45" s="2108"/>
      <c r="I45" s="2110"/>
      <c r="J45" s="2109" t="str">
        <f>I44&amp;".1"</f>
        <v>...1.1</v>
      </c>
      <c r="K45" s="1393"/>
      <c r="L45" s="1394" t="s">
        <v>621</v>
      </c>
      <c r="P45" s="2111"/>
      <c r="Q45" s="2111">
        <v>1</v>
      </c>
      <c r="R45" s="353"/>
      <c r="S45" s="1523" t="str">
        <f>$J45</f>
        <v>...1.1</v>
      </c>
      <c r="T45" s="274" t="s">
        <v>622</v>
      </c>
      <c r="U45" s="288"/>
      <c r="V45" s="2095"/>
      <c r="W45" s="2096"/>
      <c r="X45" s="2096"/>
      <c r="Y45" s="2096"/>
      <c r="Z45" s="2096"/>
      <c r="AA45" s="2096"/>
      <c r="AB45" s="2097"/>
      <c r="AC45" s="2095"/>
      <c r="AD45" s="2096"/>
      <c r="AE45" s="2096"/>
      <c r="AF45" s="2096"/>
      <c r="AG45" s="2096"/>
      <c r="AH45" s="2096"/>
      <c r="AI45" s="2096"/>
      <c r="AJ45" s="2097"/>
      <c r="AK45" s="1337" t="s">
        <v>700</v>
      </c>
      <c r="AM45" s="506"/>
      <c r="AN45" s="506" t="str">
        <f>IF(T45="","",T45)</f>
        <v>Группа потребителей</v>
      </c>
      <c r="AO45" s="506"/>
      <c r="AP45" s="506"/>
    </row>
    <row customHeight="1" ht="23.25">
      <c r="A46" s="1393" t="s">
        <v>479</v>
      </c>
      <c r="B46" s="1393" t="s">
        <v>480</v>
      </c>
      <c r="C46" s="1393" t="s">
        <v>481</v>
      </c>
      <c r="D46" s="1393" t="s">
        <v>733</v>
      </c>
      <c r="E46" s="2108"/>
      <c r="F46" s="2108"/>
      <c r="G46" s="2108"/>
      <c r="H46" s="2108"/>
      <c r="I46" s="2110"/>
      <c r="J46" s="2110"/>
      <c r="K46" s="2109" t="str">
        <f>J45&amp;".1"</f>
        <v>...1.1.1</v>
      </c>
      <c r="L46" s="1394"/>
      <c r="P46" s="2111"/>
      <c r="Q46" s="2111"/>
      <c r="R46" s="353">
        <v>1</v>
      </c>
      <c r="S46" s="1523" t="str">
        <f>$K46</f>
        <v>...1.1.1</v>
      </c>
      <c r="T46" s="1467"/>
      <c r="U46" s="288"/>
      <c r="V46" s="1390"/>
      <c r="W46" s="1390"/>
      <c r="X46" s="1391"/>
      <c r="Y46" s="2105"/>
      <c r="Z46" s="2104" t="s">
        <v>63</v>
      </c>
      <c r="AA46" s="2105"/>
      <c r="AB46" s="2104" t="s">
        <v>63</v>
      </c>
      <c r="AC46" s="757"/>
      <c r="AD46" s="757"/>
      <c r="AE46" s="1285"/>
      <c r="AF46" s="2112"/>
      <c r="AG46" s="1981" t="s">
        <v>63</v>
      </c>
      <c r="AH46" s="2114"/>
      <c r="AI46" s="1981" t="s">
        <v>58</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479</v>
      </c>
      <c r="B47" s="1393" t="s">
        <v>480</v>
      </c>
      <c r="C47" s="1393" t="s">
        <v>481</v>
      </c>
      <c r="D47" s="1393" t="s">
        <v>733</v>
      </c>
      <c r="E47" s="2108"/>
      <c r="F47" s="2108"/>
      <c r="G47" s="2108"/>
      <c r="H47" s="2108"/>
      <c r="I47" s="2110"/>
      <c r="J47" s="2110"/>
      <c r="K47" s="2109"/>
      <c r="L47" s="1394"/>
      <c r="P47" s="2111"/>
      <c r="Q47" s="2111"/>
      <c r="R47" s="353"/>
      <c r="S47" s="1520"/>
      <c r="T47" s="288"/>
      <c r="U47" s="288"/>
      <c r="V47" s="1390"/>
      <c r="W47" s="1390"/>
      <c r="X47" s="324" t="str">
        <f>Y46&amp;"-"&amp;AA46</f>
        <v>-</v>
      </c>
      <c r="Y47" s="2104"/>
      <c r="Z47" s="2104"/>
      <c r="AA47" s="2104"/>
      <c r="AB47" s="2104"/>
      <c r="AC47" s="320"/>
      <c r="AD47" s="320"/>
      <c r="AE47" s="324" t="str">
        <f>AF46&amp;"-"&amp;AH46</f>
        <v>-</v>
      </c>
      <c r="AF47" s="2113"/>
      <c r="AG47" s="1981"/>
      <c r="AH47" s="2115"/>
      <c r="AI47" s="1981"/>
      <c r="AJ47" s="1469"/>
      <c r="AK47" s="2200"/>
      <c r="AM47" s="506"/>
      <c r="AN47" s="506" t="str">
        <f>IF(T47="","",T47)</f>
        <v/>
      </c>
      <c r="AO47" s="506"/>
      <c r="AP47" s="506"/>
    </row>
    <row customHeight="1" ht="21">
      <c r="A48" s="1393" t="s">
        <v>479</v>
      </c>
      <c r="B48" s="1393" t="s">
        <v>480</v>
      </c>
      <c r="C48" s="1393" t="s">
        <v>481</v>
      </c>
      <c r="D48" s="1393" t="s">
        <v>733</v>
      </c>
      <c r="E48" s="2108"/>
      <c r="F48" s="2108"/>
      <c r="G48" s="2108"/>
      <c r="H48" s="2108"/>
      <c r="I48" s="2110"/>
      <c r="J48" s="2109"/>
      <c r="K48" s="1393"/>
      <c r="L48" s="1394"/>
      <c r="P48" s="2111"/>
      <c r="Q48" s="2111"/>
      <c r="R48" s="352"/>
      <c r="S48" s="1308"/>
      <c r="T48" s="275" t="s">
        <v>701</v>
      </c>
      <c r="U48" s="367"/>
      <c r="V48" s="367"/>
      <c r="W48" s="367"/>
      <c r="X48" s="367"/>
      <c r="Y48" s="367"/>
      <c r="Z48" s="367"/>
      <c r="AA48" s="367"/>
      <c r="AB48" s="367"/>
      <c r="AC48" s="367"/>
      <c r="AD48" s="367"/>
      <c r="AE48" s="367"/>
      <c r="AF48" s="367"/>
      <c r="AG48" s="367"/>
      <c r="AH48" s="367"/>
      <c r="AI48" s="367"/>
      <c r="AJ48" s="367"/>
      <c r="AK48" s="1286" t="s">
        <v>702</v>
      </c>
      <c r="AM48" s="506"/>
      <c r="AN48" s="506" t="str">
        <f>IF(T48="","",T48)</f>
        <v>Добавить значение признака дифференциации</v>
      </c>
      <c r="AO48" s="506"/>
      <c r="AP48" s="506"/>
    </row>
    <row customHeight="1" ht="21">
      <c r="A49" s="1393" t="s">
        <v>479</v>
      </c>
      <c r="B49" s="1393" t="s">
        <v>480</v>
      </c>
      <c r="C49" s="1393" t="s">
        <v>481</v>
      </c>
      <c r="D49" s="1393" t="s">
        <v>733</v>
      </c>
      <c r="E49" s="2108"/>
      <c r="F49" s="2108"/>
      <c r="G49" s="2108"/>
      <c r="H49" s="2108"/>
      <c r="I49" s="2109"/>
      <c r="J49" s="1393"/>
      <c r="K49" s="1393"/>
      <c r="L49" s="1394"/>
      <c r="P49" s="2111"/>
      <c r="Q49" s="1511"/>
      <c r="R49" s="352"/>
      <c r="S49" s="1308"/>
      <c r="T49" s="364" t="s">
        <v>627</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479</v>
      </c>
      <c r="B50" s="1393" t="s">
        <v>480</v>
      </c>
      <c r="C50" s="1393" t="s">
        <v>481</v>
      </c>
      <c r="D50" s="1393" t="s">
        <v>733</v>
      </c>
      <c r="E50" s="2108"/>
      <c r="F50" s="2108"/>
      <c r="G50" s="2108"/>
      <c r="H50" s="2107"/>
      <c r="I50" s="1393"/>
      <c r="J50" s="1393"/>
      <c r="K50" s="1393"/>
      <c r="L50" s="1394"/>
      <c r="M50" s="1395"/>
      <c r="N50" s="1395"/>
      <c r="O50" s="543"/>
      <c r="P50" s="356"/>
      <c r="Q50" s="376"/>
      <c r="R50" s="351"/>
      <c r="S50" s="1308"/>
      <c r="T50" s="372" t="s">
        <v>703</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4" customFormat="1" customHeight="1" ht="0">
      <c r="A51" s="1373" t="s">
        <v>479</v>
      </c>
      <c r="B51" s="1373" t="s">
        <v>480</v>
      </c>
      <c r="C51" s="1344"/>
      <c r="D51" s="1344"/>
      <c r="E51" s="2108"/>
      <c r="F51" s="2107"/>
      <c r="G51" s="1344"/>
      <c r="H51" s="1344"/>
      <c r="I51" s="1344"/>
      <c r="J51" s="1344"/>
      <c r="K51" s="1344"/>
      <c r="L51" s="1524"/>
      <c r="M51" s="1351"/>
      <c r="N51" s="1351"/>
      <c r="P51" s="1346"/>
      <c r="Q51" s="1347"/>
      <c r="R51" s="1346"/>
      <c r="S51" s="1352"/>
      <c r="T51" s="1355" t="s">
        <v>255</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2" customFormat="1" customHeight="1" ht="0">
      <c r="A52" s="1373" t="s">
        <v>479</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4" customFormat="1" customHeight="1" ht="0">
      <c r="A53" s="1344"/>
      <c r="B53" s="1344"/>
      <c r="C53" s="1344"/>
      <c r="D53" s="1344"/>
      <c r="E53" s="1373"/>
      <c r="F53" s="1344"/>
      <c r="G53" s="1344"/>
      <c r="H53" s="1344"/>
      <c r="I53" s="1344"/>
      <c r="J53" s="1344"/>
      <c r="K53" s="1344"/>
      <c r="L53" s="1524"/>
      <c r="M53" s="1351"/>
      <c r="N53" s="1351"/>
      <c r="P53" s="1346"/>
      <c r="Q53" s="1347"/>
      <c r="R53" s="1346"/>
      <c r="S53" s="1352"/>
      <c r="T53" s="1355" t="s">
        <v>398</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4CE2EE-E02C-432F-69E9-1323C425151C}"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4.140625" hidden="1" customWidth="1"/>
    <col min="10" max="10" style="2683" width="9.8515625" hidden="1" customWidth="1"/>
    <col min="11" max="11" style="2683" width="14.7109375" hidden="1" customWidth="1"/>
    <col min="12" max="12" style="12312" width="19.140625" hidden="1" customWidth="1"/>
    <col min="13" max="14" style="3334" width="12.28125" hidden="1" customWidth="1"/>
    <col min="15" max="15" style="3334" width="23.421875" hidden="1" customWidth="1"/>
    <col min="16" max="16" style="12317" width="3.7109375" customWidth="1"/>
    <col min="17" max="18" style="3411" width="3.7109375" customWidth="1"/>
    <col min="19" max="19" style="3412" width="12.7109375" customWidth="1"/>
    <col min="20" max="20" style="2984" width="35.7109375" customWidth="1"/>
    <col min="21" max="21" style="2984" width="0.140625" customWidth="1"/>
    <col min="22" max="24" style="2984" width="24.7109375" hidden="1" customWidth="1"/>
    <col min="25" max="25" style="2984" width="11.7109375" hidden="1" customWidth="1"/>
    <col min="26" max="26" style="2984" width="3.7109375" hidden="1" customWidth="1"/>
    <col min="27" max="27" style="2984" width="11.7109375" hidden="1" customWidth="1"/>
    <col min="28" max="28" style="2984" width="8.57421875" hidden="1" customWidth="1"/>
    <col min="29" max="31" style="2984" width="24.7109375" customWidth="1"/>
    <col min="32" max="32" style="2984" width="11.7109375" customWidth="1"/>
    <col min="33" max="33" style="2984" width="3.7109375" customWidth="1"/>
    <col min="34" max="34" style="2984" width="11.7109375" customWidth="1"/>
    <col min="35" max="35" style="2984" width="8.57421875" hidden="1" customWidth="1"/>
    <col min="36" max="36" style="2984" width="4.7109375" customWidth="1"/>
    <col min="37" max="37" style="2984" width="115.7109375" customWidth="1"/>
    <col min="38" max="39" style="2612" width="10.57421875"/>
    <col min="40" max="40" style="2612" width="11.140625" customWidth="1"/>
    <col min="41" max="42" style="2612"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523">
        <f>INDEX(PT_DIFFERENTIATION_NUM_NTAR,MATCH(A2,PT_DIFFERENTIATION_NTAR_ID,0))</f>
      </c>
      <c r="T2" s="286" t="s">
        <v>204</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517"/>
      <c r="Q3" s="348"/>
      <c r="R3" s="349"/>
      <c r="S3" s="1523">
        <f>INDEX(PT_DIFFERENTIATION_NUM_TER,MATCH(B3,PT_DIFFERENTIATION_TER_ID,0))</f>
      </c>
      <c r="T3" s="298" t="s">
        <v>612</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613</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523">
        <f>INDEX(PT_DIFFERENTIATION_NUM_CS,MATCH(C4,PT_DIFFERENTIATION_CS_ID,0))</f>
      </c>
      <c r="T4" s="299" t="s">
        <v>729</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730</v>
      </c>
      <c r="AM4" s="506"/>
      <c r="AN4" s="506" t="str">
        <f>IF(T4="","",T4)</f>
        <v>Наименование централизованной системы водоотведения</v>
      </c>
      <c r="AO4" s="506"/>
      <c r="AP4" s="506"/>
    </row>
    <row customHeight="1" ht="23.25" hidden="1">
      <c r="A5" s="1393"/>
      <c r="B5" s="1393"/>
      <c r="C5" s="1393"/>
      <c r="D5" s="1393"/>
      <c r="E5" s="2108"/>
      <c r="F5" s="2108"/>
      <c r="G5" s="2108"/>
      <c r="H5" s="2108"/>
      <c r="I5" s="2109">
        <f>S4&amp;".1"</f>
      </c>
      <c r="J5" s="1393"/>
      <c r="K5" s="1393"/>
      <c r="L5" s="1394"/>
      <c r="P5" s="2111">
        <v>1</v>
      </c>
      <c r="Q5" s="1511"/>
      <c r="R5" s="352"/>
      <c r="S5" s="1523">
        <f>$I5</f>
      </c>
      <c r="T5" s="273" t="s">
        <v>698</v>
      </c>
      <c r="U5" s="288"/>
      <c r="V5" s="2194"/>
      <c r="W5" s="2195"/>
      <c r="X5" s="2195"/>
      <c r="Y5" s="2195"/>
      <c r="Z5" s="2195"/>
      <c r="AA5" s="2195"/>
      <c r="AB5" s="2196"/>
      <c r="AC5" s="2197"/>
      <c r="AD5" s="2198"/>
      <c r="AE5" s="2198"/>
      <c r="AF5" s="2198"/>
      <c r="AG5" s="2198"/>
      <c r="AH5" s="2198"/>
      <c r="AI5" s="2198"/>
      <c r="AJ5" s="2199"/>
      <c r="AK5" s="1286" t="s">
        <v>699</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621</v>
      </c>
      <c r="P6" s="2111"/>
      <c r="Q6" s="2111">
        <v>1</v>
      </c>
      <c r="R6" s="353"/>
      <c r="S6" s="1523">
        <f>$J6</f>
      </c>
      <c r="T6" s="274" t="s">
        <v>622</v>
      </c>
      <c r="U6" s="288"/>
      <c r="V6" s="2095"/>
      <c r="W6" s="2096"/>
      <c r="X6" s="2096"/>
      <c r="Y6" s="2096"/>
      <c r="Z6" s="2096"/>
      <c r="AA6" s="2096"/>
      <c r="AB6" s="2097"/>
      <c r="AC6" s="2095"/>
      <c r="AD6" s="2096"/>
      <c r="AE6" s="2096"/>
      <c r="AF6" s="2096"/>
      <c r="AG6" s="2096"/>
      <c r="AH6" s="2096"/>
      <c r="AI6" s="2096"/>
      <c r="AJ6" s="2097"/>
      <c r="AK6" s="1337" t="s">
        <v>700</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523">
        <f>$K7</f>
      </c>
      <c r="T7" s="1467"/>
      <c r="U7" s="288"/>
      <c r="V7" s="757"/>
      <c r="W7" s="757"/>
      <c r="X7" s="1285"/>
      <c r="Y7" s="2112"/>
      <c r="Z7" s="1981" t="s">
        <v>63</v>
      </c>
      <c r="AA7" s="2112"/>
      <c r="AB7" s="1981" t="s">
        <v>63</v>
      </c>
      <c r="AC7" s="757"/>
      <c r="AD7" s="757"/>
      <c r="AE7" s="1285"/>
      <c r="AF7" s="2112"/>
      <c r="AG7" s="1981" t="s">
        <v>63</v>
      </c>
      <c r="AH7" s="2114"/>
      <c r="AI7" s="1981" t="s">
        <v>63</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520"/>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701</v>
      </c>
      <c r="U9" s="367"/>
      <c r="V9" s="367"/>
      <c r="W9" s="367"/>
      <c r="X9" s="367"/>
      <c r="Y9" s="367"/>
      <c r="Z9" s="367"/>
      <c r="AA9" s="367"/>
      <c r="AB9" s="367"/>
      <c r="AC9" s="367"/>
      <c r="AD9" s="367"/>
      <c r="AE9" s="367"/>
      <c r="AF9" s="367"/>
      <c r="AG9" s="367"/>
      <c r="AH9" s="367"/>
      <c r="AI9" s="367"/>
      <c r="AJ9" s="367"/>
      <c r="AK9" s="1286" t="s">
        <v>702</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511"/>
      <c r="R10" s="352"/>
      <c r="S10" s="1308"/>
      <c r="T10" s="364" t="s">
        <v>627</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21" hidden="1">
      <c r="A11" s="1393"/>
      <c r="B11" s="1393"/>
      <c r="C11" s="1393"/>
      <c r="D11" s="1393"/>
      <c r="E11" s="2108"/>
      <c r="F11" s="2108"/>
      <c r="G11" s="2108"/>
      <c r="H11" s="2107"/>
      <c r="I11" s="1393"/>
      <c r="J11" s="1393"/>
      <c r="K11" s="1393"/>
      <c r="L11" s="1394"/>
      <c r="M11" s="1395"/>
      <c r="N11" s="1395"/>
      <c r="O11" s="543"/>
      <c r="P11" s="356"/>
      <c r="Q11" s="376"/>
      <c r="R11" s="351"/>
      <c r="S11" s="1308"/>
      <c r="T11" s="372" t="s">
        <v>703</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4" customFormat="1" customHeight="1" ht="14.25" hidden="1">
      <c r="A12" s="1373"/>
      <c r="B12" s="1373"/>
      <c r="C12" s="1344"/>
      <c r="D12" s="1344"/>
      <c r="E12" s="2108"/>
      <c r="F12" s="2107"/>
      <c r="G12" s="1344"/>
      <c r="H12" s="1344"/>
      <c r="I12" s="1344"/>
      <c r="J12" s="1344"/>
      <c r="K12" s="1344"/>
      <c r="L12" s="1524"/>
      <c r="M12" s="1351"/>
      <c r="N12" s="1351"/>
      <c r="P12" s="1346"/>
      <c r="Q12" s="1347"/>
      <c r="R12" s="1346"/>
      <c r="S12" s="1352"/>
      <c r="T12" s="1355" t="s">
        <v>255</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2"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63</v>
      </c>
      <c r="AH15" s="2105"/>
      <c r="AI15" s="2104" t="s">
        <v>63</v>
      </c>
    </row>
    <row customHeight="1" ht="14.25" hidden="1">
      <c r="AC16" s="1390"/>
      <c r="AD16" s="1390"/>
      <c r="AE16" s="324" t="str">
        <f>AF15&amp;"-"&amp;AH15</f>
        <v>-</v>
      </c>
      <c r="AF16" s="2104"/>
      <c r="AG16" s="2104"/>
      <c r="AH16" s="2104"/>
      <c r="AI16" s="2104"/>
    </row>
    <row customHeight="1" ht="14.25" hidden="1">
      <c r="AI17" s="323"/>
    </row>
    <row s="2683" customFormat="1" customHeight="1" ht="22.5" hidden="1">
      <c r="L18" s="1508"/>
      <c r="M18" s="1392"/>
      <c r="N18" s="1392"/>
      <c r="O18" s="1397" t="s">
        <v>629</v>
      </c>
      <c r="P18" s="1392"/>
      <c r="Q18" s="1401"/>
      <c r="R18" s="1401"/>
      <c r="S18" s="735"/>
      <c r="Y18" s="1397"/>
      <c r="AA18" s="1397"/>
      <c r="AB18" s="1396"/>
      <c r="AF18" s="1397"/>
      <c r="AH18" s="1397"/>
      <c r="AI18" s="1396"/>
      <c r="AL18" s="517"/>
      <c r="AM18" s="517"/>
      <c r="AN18" s="517"/>
      <c r="AO18" s="517"/>
      <c r="AP18" s="517"/>
    </row>
    <row s="2683" customFormat="1" customHeight="1" ht="14.25" hidden="1">
      <c r="L19" s="1508"/>
      <c r="M19" s="1392"/>
      <c r="N19" s="1392"/>
      <c r="O19" s="1392"/>
      <c r="P19" s="1392"/>
      <c r="Q19" s="1401"/>
      <c r="R19" s="1401"/>
      <c r="S19" s="735"/>
      <c r="AB19" s="1396"/>
      <c r="AI19" s="1396"/>
      <c r="AL19" s="517"/>
      <c r="AM19" s="517"/>
      <c r="AN19" s="517"/>
      <c r="AO19" s="517"/>
      <c r="AP19" s="517"/>
    </row>
    <row s="2683" customFormat="1" customHeight="1" ht="12" hidden="1">
      <c r="L20" s="1508"/>
      <c r="M20" s="1392"/>
      <c r="N20" s="1392"/>
      <c r="O20" s="1394" t="s">
        <v>630</v>
      </c>
      <c r="P20" s="1392"/>
      <c r="Q20" s="1472"/>
      <c r="R20" s="1472"/>
      <c r="S20" s="735"/>
      <c r="T20" s="1168" t="s">
        <v>631</v>
      </c>
      <c r="Z20" s="172" t="s">
        <v>632</v>
      </c>
      <c r="AB20" s="172" t="s">
        <v>633</v>
      </c>
      <c r="AC20" s="1168" t="s">
        <v>631</v>
      </c>
      <c r="AG20" s="172" t="s">
        <v>634</v>
      </c>
      <c r="AI20" s="172" t="s">
        <v>633</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14.25">
      <c r="Q24" s="377"/>
      <c r="R24" s="377"/>
      <c r="S24" s="214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5"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5" customFormat="1" customHeight="1" ht="18.75">
      <c r="A28" s="1398"/>
      <c r="B28" s="1398"/>
      <c r="C28" s="1398"/>
      <c r="D28" s="1398"/>
      <c r="E28" s="1398"/>
      <c r="F28" s="1398"/>
      <c r="G28" s="1398"/>
      <c r="H28" s="1398"/>
      <c r="I28" s="1398"/>
      <c r="J28" s="1398"/>
      <c r="K28" s="1398"/>
      <c r="L28" s="1399"/>
      <c r="M28" s="1398"/>
      <c r="N28" s="1398"/>
      <c r="O28" s="1398"/>
      <c r="S28" s="2098" t="s">
        <v>635</v>
      </c>
      <c r="T28" s="2098"/>
      <c r="U28" s="1402"/>
      <c r="V28" s="2099" t="str">
        <f>IF(TITLE_DATE_PR_CHANGE="",IF(TITLE_DATE_PR="","",TITLE_DATE_PR),TITLE_DATE_PR_CHANGE)</f>
        <v>45205</v>
      </c>
      <c r="W28" s="2099"/>
      <c r="X28" s="2099"/>
      <c r="Y28" s="2099"/>
      <c r="Z28" s="2099"/>
      <c r="AA28" s="2099"/>
      <c r="AB28" s="322"/>
      <c r="AC28" s="2099" t="str">
        <f>IF(TITLE_DATE_PR_CHANGE="",IF(TITLE_DATE_PR="","",TITLE_DATE_PR),TITLE_DATE_PR_CHANGE)</f>
        <v>45205</v>
      </c>
      <c r="AD28" s="2099"/>
      <c r="AE28" s="2099"/>
      <c r="AF28" s="2099"/>
      <c r="AG28" s="2099"/>
      <c r="AH28" s="2099"/>
      <c r="AI28" s="322"/>
      <c r="AJ28" s="322"/>
      <c r="AK28" s="268"/>
      <c r="AL28" s="368"/>
      <c r="AM28" s="368"/>
      <c r="AN28" s="368"/>
      <c r="AO28" s="368"/>
      <c r="AP28" s="368"/>
    </row>
    <row s="3345" customFormat="1" customHeight="1" ht="18.75">
      <c r="A29" s="1398"/>
      <c r="B29" s="1398"/>
      <c r="C29" s="1398"/>
      <c r="D29" s="1398"/>
      <c r="E29" s="1398"/>
      <c r="F29" s="1398"/>
      <c r="G29" s="1398"/>
      <c r="H29" s="1398"/>
      <c r="I29" s="1398"/>
      <c r="J29" s="1398"/>
      <c r="K29" s="1398"/>
      <c r="L29" s="1399"/>
      <c r="M29" s="1398"/>
      <c r="N29" s="1398"/>
      <c r="O29" s="1398"/>
      <c r="S29" s="2098" t="s">
        <v>636</v>
      </c>
      <c r="T29" s="2098"/>
      <c r="U29" s="1402"/>
      <c r="V29" s="2100" t="str">
        <f>IF(TITLE_NUMBER_PR_CHANGE="",IF(TITLE_NUMBER_PR="","",TITLE_NUMBER_PR),TITLE_NUMBER_PR_CHANGE)</f>
        <v>36/2</v>
      </c>
      <c r="W29" s="2100"/>
      <c r="X29" s="2100"/>
      <c r="Y29" s="2100"/>
      <c r="Z29" s="2100"/>
      <c r="AA29" s="2100"/>
      <c r="AB29" s="322"/>
      <c r="AC29" s="2100" t="str">
        <f>IF(TITLE_NUMBER_PR_CHANGE="",IF(TITLE_NUMBER_PR="","",TITLE_NUMBER_PR),TITLE_NUMBER_PR_CHANGE)</f>
        <v>36/2</v>
      </c>
      <c r="AD29" s="2100"/>
      <c r="AE29" s="2100"/>
      <c r="AF29" s="2100"/>
      <c r="AG29" s="2100"/>
      <c r="AH29" s="2100"/>
      <c r="AI29" s="322"/>
      <c r="AJ29" s="322"/>
      <c r="AK29" s="268"/>
      <c r="AL29" s="368"/>
      <c r="AM29" s="368"/>
      <c r="AN29" s="368"/>
      <c r="AO29" s="368"/>
      <c r="AP29" s="368"/>
    </row>
    <row s="3345"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https://npa.gov-murman.ru/bitrix/components/b1team/govmurman.element.file/download.php?ID=495002&amp;FID=732763</v>
      </c>
      <c r="W30" s="2100"/>
      <c r="X30" s="2100"/>
      <c r="Y30" s="2100"/>
      <c r="Z30" s="2100"/>
      <c r="AA30" s="2100"/>
      <c r="AB30" s="322"/>
      <c r="AC30" s="2100" t="str">
        <f>IF(TITLE_IST_PUB_CHANGE="",IF(TITLE_IST_PUB="","",TITLE_IST_PUB),TITLE_IST_PUB_CHANGE)</f>
        <v>https://npa.gov-murman.ru/bitrix/components/b1team/govmurman.element.file/download.php?ID=495002&amp;FID=732763</v>
      </c>
      <c r="AD30" s="2100"/>
      <c r="AE30" s="2100"/>
      <c r="AF30" s="2100"/>
      <c r="AG30" s="2100"/>
      <c r="AH30" s="2100"/>
      <c r="AI30" s="322"/>
      <c r="AJ30" s="322"/>
      <c r="AK30" s="268"/>
      <c r="AL30" s="368"/>
      <c r="AM30" s="368"/>
      <c r="AN30" s="368"/>
      <c r="AO30" s="368"/>
      <c r="AP30" s="368"/>
    </row>
    <row customHeight="1" ht="14.25" hidden="1">
      <c r="Q31" s="377"/>
      <c r="R31" s="377"/>
      <c r="S31" s="1305"/>
      <c r="T31" s="361"/>
      <c r="U31" s="361"/>
      <c r="V31" s="316"/>
      <c r="W31" s="316"/>
      <c r="X31" s="316"/>
      <c r="Y31" s="316"/>
      <c r="Z31" s="316"/>
      <c r="AA31" s="316"/>
      <c r="AB31" s="316"/>
      <c r="AC31" s="316"/>
      <c r="AD31" s="316"/>
      <c r="AE31" s="316"/>
      <c r="AF31" s="316"/>
      <c r="AG31" s="316"/>
      <c r="AH31" s="316"/>
      <c r="AI31" s="316"/>
      <c r="AJ31" s="515"/>
    </row>
    <row s="3345" customFormat="1" customHeight="1" ht="18.75" hidden="1">
      <c r="A32" s="1398"/>
      <c r="B32" s="1398"/>
      <c r="C32" s="1398"/>
      <c r="D32" s="1398"/>
      <c r="E32" s="1398"/>
      <c r="F32" s="1398"/>
      <c r="G32" s="1398"/>
      <c r="H32" s="1398"/>
      <c r="I32" s="1398"/>
      <c r="J32" s="1398"/>
      <c r="K32" s="1398"/>
      <c r="L32" s="1399"/>
      <c r="M32" s="1398"/>
      <c r="N32" s="1398"/>
      <c r="O32" s="1398"/>
      <c r="S32" s="2098" t="s">
        <v>637</v>
      </c>
      <c r="T32" s="2098"/>
      <c r="U32" s="1402"/>
      <c r="V32" s="2099" t="str">
        <f>IF(TITLE_DATE_PR_CHANGE="",IF(TITLE_DATE_PR="","",TITLE_DATE_PR),TITLE_DATE_PR_CHANGE)</f>
        <v>45205</v>
      </c>
      <c r="W32" s="2099"/>
      <c r="X32" s="2099"/>
      <c r="Y32" s="2099"/>
      <c r="Z32" s="2099"/>
      <c r="AA32" s="2099"/>
      <c r="AB32" s="322"/>
      <c r="AC32" s="2099" t="str">
        <f>IF(TITLE_DATE_PR_CHANGE="",IF(TITLE_DATE_PR="","",TITLE_DATE_PR),TITLE_DATE_PR_CHANGE)</f>
        <v>45205</v>
      </c>
      <c r="AD32" s="2099"/>
      <c r="AE32" s="2099"/>
      <c r="AF32" s="2099"/>
      <c r="AG32" s="2099"/>
      <c r="AH32" s="2099"/>
      <c r="AI32" s="322"/>
      <c r="AJ32" s="322"/>
      <c r="AK32" s="268"/>
      <c r="AL32" s="368"/>
      <c r="AM32" s="368"/>
      <c r="AN32" s="368"/>
      <c r="AO32" s="368"/>
      <c r="AP32" s="368"/>
    </row>
    <row s="3345" customFormat="1" customHeight="1" ht="18.75" hidden="1">
      <c r="A33" s="1398"/>
      <c r="B33" s="1398"/>
      <c r="C33" s="1398"/>
      <c r="D33" s="1398"/>
      <c r="E33" s="1398"/>
      <c r="F33" s="1398"/>
      <c r="G33" s="1398"/>
      <c r="H33" s="1398"/>
      <c r="I33" s="1398"/>
      <c r="J33" s="1398"/>
      <c r="K33" s="1398"/>
      <c r="L33" s="1399"/>
      <c r="M33" s="1398"/>
      <c r="N33" s="1398"/>
      <c r="O33" s="1398"/>
      <c r="S33" s="2098" t="s">
        <v>638</v>
      </c>
      <c r="T33" s="2098"/>
      <c r="U33" s="1402"/>
      <c r="V33" s="2100" t="str">
        <f>IF(TITLE_NUMBER_PR_CHANGE="",IF(TITLE_NUMBER_PR="","",TITLE_NUMBER_PR),TITLE_NUMBER_PR_CHANGE)</f>
        <v>36/2</v>
      </c>
      <c r="W33" s="2100"/>
      <c r="X33" s="2100"/>
      <c r="Y33" s="2100"/>
      <c r="Z33" s="2100"/>
      <c r="AA33" s="2100"/>
      <c r="AB33" s="322"/>
      <c r="AC33" s="2100" t="str">
        <f>IF(TITLE_NUMBER_PR_CHANGE="",IF(TITLE_NUMBER_PR="","",TITLE_NUMBER_PR),TITLE_NUMBER_PR_CHANGE)</f>
        <v>36/2</v>
      </c>
      <c r="AD33" s="2100"/>
      <c r="AE33" s="2100"/>
      <c r="AF33" s="2100"/>
      <c r="AG33" s="2100"/>
      <c r="AH33" s="2100"/>
      <c r="AI33" s="322"/>
      <c r="AJ33" s="322"/>
      <c r="AK33" s="268"/>
      <c r="AL33" s="368"/>
      <c r="AM33" s="368"/>
      <c r="AN33" s="368"/>
      <c r="AO33" s="368"/>
      <c r="AP33" s="368"/>
    </row>
    <row s="3345" customFormat="1" customHeight="1" ht="0.75">
      <c r="A34" s="1398"/>
      <c r="B34" s="1398"/>
      <c r="C34" s="1398"/>
      <c r="D34" s="1398"/>
      <c r="E34" s="1398"/>
      <c r="F34" s="1398"/>
      <c r="G34" s="1398"/>
      <c r="H34" s="1398"/>
      <c r="I34" s="1398"/>
      <c r="J34" s="1398"/>
      <c r="K34" s="1398"/>
      <c r="L34" s="1399"/>
      <c r="M34" s="1398"/>
      <c r="N34" s="1398"/>
      <c r="O34" s="1398"/>
      <c r="S34" s="318"/>
      <c r="T34" s="318"/>
      <c r="U34" s="1518"/>
      <c r="V34" s="322"/>
      <c r="W34" s="322"/>
      <c r="X34" s="322"/>
      <c r="Y34" s="322"/>
      <c r="Z34" s="322"/>
      <c r="AA34" s="322"/>
      <c r="AB34" s="266" t="s">
        <v>639</v>
      </c>
      <c r="AC34" s="322"/>
      <c r="AD34" s="322"/>
      <c r="AE34" s="322"/>
      <c r="AF34" s="322"/>
      <c r="AG34" s="322"/>
      <c r="AH34" s="322"/>
      <c r="AI34" s="266" t="s">
        <v>639</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513</v>
      </c>
      <c r="T36" s="1971"/>
      <c r="U36" s="1971"/>
      <c r="V36" s="1971"/>
      <c r="W36" s="1971"/>
      <c r="X36" s="1971"/>
      <c r="Y36" s="1971"/>
      <c r="Z36" s="1971"/>
      <c r="AA36" s="1971"/>
      <c r="AB36" s="1971"/>
      <c r="AC36" s="1971"/>
      <c r="AD36" s="1971"/>
      <c r="AE36" s="1971"/>
      <c r="AF36" s="1971"/>
      <c r="AG36" s="1971"/>
      <c r="AH36" s="1971"/>
      <c r="AI36" s="1971"/>
      <c r="AJ36" s="1971"/>
      <c r="AK36" s="1971" t="s">
        <v>514</v>
      </c>
    </row>
    <row customHeight="1" ht="14.25">
      <c r="Q37" s="377"/>
      <c r="R37" s="377"/>
      <c r="S37" s="2125" t="s">
        <v>89</v>
      </c>
      <c r="T37" s="2062" t="s">
        <v>640</v>
      </c>
      <c r="U37" s="289"/>
      <c r="V37" s="2126" t="s">
        <v>641</v>
      </c>
      <c r="W37" s="2127"/>
      <c r="X37" s="2127"/>
      <c r="Y37" s="2127"/>
      <c r="Z37" s="2127"/>
      <c r="AA37" s="2128"/>
      <c r="AB37" s="2129" t="s">
        <v>642</v>
      </c>
      <c r="AC37" s="2126" t="s">
        <v>641</v>
      </c>
      <c r="AD37" s="2127"/>
      <c r="AE37" s="2127"/>
      <c r="AF37" s="2127"/>
      <c r="AG37" s="2127"/>
      <c r="AH37" s="2128"/>
      <c r="AI37" s="2129" t="s">
        <v>643</v>
      </c>
      <c r="AJ37" s="2132" t="s">
        <v>644</v>
      </c>
      <c r="AK37" s="1971"/>
    </row>
    <row customHeight="1" ht="33.75">
      <c r="Q38" s="377"/>
      <c r="R38" s="377"/>
      <c r="S38" s="2125"/>
      <c r="T38" s="2062"/>
      <c r="U38" s="1038"/>
      <c r="V38" s="1513" t="s">
        <v>704</v>
      </c>
      <c r="W38" s="2118" t="s">
        <v>647</v>
      </c>
      <c r="X38" s="2120"/>
      <c r="Y38" s="2118" t="s">
        <v>648</v>
      </c>
      <c r="Z38" s="2119"/>
      <c r="AA38" s="2120"/>
      <c r="AB38" s="2130"/>
      <c r="AC38" s="1513" t="s">
        <v>704</v>
      </c>
      <c r="AD38" s="2118" t="s">
        <v>647</v>
      </c>
      <c r="AE38" s="2120"/>
      <c r="AF38" s="2118" t="s">
        <v>648</v>
      </c>
      <c r="AG38" s="2119"/>
      <c r="AH38" s="2120"/>
      <c r="AI38" s="2130"/>
      <c r="AJ38" s="2133"/>
      <c r="AK38" s="1971"/>
    </row>
    <row customHeight="1" ht="86.25">
      <c r="A39" s="1400"/>
      <c r="B39" s="1400" t="s">
        <v>216</v>
      </c>
      <c r="C39" s="1400" t="s">
        <v>217</v>
      </c>
      <c r="D39" s="1400" t="s">
        <v>218</v>
      </c>
      <c r="E39" s="1394" t="s">
        <v>649</v>
      </c>
      <c r="F39" s="1394" t="s">
        <v>650</v>
      </c>
      <c r="G39" s="1394" t="s">
        <v>651</v>
      </c>
      <c r="H39" s="1394"/>
      <c r="I39" s="1394" t="s">
        <v>705</v>
      </c>
      <c r="J39" s="1394" t="s">
        <v>654</v>
      </c>
      <c r="K39" s="1394" t="s">
        <v>706</v>
      </c>
      <c r="L39" s="1394" t="s">
        <v>630</v>
      </c>
      <c r="Q39" s="377"/>
      <c r="R39" s="377"/>
      <c r="S39" s="2125"/>
      <c r="T39" s="2062"/>
      <c r="U39" s="290"/>
      <c r="V39" s="1513" t="s">
        <v>731</v>
      </c>
      <c r="W39" s="1237" t="s">
        <v>732</v>
      </c>
      <c r="X39" s="1237" t="s">
        <v>709</v>
      </c>
      <c r="Y39" s="1519" t="s">
        <v>658</v>
      </c>
      <c r="Z39" s="2121" t="s">
        <v>659</v>
      </c>
      <c r="AA39" s="2122"/>
      <c r="AB39" s="2131"/>
      <c r="AC39" s="1513" t="s">
        <v>731</v>
      </c>
      <c r="AD39" s="1237" t="s">
        <v>732</v>
      </c>
      <c r="AE39" s="1237" t="s">
        <v>709</v>
      </c>
      <c r="AF39" s="1519" t="s">
        <v>658</v>
      </c>
      <c r="AG39" s="2121" t="s">
        <v>659</v>
      </c>
      <c r="AH39" s="2122"/>
      <c r="AI39" s="2131"/>
      <c r="AJ39" s="2134"/>
      <c r="AK39" s="1971"/>
    </row>
    <row s="2611" customFormat="1" customHeight="1" ht="0">
      <c r="A40" s="1400"/>
      <c r="B40" s="1400"/>
      <c r="C40" s="1400"/>
      <c r="D40" s="1400"/>
      <c r="E40" s="1400"/>
      <c r="F40" s="1400"/>
      <c r="G40" s="1400"/>
      <c r="H40" s="1400"/>
      <c r="I40" s="1400"/>
      <c r="J40" s="1400"/>
      <c r="K40" s="1400"/>
      <c r="L40" s="1394"/>
      <c r="M40" s="1392"/>
      <c r="N40" s="1392"/>
      <c r="O40" s="1392"/>
      <c r="P40" s="1264"/>
      <c r="Q40" s="1265"/>
      <c r="R40" s="1280">
        <v>1</v>
      </c>
      <c r="S40" s="1307" t="s">
        <v>193</v>
      </c>
      <c r="T40" s="1281" t="s">
        <v>104</v>
      </c>
      <c r="U40" s="1263" t="str">
        <f>OFFSET(U40,0,-1)</f>
        <v>2</v>
      </c>
      <c r="V40" s="1512">
        <f>OFFSET(V40,0,-1)+1</f>
        <v>3</v>
      </c>
      <c r="W40" s="1512">
        <f>OFFSET(W40,0,-1)+1</f>
        <v>4</v>
      </c>
      <c r="X40" s="1512">
        <f>OFFSET(X40,0,-1)+1</f>
        <v>5</v>
      </c>
      <c r="Y40" s="1512">
        <f>OFFSET(Y40,0,-1)+1</f>
        <v>6</v>
      </c>
      <c r="Z40" s="2123">
        <f>OFFSET(Z40,0,-1)+1</f>
        <v>7</v>
      </c>
      <c r="AA40" s="2123"/>
      <c r="AB40" s="1512">
        <f>OFFSET(AB40,0,-2)+1</f>
        <v>8</v>
      </c>
      <c r="AC40" s="1512">
        <f>OFFSET(AC40,0,-1)+1</f>
        <v>9</v>
      </c>
      <c r="AD40" s="1512">
        <f>OFFSET(AD40,0,-1)+1</f>
        <v>10</v>
      </c>
      <c r="AE40" s="1512">
        <f>OFFSET(AE40,0,-1)+1</f>
        <v>11</v>
      </c>
      <c r="AF40" s="1512">
        <f>OFFSET(AF40,0,-1)+1</f>
        <v>12</v>
      </c>
      <c r="AG40" s="2123">
        <f>OFFSET(AG40,0,-1)+1</f>
        <v>13</v>
      </c>
      <c r="AH40" s="2123"/>
      <c r="AI40" s="1512">
        <f>OFFSET(AI40,0,-2)+1</f>
        <v>14</v>
      </c>
      <c r="AJ40" s="1263">
        <f>OFFSET(AJ40,0,-1)</f>
        <v>14</v>
      </c>
      <c r="AK40" s="1512">
        <f>OFFSET(AK40,0,-1)+1</f>
        <v>15</v>
      </c>
      <c r="AL40" s="517"/>
      <c r="AM40" s="517"/>
      <c r="AN40" s="517"/>
      <c r="AO40" s="517"/>
      <c r="AP40" s="517"/>
    </row>
    <row customHeight="1" ht="23.25">
      <c r="A41" s="1393" t="s">
        <v>484</v>
      </c>
      <c r="B41" s="1393"/>
      <c r="C41" s="1393"/>
      <c r="D41" s="1393"/>
      <c r="E41" s="2107">
        <v>1</v>
      </c>
      <c r="F41" s="1393"/>
      <c r="G41" s="1393"/>
      <c r="H41" s="1393"/>
      <c r="I41" s="1393"/>
      <c r="J41" s="1393"/>
      <c r="K41" s="1393"/>
      <c r="L41" s="1394"/>
      <c r="M41" s="1395"/>
      <c r="N41" s="1395"/>
      <c r="O41" s="1395"/>
      <c r="P41" s="357"/>
      <c r="Q41" s="356"/>
      <c r="R41" s="351"/>
      <c r="S41" s="1523">
        <f>INDEX(PT_DIFFERENTIATION_NUM_NTAR,MATCH(A41,PT_DIFFERENTIATION_NTAR_ID,0))</f>
        <v>0</v>
      </c>
      <c r="T41" s="286" t="s">
        <v>204</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484</v>
      </c>
      <c r="B42" s="1393" t="s">
        <v>485</v>
      </c>
      <c r="C42" s="1393"/>
      <c r="D42" s="1393"/>
      <c r="E42" s="2108"/>
      <c r="F42" s="2107">
        <v>1</v>
      </c>
      <c r="G42" s="1393"/>
      <c r="H42" s="1393"/>
      <c r="I42" s="1393"/>
      <c r="J42" s="1393"/>
      <c r="K42" s="1393"/>
      <c r="L42" s="1394"/>
      <c r="M42" s="1395"/>
      <c r="N42" s="1395"/>
      <c r="O42" s="1395"/>
      <c r="P42" s="1517"/>
      <c r="Q42" s="348"/>
      <c r="R42" s="349"/>
      <c r="S42" s="1523" t="str">
        <f>INDEX(PT_DIFFERENTIATION_NUM_TER,MATCH(B42,PT_DIFFERENTIATION_TER_ID,0))</f>
        <v>.</v>
      </c>
      <c r="T42" s="298" t="s">
        <v>612</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613</v>
      </c>
      <c r="AM42" s="506"/>
      <c r="AN42" s="506" t="str">
        <f>IF(T42="","",T42)</f>
        <v>Территория действия тарифа</v>
      </c>
      <c r="AO42" s="506"/>
      <c r="AP42" s="506"/>
    </row>
    <row customHeight="1" ht="23.25">
      <c r="A43" s="1393" t="s">
        <v>484</v>
      </c>
      <c r="B43" s="1393" t="s">
        <v>485</v>
      </c>
      <c r="C43" s="1393" t="s">
        <v>486</v>
      </c>
      <c r="D43" s="1393"/>
      <c r="E43" s="2108"/>
      <c r="F43" s="2108"/>
      <c r="G43" s="2107">
        <v>1</v>
      </c>
      <c r="H43" s="1393"/>
      <c r="I43" s="1393"/>
      <c r="J43" s="1393"/>
      <c r="K43" s="1393"/>
      <c r="L43" s="1394"/>
      <c r="M43" s="1395"/>
      <c r="N43" s="1395"/>
      <c r="O43" s="1395"/>
      <c r="P43" s="350"/>
      <c r="Q43" s="348"/>
      <c r="R43" s="349"/>
      <c r="S43" s="1523" t="str">
        <f>INDEX(PT_DIFFERENTIATION_NUM_CS,MATCH(C43,PT_DIFFERENTIATION_CS_ID,0))</f>
        <v>..</v>
      </c>
      <c r="T43" s="299" t="s">
        <v>729</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730</v>
      </c>
      <c r="AM43" s="506"/>
      <c r="AN43" s="506" t="str">
        <f>IF(T43="","",T43)</f>
        <v>Наименование централизованной системы водоотведения</v>
      </c>
      <c r="AO43" s="506"/>
      <c r="AP43" s="506"/>
    </row>
    <row customHeight="1" ht="23.25">
      <c r="A44" s="1393" t="s">
        <v>484</v>
      </c>
      <c r="B44" s="1393" t="s">
        <v>485</v>
      </c>
      <c r="C44" s="1393" t="s">
        <v>486</v>
      </c>
      <c r="D44" s="1393" t="s">
        <v>734</v>
      </c>
      <c r="E44" s="2108"/>
      <c r="F44" s="2108"/>
      <c r="G44" s="2108"/>
      <c r="H44" s="2108"/>
      <c r="I44" s="2109" t="str">
        <f>S43&amp;".1"</f>
        <v>...1</v>
      </c>
      <c r="J44" s="1393"/>
      <c r="K44" s="1393"/>
      <c r="L44" s="1394"/>
      <c r="P44" s="2111">
        <v>1</v>
      </c>
      <c r="Q44" s="1511"/>
      <c r="R44" s="352"/>
      <c r="S44" s="1523" t="str">
        <f>$I44</f>
        <v>...1</v>
      </c>
      <c r="T44" s="273" t="s">
        <v>698</v>
      </c>
      <c r="U44" s="288"/>
      <c r="V44" s="2194"/>
      <c r="W44" s="2195"/>
      <c r="X44" s="2195"/>
      <c r="Y44" s="2195"/>
      <c r="Z44" s="2195"/>
      <c r="AA44" s="2195"/>
      <c r="AB44" s="2196"/>
      <c r="AC44" s="2197"/>
      <c r="AD44" s="2198"/>
      <c r="AE44" s="2198"/>
      <c r="AF44" s="2198"/>
      <c r="AG44" s="2198"/>
      <c r="AH44" s="2198"/>
      <c r="AI44" s="2198"/>
      <c r="AJ44" s="2199"/>
      <c r="AK44" s="1286" t="s">
        <v>699</v>
      </c>
      <c r="AM44" s="506"/>
      <c r="AN44" s="506" t="str">
        <f>IF(T44="","",T44)</f>
        <v>Наименование признака дифференциации</v>
      </c>
      <c r="AO44" s="506"/>
      <c r="AP44" s="506"/>
    </row>
    <row customHeight="1" ht="23.25">
      <c r="A45" s="1393" t="s">
        <v>484</v>
      </c>
      <c r="B45" s="1393" t="s">
        <v>485</v>
      </c>
      <c r="C45" s="1393" t="s">
        <v>486</v>
      </c>
      <c r="D45" s="1393" t="s">
        <v>734</v>
      </c>
      <c r="E45" s="2108"/>
      <c r="F45" s="2108"/>
      <c r="G45" s="2108"/>
      <c r="H45" s="2108"/>
      <c r="I45" s="2110"/>
      <c r="J45" s="2109" t="str">
        <f>I44&amp;".1"</f>
        <v>...1.1</v>
      </c>
      <c r="K45" s="1393"/>
      <c r="L45" s="1394" t="s">
        <v>621</v>
      </c>
      <c r="P45" s="2111"/>
      <c r="Q45" s="2111">
        <v>1</v>
      </c>
      <c r="R45" s="353"/>
      <c r="S45" s="1523" t="str">
        <f>$J45</f>
        <v>...1.1</v>
      </c>
      <c r="T45" s="274" t="s">
        <v>622</v>
      </c>
      <c r="U45" s="288"/>
      <c r="V45" s="2095"/>
      <c r="W45" s="2096"/>
      <c r="X45" s="2096"/>
      <c r="Y45" s="2096"/>
      <c r="Z45" s="2096"/>
      <c r="AA45" s="2096"/>
      <c r="AB45" s="2097"/>
      <c r="AC45" s="2095"/>
      <c r="AD45" s="2096"/>
      <c r="AE45" s="2096"/>
      <c r="AF45" s="2096"/>
      <c r="AG45" s="2096"/>
      <c r="AH45" s="2096"/>
      <c r="AI45" s="2096"/>
      <c r="AJ45" s="2097"/>
      <c r="AK45" s="1337" t="s">
        <v>700</v>
      </c>
      <c r="AM45" s="506"/>
      <c r="AN45" s="506" t="str">
        <f>IF(T45="","",T45)</f>
        <v>Группа потребителей</v>
      </c>
      <c r="AO45" s="506"/>
      <c r="AP45" s="506"/>
    </row>
    <row customHeight="1" ht="23.25">
      <c r="A46" s="1393" t="s">
        <v>484</v>
      </c>
      <c r="B46" s="1393" t="s">
        <v>485</v>
      </c>
      <c r="C46" s="1393" t="s">
        <v>486</v>
      </c>
      <c r="D46" s="1393" t="s">
        <v>734</v>
      </c>
      <c r="E46" s="2108"/>
      <c r="F46" s="2108"/>
      <c r="G46" s="2108"/>
      <c r="H46" s="2108"/>
      <c r="I46" s="2110"/>
      <c r="J46" s="2110"/>
      <c r="K46" s="2109" t="str">
        <f>J45&amp;".1"</f>
        <v>...1.1.1</v>
      </c>
      <c r="L46" s="1394"/>
      <c r="P46" s="2111"/>
      <c r="Q46" s="2111"/>
      <c r="R46" s="353">
        <v>1</v>
      </c>
      <c r="S46" s="1523" t="str">
        <f>$K46</f>
        <v>...1.1.1</v>
      </c>
      <c r="T46" s="1467"/>
      <c r="U46" s="288"/>
      <c r="V46" s="1390"/>
      <c r="W46" s="1390"/>
      <c r="X46" s="1391"/>
      <c r="Y46" s="2105"/>
      <c r="Z46" s="2104" t="s">
        <v>63</v>
      </c>
      <c r="AA46" s="2105"/>
      <c r="AB46" s="2104" t="s">
        <v>63</v>
      </c>
      <c r="AC46" s="757"/>
      <c r="AD46" s="757"/>
      <c r="AE46" s="1285"/>
      <c r="AF46" s="2112"/>
      <c r="AG46" s="1981" t="s">
        <v>63</v>
      </c>
      <c r="AH46" s="2114"/>
      <c r="AI46" s="1981" t="s">
        <v>58</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484</v>
      </c>
      <c r="B47" s="1393" t="s">
        <v>485</v>
      </c>
      <c r="C47" s="1393" t="s">
        <v>486</v>
      </c>
      <c r="D47" s="1393" t="s">
        <v>734</v>
      </c>
      <c r="E47" s="2108"/>
      <c r="F47" s="2108"/>
      <c r="G47" s="2108"/>
      <c r="H47" s="2108"/>
      <c r="I47" s="2110"/>
      <c r="J47" s="2110"/>
      <c r="K47" s="2109"/>
      <c r="L47" s="1394"/>
      <c r="P47" s="2111"/>
      <c r="Q47" s="2111"/>
      <c r="R47" s="353"/>
      <c r="S47" s="1520"/>
      <c r="T47" s="288"/>
      <c r="U47" s="288"/>
      <c r="V47" s="1390"/>
      <c r="W47" s="1390"/>
      <c r="X47" s="324" t="str">
        <f>Y46&amp;"-"&amp;AA46</f>
        <v>-</v>
      </c>
      <c r="Y47" s="2104"/>
      <c r="Z47" s="2104"/>
      <c r="AA47" s="2104"/>
      <c r="AB47" s="2104"/>
      <c r="AC47" s="320"/>
      <c r="AD47" s="320"/>
      <c r="AE47" s="324" t="str">
        <f>AF46&amp;"-"&amp;AH46</f>
        <v>-</v>
      </c>
      <c r="AF47" s="2113"/>
      <c r="AG47" s="1981"/>
      <c r="AH47" s="2115"/>
      <c r="AI47" s="1981"/>
      <c r="AJ47" s="1469"/>
      <c r="AK47" s="2200"/>
      <c r="AM47" s="506"/>
      <c r="AN47" s="506" t="str">
        <f>IF(T47="","",T47)</f>
        <v/>
      </c>
      <c r="AO47" s="506"/>
      <c r="AP47" s="506"/>
    </row>
    <row customHeight="1" ht="21">
      <c r="A48" s="1393" t="s">
        <v>484</v>
      </c>
      <c r="B48" s="1393" t="s">
        <v>485</v>
      </c>
      <c r="C48" s="1393" t="s">
        <v>486</v>
      </c>
      <c r="D48" s="1393" t="s">
        <v>734</v>
      </c>
      <c r="E48" s="2108"/>
      <c r="F48" s="2108"/>
      <c r="G48" s="2108"/>
      <c r="H48" s="2108"/>
      <c r="I48" s="2110"/>
      <c r="J48" s="2109"/>
      <c r="K48" s="1393"/>
      <c r="L48" s="1394"/>
      <c r="P48" s="2111"/>
      <c r="Q48" s="2111"/>
      <c r="R48" s="352"/>
      <c r="S48" s="1308"/>
      <c r="T48" s="275" t="s">
        <v>701</v>
      </c>
      <c r="U48" s="367"/>
      <c r="V48" s="367"/>
      <c r="W48" s="367"/>
      <c r="X48" s="367"/>
      <c r="Y48" s="367"/>
      <c r="Z48" s="367"/>
      <c r="AA48" s="367"/>
      <c r="AB48" s="367"/>
      <c r="AC48" s="367"/>
      <c r="AD48" s="367"/>
      <c r="AE48" s="367"/>
      <c r="AF48" s="367"/>
      <c r="AG48" s="367"/>
      <c r="AH48" s="367"/>
      <c r="AI48" s="367"/>
      <c r="AJ48" s="367"/>
      <c r="AK48" s="1286" t="s">
        <v>702</v>
      </c>
      <c r="AM48" s="506"/>
      <c r="AN48" s="506" t="str">
        <f>IF(T48="","",T48)</f>
        <v>Добавить значение признака дифференциации</v>
      </c>
      <c r="AO48" s="506"/>
      <c r="AP48" s="506"/>
    </row>
    <row customHeight="1" ht="21">
      <c r="A49" s="1393" t="s">
        <v>484</v>
      </c>
      <c r="B49" s="1393" t="s">
        <v>485</v>
      </c>
      <c r="C49" s="1393" t="s">
        <v>486</v>
      </c>
      <c r="D49" s="1393" t="s">
        <v>734</v>
      </c>
      <c r="E49" s="2108"/>
      <c r="F49" s="2108"/>
      <c r="G49" s="2108"/>
      <c r="H49" s="2108"/>
      <c r="I49" s="2109"/>
      <c r="J49" s="1393"/>
      <c r="K49" s="1393"/>
      <c r="L49" s="1394"/>
      <c r="P49" s="2111"/>
      <c r="Q49" s="1511"/>
      <c r="R49" s="352"/>
      <c r="S49" s="1308"/>
      <c r="T49" s="364" t="s">
        <v>627</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484</v>
      </c>
      <c r="B50" s="1393" t="s">
        <v>485</v>
      </c>
      <c r="C50" s="1393" t="s">
        <v>486</v>
      </c>
      <c r="D50" s="1393" t="s">
        <v>734</v>
      </c>
      <c r="E50" s="2108"/>
      <c r="F50" s="2108"/>
      <c r="G50" s="2108"/>
      <c r="H50" s="2107"/>
      <c r="I50" s="1393"/>
      <c r="J50" s="1393"/>
      <c r="K50" s="1393"/>
      <c r="L50" s="1394"/>
      <c r="M50" s="1395"/>
      <c r="N50" s="1395"/>
      <c r="O50" s="543"/>
      <c r="P50" s="356"/>
      <c r="Q50" s="376"/>
      <c r="R50" s="351"/>
      <c r="S50" s="1308"/>
      <c r="T50" s="372" t="s">
        <v>703</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4" customFormat="1" customHeight="1" ht="0">
      <c r="A51" s="1373" t="s">
        <v>484</v>
      </c>
      <c r="B51" s="1373" t="s">
        <v>485</v>
      </c>
      <c r="C51" s="1344"/>
      <c r="D51" s="1344"/>
      <c r="E51" s="2108"/>
      <c r="F51" s="2107"/>
      <c r="G51" s="1344"/>
      <c r="H51" s="1344"/>
      <c r="I51" s="1344"/>
      <c r="J51" s="1344"/>
      <c r="K51" s="1344"/>
      <c r="L51" s="1524"/>
      <c r="M51" s="1351"/>
      <c r="N51" s="1351"/>
      <c r="P51" s="1346"/>
      <c r="Q51" s="1347"/>
      <c r="R51" s="1346"/>
      <c r="S51" s="1352"/>
      <c r="T51" s="1355" t="s">
        <v>255</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2" customFormat="1" customHeight="1" ht="0">
      <c r="A52" s="1373" t="s">
        <v>484</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4" customFormat="1" customHeight="1" ht="0">
      <c r="A53" s="1344"/>
      <c r="B53" s="1344"/>
      <c r="C53" s="1344"/>
      <c r="D53" s="1344"/>
      <c r="E53" s="1373"/>
      <c r="F53" s="1344"/>
      <c r="G53" s="1344"/>
      <c r="H53" s="1344"/>
      <c r="I53" s="1344"/>
      <c r="J53" s="1344"/>
      <c r="K53" s="1344"/>
      <c r="L53" s="1524"/>
      <c r="M53" s="1351"/>
      <c r="N53" s="1351"/>
      <c r="P53" s="1346"/>
      <c r="Q53" s="1347"/>
      <c r="R53" s="1346"/>
      <c r="S53" s="1352"/>
      <c r="T53" s="1355" t="s">
        <v>398</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DE1E83-C486-BDEC-3CE5-79A6B9FB77CA}"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2683" width="11.57421875" hidden="1" customWidth="1"/>
    <col min="2" max="2" style="2683" width="11.00390625" hidden="1" customWidth="1"/>
    <col min="3" max="3" style="2683" width="10.57421875" hidden="1"/>
    <col min="4" max="4" style="2683" width="12.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2.00390625" hidden="1" customWidth="1"/>
    <col min="10" max="10" style="2683" width="9.8515625" hidden="1" customWidth="1"/>
    <col min="11" max="11" style="2683" width="11.421875" hidden="1" customWidth="1"/>
    <col min="12" max="12" style="12312" width="19.140625" hidden="1" customWidth="1"/>
    <col min="13" max="14" style="3334" width="12.28125" hidden="1" customWidth="1"/>
    <col min="15" max="15" style="3334" width="23.421875" hidden="1" customWidth="1"/>
    <col min="16" max="16" style="3334" width="3.7109375" hidden="1" customWidth="1"/>
    <col min="17" max="17" style="3336" width="3.7109375" hidden="1" customWidth="1"/>
    <col min="18" max="18" style="3411" width="3.7109375" customWidth="1"/>
    <col min="19" max="19" style="3412" width="12.7109375" customWidth="1"/>
    <col min="20" max="20" style="2984" width="32.00390625" customWidth="1"/>
    <col min="21" max="21" style="2984" width="0.140625" customWidth="1"/>
    <col min="22" max="25" style="2984" width="21.7109375" hidden="1" customWidth="1"/>
    <col min="26" max="26" style="2984" width="11.7109375" hidden="1" customWidth="1"/>
    <col min="27" max="27" style="2984" width="3.7109375" hidden="1" customWidth="1"/>
    <col min="28" max="28" style="2984" width="11.7109375" hidden="1" customWidth="1"/>
    <col min="29" max="29" style="2984" width="8.57421875" hidden="1" customWidth="1"/>
    <col min="30" max="32" style="2984" width="3.7109375" customWidth="1"/>
    <col min="33" max="33" style="2984" width="24.7109375" customWidth="1"/>
    <col min="34" max="36" style="2984" width="3.7109375" customWidth="1"/>
    <col min="37" max="37" style="2984" width="24.7109375" customWidth="1"/>
    <col min="38" max="40" style="2984" width="3.7109375" customWidth="1"/>
    <col min="41" max="41" style="2984" width="18.8515625" customWidth="1"/>
    <col min="42" max="44" style="2984" width="3.7109375" customWidth="1"/>
    <col min="45" max="45" style="2984" width="18.8515625" customWidth="1"/>
    <col min="46" max="49" style="2984" width="21.7109375" customWidth="1"/>
    <col min="50" max="50" style="2984" width="11.7109375" customWidth="1"/>
    <col min="51" max="51" style="2984" width="3.7109375" customWidth="1"/>
    <col min="52" max="52" style="2984" width="11.7109375" customWidth="1"/>
    <col min="53" max="53" style="2984" width="8.57421875" hidden="1" customWidth="1"/>
    <col min="54" max="54" style="2984" width="4.7109375" customWidth="1"/>
    <col min="55" max="55" style="2984" width="115.7109375" customWidth="1"/>
    <col min="56" max="57" style="2612" width="10.57421875"/>
    <col min="58" max="58" style="2612" width="11.140625" customWidth="1"/>
    <col min="59" max="60" style="2612" width="10.57421875"/>
  </cols>
  <sheetData>
    <row customHeight="1" ht="14.25" hidden="1">
      <c r="W1" s="323"/>
      <c r="Y1" s="323"/>
      <c r="Z1" s="323"/>
      <c r="AW1" s="323"/>
      <c r="AX1" s="323"/>
    </row>
    <row customHeight="1" ht="21" hidden="1">
      <c r="A2" s="1393"/>
      <c r="B2" s="1393"/>
      <c r="C2" s="1393"/>
      <c r="D2" s="1393"/>
      <c r="E2" s="2107">
        <v>1</v>
      </c>
      <c r="F2" s="1393"/>
      <c r="G2" s="1393"/>
      <c r="H2" s="1393"/>
      <c r="I2" s="1393"/>
      <c r="J2" s="1393"/>
      <c r="K2" s="1393"/>
      <c r="L2" s="1394"/>
      <c r="M2" s="1395"/>
      <c r="N2" s="1395"/>
      <c r="O2" s="1395"/>
      <c r="P2" s="1439"/>
      <c r="Q2" s="879"/>
      <c r="R2" s="351"/>
      <c r="S2" s="1523">
        <f>INDEX(PT_DIFFERENTIATION_NUM_NTAR,MATCH(A2,PT_DIFFERENTIATION_NTAR_ID,0))</f>
      </c>
      <c r="T2" s="286" t="s">
        <v>204</v>
      </c>
      <c r="U2" s="288"/>
      <c r="V2" s="2102"/>
      <c r="W2" s="2102"/>
      <c r="X2" s="2102"/>
      <c r="Y2" s="2102"/>
      <c r="Z2" s="2102"/>
      <c r="AA2" s="2102"/>
      <c r="AB2" s="2102"/>
      <c r="AC2" s="2103"/>
      <c r="AD2" s="2101">
        <f>INDEX(PT_DIFFERENTIATION_NTAR,MATCH(A2,PT_DIFFERENTIATION_NTAR_ID,0))</f>
      </c>
      <c r="AE2" s="2102"/>
      <c r="AF2" s="2102"/>
      <c r="AG2" s="2102"/>
      <c r="AH2" s="2102"/>
      <c r="AI2" s="2102"/>
      <c r="AJ2" s="2102"/>
      <c r="AK2" s="2102"/>
      <c r="AL2" s="2102"/>
      <c r="AM2" s="2102"/>
      <c r="AN2" s="2102"/>
      <c r="AO2" s="2102"/>
      <c r="AP2" s="2102"/>
      <c r="AQ2" s="2102"/>
      <c r="AR2" s="2102"/>
      <c r="AS2" s="2102"/>
      <c r="AT2" s="2102"/>
      <c r="AU2" s="2102"/>
      <c r="AV2" s="2102"/>
      <c r="AW2" s="2102"/>
      <c r="AX2" s="2102"/>
      <c r="AY2" s="2102"/>
      <c r="AZ2" s="2102"/>
      <c r="BA2" s="2102"/>
      <c r="BB2" s="2103"/>
      <c r="BC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506"/>
      <c r="BF2" s="506" t="str">
        <f>IF(T2="","",T2)</f>
        <v>Наименование тарифа</v>
      </c>
      <c r="BG2" s="506"/>
      <c r="BH2" s="506"/>
    </row>
    <row customHeight="1" ht="21" hidden="1">
      <c r="A3" s="1393"/>
      <c r="B3" s="1393"/>
      <c r="C3" s="1393"/>
      <c r="D3" s="1393"/>
      <c r="E3" s="2108"/>
      <c r="F3" s="2107">
        <v>1</v>
      </c>
      <c r="G3" s="1393"/>
      <c r="H3" s="1393"/>
      <c r="I3" s="1393"/>
      <c r="J3" s="1393"/>
      <c r="K3" s="1393"/>
      <c r="L3" s="1394"/>
      <c r="M3" s="1395"/>
      <c r="N3" s="1395"/>
      <c r="O3" s="1395"/>
      <c r="P3" s="1440"/>
      <c r="Q3" s="1441"/>
      <c r="R3" s="349"/>
      <c r="S3" s="1523">
        <f>INDEX(PT_DIFFERENTIATION_NUM_TER,MATCH(B3,PT_DIFFERENTIATION_TER_ID,0))</f>
      </c>
      <c r="T3" s="298" t="s">
        <v>612</v>
      </c>
      <c r="U3" s="288"/>
      <c r="V3" s="2102"/>
      <c r="W3" s="2102"/>
      <c r="X3" s="2102"/>
      <c r="Y3" s="2102"/>
      <c r="Z3" s="2102"/>
      <c r="AA3" s="2102"/>
      <c r="AB3" s="2102"/>
      <c r="AC3" s="2103"/>
      <c r="AD3" s="2101">
        <f>INDEX(PT_DIFFERENTIATION_TER,MATCH(B3,PT_DIFFERENTIATION_TER_ID,0))</f>
      </c>
      <c r="AE3" s="2102"/>
      <c r="AF3" s="2102"/>
      <c r="AG3" s="2102"/>
      <c r="AH3" s="2102"/>
      <c r="AI3" s="2102"/>
      <c r="AJ3" s="2102"/>
      <c r="AK3" s="2102"/>
      <c r="AL3" s="2102"/>
      <c r="AM3" s="2102"/>
      <c r="AN3" s="2102"/>
      <c r="AO3" s="2102"/>
      <c r="AP3" s="2102"/>
      <c r="AQ3" s="2102"/>
      <c r="AR3" s="2102"/>
      <c r="AS3" s="2102"/>
      <c r="AT3" s="2102"/>
      <c r="AU3" s="2102"/>
      <c r="AV3" s="2102"/>
      <c r="AW3" s="2102"/>
      <c r="AX3" s="2102"/>
      <c r="AY3" s="2102"/>
      <c r="AZ3" s="2102"/>
      <c r="BA3" s="2102"/>
      <c r="BB3" s="2103"/>
      <c r="BC3" s="1286" t="s">
        <v>613</v>
      </c>
      <c r="BE3" s="506"/>
      <c r="BF3" s="506" t="str">
        <f>IF(T3="","",T3)</f>
        <v>Территория действия тарифа</v>
      </c>
      <c r="BG3" s="506"/>
      <c r="BH3" s="506"/>
    </row>
    <row customHeight="1" ht="33.75" hidden="1">
      <c r="A4" s="1393"/>
      <c r="B4" s="1393"/>
      <c r="C4" s="1393"/>
      <c r="D4" s="1393"/>
      <c r="E4" s="2108"/>
      <c r="F4" s="2108"/>
      <c r="G4" s="2107">
        <v>1</v>
      </c>
      <c r="H4" s="1393"/>
      <c r="I4" s="1393"/>
      <c r="J4" s="1393"/>
      <c r="K4" s="1393"/>
      <c r="L4" s="1394"/>
      <c r="M4" s="1395"/>
      <c r="N4" s="1395"/>
      <c r="O4" s="1395"/>
      <c r="P4" s="1442"/>
      <c r="Q4" s="1441"/>
      <c r="R4" s="349"/>
      <c r="S4" s="1523">
        <f>INDEX(PT_DIFFERENTIATION_NUM_CS,MATCH(C4,PT_DIFFERENTIATION_CS_ID,0))</f>
      </c>
      <c r="T4" s="299" t="s">
        <v>729</v>
      </c>
      <c r="U4" s="288"/>
      <c r="V4" s="2102"/>
      <c r="W4" s="2102"/>
      <c r="X4" s="2102"/>
      <c r="Y4" s="2102"/>
      <c r="Z4" s="2102"/>
      <c r="AA4" s="2102"/>
      <c r="AB4" s="2102"/>
      <c r="AC4" s="2103"/>
      <c r="AD4" s="2101">
        <f>INDEX(PT_DIFFERENTIATION_CS,MATCH(C4,PT_DIFFERENTIATION_CS_ID,0))</f>
      </c>
      <c r="AE4" s="2102"/>
      <c r="AF4" s="2102"/>
      <c r="AG4" s="2102"/>
      <c r="AH4" s="2102"/>
      <c r="AI4" s="2102"/>
      <c r="AJ4" s="2102"/>
      <c r="AK4" s="2102"/>
      <c r="AL4" s="2102"/>
      <c r="AM4" s="2102"/>
      <c r="AN4" s="2102"/>
      <c r="AO4" s="2102"/>
      <c r="AP4" s="2102"/>
      <c r="AQ4" s="2102"/>
      <c r="AR4" s="2102"/>
      <c r="AS4" s="2102"/>
      <c r="AT4" s="2102"/>
      <c r="AU4" s="2102"/>
      <c r="AV4" s="2102"/>
      <c r="AW4" s="2102"/>
      <c r="AX4" s="2102"/>
      <c r="AY4" s="2102"/>
      <c r="AZ4" s="2102"/>
      <c r="BA4" s="2102"/>
      <c r="BB4" s="2103"/>
      <c r="BC4" s="1286" t="s">
        <v>730</v>
      </c>
      <c r="BE4" s="506"/>
      <c r="BF4" s="506" t="str">
        <f>IF(T4="","",T4)</f>
        <v>Наименование централизованной системы водоотведения</v>
      </c>
      <c r="BG4" s="506"/>
      <c r="BH4" s="506"/>
    </row>
    <row s="2612" customFormat="1" customHeight="1" ht="14.25" hidden="1">
      <c r="A5" s="1373"/>
      <c r="B5" s="1373"/>
      <c r="C5" s="1373"/>
      <c r="D5" s="1373"/>
      <c r="E5" s="2108"/>
      <c r="F5" s="2108"/>
      <c r="G5" s="2108"/>
      <c r="H5" s="2107">
        <v>1</v>
      </c>
      <c r="I5" s="1373"/>
      <c r="J5" s="1373"/>
      <c r="K5" s="1373"/>
      <c r="L5" s="1376"/>
      <c r="M5" s="1345"/>
      <c r="N5" s="1345"/>
      <c r="O5" s="1345"/>
      <c r="P5" s="1527"/>
      <c r="Q5" s="1528"/>
      <c r="R5" s="353"/>
      <c r="S5" s="1049"/>
      <c r="T5" s="1529"/>
      <c r="U5" s="1414"/>
      <c r="V5" s="2148"/>
      <c r="W5" s="2148"/>
      <c r="X5" s="2148"/>
      <c r="Y5" s="2148"/>
      <c r="Z5" s="2148"/>
      <c r="AA5" s="2148"/>
      <c r="AB5" s="2148"/>
      <c r="AC5" s="2149"/>
      <c r="AD5" s="2147"/>
      <c r="AE5" s="2148"/>
      <c r="AF5" s="2148"/>
      <c r="AG5" s="2148"/>
      <c r="AH5" s="2148"/>
      <c r="AI5" s="2148"/>
      <c r="AJ5" s="2148"/>
      <c r="AK5" s="2148"/>
      <c r="AL5" s="2148"/>
      <c r="AM5" s="2148"/>
      <c r="AN5" s="2148"/>
      <c r="AO5" s="2148"/>
      <c r="AP5" s="2148"/>
      <c r="AQ5" s="2148"/>
      <c r="AR5" s="2148"/>
      <c r="AS5" s="2148"/>
      <c r="AT5" s="2148"/>
      <c r="AU5" s="2148"/>
      <c r="AV5" s="2148"/>
      <c r="AW5" s="2148"/>
      <c r="AX5" s="2148"/>
      <c r="AY5" s="2148"/>
      <c r="AZ5" s="2148"/>
      <c r="BA5" s="2148"/>
      <c r="BB5" s="2149"/>
      <c r="BC5" s="1415" t="s">
        <v>617</v>
      </c>
      <c r="BE5" s="506"/>
      <c r="BF5" s="506" t="str">
        <f>IF(T5="","",T5)</f>
        <v/>
      </c>
      <c r="BG5" s="506"/>
      <c r="BH5" s="506"/>
    </row>
    <row s="2612" customFormat="1" customHeight="1" ht="14.25" hidden="1">
      <c r="A6" s="1373"/>
      <c r="B6" s="1373"/>
      <c r="C6" s="1373"/>
      <c r="D6" s="1373"/>
      <c r="E6" s="2108"/>
      <c r="F6" s="2108"/>
      <c r="G6" s="2108"/>
      <c r="H6" s="2108"/>
      <c r="I6" s="2109" t="str">
        <f>S5&amp;".1"</f>
        <v>.1</v>
      </c>
      <c r="J6" s="1373"/>
      <c r="K6" s="1373"/>
      <c r="L6" s="1376" t="s">
        <v>618</v>
      </c>
      <c r="M6" s="516"/>
      <c r="N6" s="516"/>
      <c r="O6" s="516"/>
      <c r="P6" s="2111">
        <v>1</v>
      </c>
      <c r="Q6" s="1511"/>
      <c r="R6" s="352"/>
      <c r="S6" s="1049"/>
      <c r="T6" s="1413"/>
      <c r="U6" s="1414"/>
      <c r="V6" s="2148"/>
      <c r="W6" s="2148"/>
      <c r="X6" s="2148"/>
      <c r="Y6" s="2148"/>
      <c r="Z6" s="2148"/>
      <c r="AA6" s="2148"/>
      <c r="AB6" s="2148"/>
      <c r="AC6" s="2149"/>
      <c r="AD6" s="2147"/>
      <c r="AE6" s="2148"/>
      <c r="AF6" s="2148"/>
      <c r="AG6" s="2148"/>
      <c r="AH6" s="2148"/>
      <c r="AI6" s="2148"/>
      <c r="AJ6" s="2148"/>
      <c r="AK6" s="2148"/>
      <c r="AL6" s="2148"/>
      <c r="AM6" s="2148"/>
      <c r="AN6" s="2148"/>
      <c r="AO6" s="2148"/>
      <c r="AP6" s="2148"/>
      <c r="AQ6" s="2148"/>
      <c r="AR6" s="2148"/>
      <c r="AS6" s="2148"/>
      <c r="AT6" s="2148"/>
      <c r="AU6" s="2148"/>
      <c r="AV6" s="2148"/>
      <c r="AW6" s="2148"/>
      <c r="AX6" s="2148"/>
      <c r="AY6" s="2148"/>
      <c r="AZ6" s="2148"/>
      <c r="BA6" s="2148"/>
      <c r="BB6" s="2149"/>
      <c r="BC6" s="1415"/>
      <c r="BE6" s="506"/>
      <c r="BF6" s="506" t="str">
        <f>IF(T6="","",T6)</f>
        <v/>
      </c>
      <c r="BG6" s="506"/>
      <c r="BH6" s="506"/>
    </row>
    <row s="2612" customFormat="1" customHeight="1" ht="14.25" hidden="1">
      <c r="A7" s="1373"/>
      <c r="B7" s="1373"/>
      <c r="C7" s="1373"/>
      <c r="D7" s="1373"/>
      <c r="E7" s="2108"/>
      <c r="F7" s="2108"/>
      <c r="G7" s="2108"/>
      <c r="H7" s="2108"/>
      <c r="I7" s="2110"/>
      <c r="J7" s="2109" t="str">
        <f>S5&amp;".1"</f>
        <v>.1</v>
      </c>
      <c r="K7" s="1373"/>
      <c r="L7" s="1376"/>
      <c r="M7" s="516"/>
      <c r="N7" s="516"/>
      <c r="O7" s="516"/>
      <c r="P7" s="2111"/>
      <c r="Q7" s="2111">
        <v>1</v>
      </c>
      <c r="R7" s="353"/>
      <c r="S7" s="1049"/>
      <c r="T7" s="1429"/>
      <c r="U7" s="1414"/>
      <c r="V7" s="2148"/>
      <c r="W7" s="2148"/>
      <c r="X7" s="2148"/>
      <c r="Y7" s="2148"/>
      <c r="Z7" s="2148"/>
      <c r="AA7" s="2148"/>
      <c r="AB7" s="2148"/>
      <c r="AC7" s="2149"/>
      <c r="AD7" s="2147"/>
      <c r="AE7" s="2148"/>
      <c r="AF7" s="2148"/>
      <c r="AG7" s="2148"/>
      <c r="AH7" s="2148"/>
      <c r="AI7" s="2148"/>
      <c r="AJ7" s="2148"/>
      <c r="AK7" s="2148"/>
      <c r="AL7" s="2148"/>
      <c r="AM7" s="2148"/>
      <c r="AN7" s="2148"/>
      <c r="AO7" s="2148"/>
      <c r="AP7" s="2148"/>
      <c r="AQ7" s="2148"/>
      <c r="AR7" s="2148"/>
      <c r="AS7" s="2148"/>
      <c r="AT7" s="2148"/>
      <c r="AU7" s="2148"/>
      <c r="AV7" s="2148"/>
      <c r="AW7" s="2148"/>
      <c r="AX7" s="2148"/>
      <c r="AY7" s="2148"/>
      <c r="AZ7" s="2148"/>
      <c r="BA7" s="2148"/>
      <c r="BB7" s="2149"/>
      <c r="BC7" s="1415"/>
      <c r="BE7" s="506"/>
      <c r="BF7" s="506" t="str">
        <f>IF(T7="","",T7)</f>
        <v/>
      </c>
      <c r="BG7" s="506"/>
      <c r="BH7" s="506"/>
    </row>
    <row customHeight="1" ht="11.25" hidden="1">
      <c r="A8" s="1393"/>
      <c r="B8" s="1393"/>
      <c r="C8" s="1393"/>
      <c r="D8" s="1393"/>
      <c r="E8" s="2108"/>
      <c r="F8" s="2108"/>
      <c r="G8" s="2108"/>
      <c r="H8" s="2108"/>
      <c r="I8" s="2110"/>
      <c r="J8" s="2110"/>
      <c r="K8" s="2109">
        <f>S4&amp;".1"</f>
      </c>
      <c r="L8" s="1394"/>
      <c r="P8" s="2111"/>
      <c r="Q8" s="2111"/>
      <c r="R8" s="2187">
        <v>1</v>
      </c>
      <c r="S8" s="2184">
        <f>$K8</f>
      </c>
      <c r="T8" s="2203"/>
      <c r="U8" s="288"/>
      <c r="V8" s="757"/>
      <c r="W8" s="1285"/>
      <c r="X8" s="757"/>
      <c r="Y8" s="1285"/>
      <c r="Z8" s="1774"/>
      <c r="AA8" s="1499" t="s">
        <v>63</v>
      </c>
      <c r="AB8" s="1774"/>
      <c r="AC8" s="1499" t="s">
        <v>63</v>
      </c>
      <c r="AD8" s="2044" t="s">
        <v>63</v>
      </c>
      <c r="AE8" s="2180"/>
      <c r="AF8" s="2057">
        <v>1</v>
      </c>
      <c r="AG8" s="2202"/>
      <c r="AH8" s="1981" t="s">
        <v>63</v>
      </c>
      <c r="AI8" s="2180"/>
      <c r="AJ8" s="2057">
        <v>1</v>
      </c>
      <c r="AK8" s="2201" t="s">
        <v>24</v>
      </c>
      <c r="AL8" s="1981" t="s">
        <v>63</v>
      </c>
      <c r="AM8" s="2029"/>
      <c r="AN8" s="2057">
        <v>1</v>
      </c>
      <c r="AO8" s="2206"/>
      <c r="AP8" s="2207" t="s">
        <v>63</v>
      </c>
      <c r="AQ8" s="301"/>
      <c r="AR8" s="1516">
        <v>1</v>
      </c>
      <c r="AS8" s="1522" t="s">
        <v>24</v>
      </c>
      <c r="AT8" s="757"/>
      <c r="AU8" s="1285"/>
      <c r="AV8" s="757"/>
      <c r="AW8" s="1285"/>
      <c r="AX8" s="1774"/>
      <c r="AY8" s="1499" t="s">
        <v>63</v>
      </c>
      <c r="AZ8" s="1774"/>
      <c r="BA8" s="1499" t="s">
        <v>63</v>
      </c>
      <c r="BB8" s="1378"/>
      <c r="BC8" s="2137" t="s">
        <v>714</v>
      </c>
      <c r="BE8" s="506"/>
      <c r="BF8" s="506" t="str">
        <f>IF(T8="","",T8)</f>
        <v/>
      </c>
      <c r="BG8" s="506"/>
      <c r="BH8" s="506"/>
    </row>
    <row customHeight="1" ht="11.25" hidden="1">
      <c r="A9" s="1393"/>
      <c r="B9" s="1393"/>
      <c r="C9" s="1393"/>
      <c r="D9" s="1393"/>
      <c r="E9" s="2108"/>
      <c r="F9" s="2108"/>
      <c r="G9" s="2108"/>
      <c r="H9" s="2108"/>
      <c r="I9" s="2110"/>
      <c r="J9" s="2110"/>
      <c r="K9" s="2109"/>
      <c r="L9" s="1394"/>
      <c r="P9" s="2111"/>
      <c r="Q9" s="2111"/>
      <c r="R9" s="2187"/>
      <c r="S9" s="2185"/>
      <c r="T9" s="2204"/>
      <c r="U9" s="288"/>
      <c r="V9" s="1423"/>
      <c r="W9" s="1526"/>
      <c r="X9" s="1423"/>
      <c r="Y9" s="1526"/>
      <c r="Z9" s="1423"/>
      <c r="AA9" s="1423"/>
      <c r="AB9" s="1423"/>
      <c r="AC9" s="1423"/>
      <c r="AD9" s="2045"/>
      <c r="AE9" s="2180"/>
      <c r="AF9" s="2057"/>
      <c r="AG9" s="2202"/>
      <c r="AH9" s="1981"/>
      <c r="AI9" s="2180"/>
      <c r="AJ9" s="2057"/>
      <c r="AK9" s="2201"/>
      <c r="AL9" s="1981"/>
      <c r="AM9" s="2037"/>
      <c r="AN9" s="2057"/>
      <c r="AO9" s="2206"/>
      <c r="AP9" s="2208"/>
      <c r="AQ9" s="308"/>
      <c r="AR9" s="422"/>
      <c r="AS9" s="422" t="s">
        <v>715</v>
      </c>
      <c r="AT9" s="1423"/>
      <c r="AU9" s="1526"/>
      <c r="AV9" s="1423"/>
      <c r="AW9" s="1526"/>
      <c r="AX9" s="1423"/>
      <c r="AY9" s="1423"/>
      <c r="AZ9" s="1423"/>
      <c r="BA9" s="1423"/>
      <c r="BB9" s="1427"/>
      <c r="BC9" s="2138"/>
      <c r="BE9" s="506"/>
      <c r="BF9" s="506"/>
      <c r="BG9" s="506"/>
      <c r="BH9" s="506"/>
    </row>
    <row customHeight="1" ht="11.25" hidden="1">
      <c r="A10" s="1393"/>
      <c r="B10" s="1393"/>
      <c r="C10" s="1393"/>
      <c r="D10" s="1393"/>
      <c r="E10" s="2108"/>
      <c r="F10" s="2108"/>
      <c r="G10" s="2108"/>
      <c r="H10" s="2108"/>
      <c r="I10" s="2110"/>
      <c r="J10" s="2110"/>
      <c r="K10" s="2109"/>
      <c r="L10" s="1394"/>
      <c r="P10" s="2111"/>
      <c r="Q10" s="2111"/>
      <c r="R10" s="2187"/>
      <c r="S10" s="2185"/>
      <c r="T10" s="2204"/>
      <c r="U10" s="288"/>
      <c r="V10" s="1423"/>
      <c r="W10" s="1526"/>
      <c r="X10" s="1423"/>
      <c r="Y10" s="1526"/>
      <c r="Z10" s="1423"/>
      <c r="AA10" s="1423"/>
      <c r="AB10" s="1423"/>
      <c r="AC10" s="1423"/>
      <c r="AD10" s="2045"/>
      <c r="AE10" s="2180"/>
      <c r="AF10" s="2057"/>
      <c r="AG10" s="2202"/>
      <c r="AH10" s="1981"/>
      <c r="AI10" s="2180"/>
      <c r="AJ10" s="2057"/>
      <c r="AK10" s="2201"/>
      <c r="AL10" s="1981"/>
      <c r="AM10" s="308"/>
      <c r="AN10" s="1530"/>
      <c r="AO10" s="1530" t="s">
        <v>735</v>
      </c>
      <c r="AP10" s="422"/>
      <c r="AQ10" s="422"/>
      <c r="AR10" s="422"/>
      <c r="AS10" s="1423"/>
      <c r="AT10" s="1423"/>
      <c r="AU10" s="1526"/>
      <c r="AV10" s="1423"/>
      <c r="AW10" s="1526"/>
      <c r="AX10" s="1423"/>
      <c r="AY10" s="1423"/>
      <c r="AZ10" s="1423"/>
      <c r="BA10" s="1423"/>
      <c r="BB10" s="1427"/>
      <c r="BC10" s="2138"/>
      <c r="BE10" s="506"/>
      <c r="BF10" s="506"/>
      <c r="BG10" s="506"/>
      <c r="BH10" s="506"/>
    </row>
    <row customHeight="1" ht="11.25" hidden="1">
      <c r="A11" s="1393"/>
      <c r="B11" s="1393"/>
      <c r="C11" s="1393"/>
      <c r="D11" s="1393"/>
      <c r="E11" s="2108"/>
      <c r="F11" s="2108"/>
      <c r="G11" s="2108"/>
      <c r="H11" s="2108"/>
      <c r="I11" s="2110"/>
      <c r="J11" s="2110"/>
      <c r="K11" s="2109"/>
      <c r="L11" s="1394"/>
      <c r="P11" s="2111"/>
      <c r="Q11" s="2111"/>
      <c r="R11" s="2187"/>
      <c r="S11" s="2185"/>
      <c r="T11" s="2204"/>
      <c r="U11" s="288"/>
      <c r="V11" s="1423"/>
      <c r="W11" s="1526"/>
      <c r="X11" s="1423"/>
      <c r="Y11" s="1526"/>
      <c r="Z11" s="1423"/>
      <c r="AA11" s="1423"/>
      <c r="AB11" s="1423"/>
      <c r="AC11" s="1423"/>
      <c r="AD11" s="2045"/>
      <c r="AE11" s="2180"/>
      <c r="AF11" s="2057"/>
      <c r="AG11" s="2202"/>
      <c r="AH11" s="1981"/>
      <c r="AI11" s="282"/>
      <c r="AJ11" s="421"/>
      <c r="AK11" s="303" t="s">
        <v>736</v>
      </c>
      <c r="AL11" s="1423"/>
      <c r="AM11" s="1423"/>
      <c r="AN11" s="1423"/>
      <c r="AO11" s="1423"/>
      <c r="AP11" s="1423"/>
      <c r="AQ11" s="1423"/>
      <c r="AR11" s="1423"/>
      <c r="AS11" s="1423"/>
      <c r="AT11" s="1423"/>
      <c r="AU11" s="1526"/>
      <c r="AV11" s="1423"/>
      <c r="AW11" s="1526"/>
      <c r="AX11" s="1423"/>
      <c r="AY11" s="1423"/>
      <c r="AZ11" s="1423"/>
      <c r="BA11" s="1423"/>
      <c r="BB11" s="1427"/>
      <c r="BC11" s="2138"/>
      <c r="BE11" s="506"/>
      <c r="BF11" s="506"/>
      <c r="BG11" s="506"/>
      <c r="BH11" s="506"/>
    </row>
    <row customHeight="1" ht="11.25" hidden="1">
      <c r="A12" s="1393"/>
      <c r="B12" s="1393"/>
      <c r="C12" s="1393"/>
      <c r="D12" s="1393"/>
      <c r="E12" s="2108"/>
      <c r="F12" s="2108"/>
      <c r="G12" s="2108"/>
      <c r="H12" s="2108"/>
      <c r="I12" s="2110"/>
      <c r="J12" s="2110"/>
      <c r="K12" s="2109"/>
      <c r="L12" s="1394"/>
      <c r="P12" s="2111"/>
      <c r="Q12" s="2111"/>
      <c r="R12" s="2187"/>
      <c r="S12" s="2186"/>
      <c r="T12" s="2205"/>
      <c r="U12" s="288"/>
      <c r="V12" s="1423"/>
      <c r="W12" s="1424" t="str">
        <f>Z8&amp;"-"&amp;AB8</f>
        <v>-</v>
      </c>
      <c r="X12" s="1423"/>
      <c r="Y12" s="1424" t="str">
        <f>AB8&amp;"-"&amp;AD8</f>
        <v>-да</v>
      </c>
      <c r="Z12" s="1423"/>
      <c r="AA12" s="1423"/>
      <c r="AB12" s="1423"/>
      <c r="AC12" s="1423"/>
      <c r="AD12" s="1986"/>
      <c r="AE12" s="302"/>
      <c r="AF12" s="304"/>
      <c r="AG12" s="422" t="s">
        <v>718</v>
      </c>
      <c r="AH12" s="1423"/>
      <c r="AI12" s="1423"/>
      <c r="AJ12" s="1423"/>
      <c r="AK12" s="1423"/>
      <c r="AL12" s="1423"/>
      <c r="AM12" s="1423"/>
      <c r="AN12" s="1423"/>
      <c r="AO12" s="1423"/>
      <c r="AP12" s="1423"/>
      <c r="AQ12" s="1423"/>
      <c r="AR12" s="1423"/>
      <c r="AS12" s="1423"/>
      <c r="AT12" s="1423"/>
      <c r="AU12" s="1424" t="str">
        <f>AX8&amp;"-"&amp;AZ8</f>
        <v>-</v>
      </c>
      <c r="AV12" s="1423"/>
      <c r="AW12" s="1424" t="str">
        <f>AZ8&amp;"-"&amp;BB8</f>
        <v>-</v>
      </c>
      <c r="AX12" s="1423"/>
      <c r="AY12" s="1423"/>
      <c r="AZ12" s="1423"/>
      <c r="BA12" s="1423"/>
      <c r="BB12" s="1426" t="str">
        <f>BE8&amp;"-"&amp;BG8</f>
        <v>-</v>
      </c>
      <c r="BC12" s="2138"/>
      <c r="BE12" s="506"/>
      <c r="BF12" s="506" t="str">
        <f>IF(T12="","",T12)</f>
        <v/>
      </c>
      <c r="BG12" s="506"/>
      <c r="BH12" s="506"/>
    </row>
    <row customHeight="1" ht="11.25" hidden="1">
      <c r="A13" s="1393"/>
      <c r="B13" s="1393"/>
      <c r="C13" s="1393"/>
      <c r="D13" s="1393"/>
      <c r="E13" s="2108"/>
      <c r="F13" s="2108"/>
      <c r="G13" s="2108"/>
      <c r="H13" s="2108"/>
      <c r="I13" s="2110"/>
      <c r="J13" s="2109"/>
      <c r="K13" s="1393"/>
      <c r="L13" s="1394"/>
      <c r="P13" s="2111"/>
      <c r="Q13" s="2111"/>
      <c r="R13" s="352"/>
      <c r="S13" s="1308"/>
      <c r="T13" s="275" t="s">
        <v>682</v>
      </c>
      <c r="U13" s="367"/>
      <c r="V13" s="367"/>
      <c r="W13" s="367"/>
      <c r="X13" s="367"/>
      <c r="Y13" s="367"/>
      <c r="Z13" s="367"/>
      <c r="AA13" s="367"/>
      <c r="AB13" s="367"/>
      <c r="AC13" s="367"/>
      <c r="AD13" s="1535"/>
      <c r="AE13" s="367"/>
      <c r="AF13" s="367"/>
      <c r="AG13" s="367"/>
      <c r="AH13" s="367"/>
      <c r="AI13" s="367"/>
      <c r="AJ13" s="367"/>
      <c r="AK13" s="367"/>
      <c r="AL13" s="367"/>
      <c r="AM13" s="367"/>
      <c r="AN13" s="367"/>
      <c r="AO13" s="367"/>
      <c r="AP13" s="367"/>
      <c r="AQ13" s="367"/>
      <c r="AR13" s="367"/>
      <c r="AS13" s="367"/>
      <c r="AT13" s="367"/>
      <c r="AU13" s="367"/>
      <c r="AV13" s="367"/>
      <c r="AW13" s="367"/>
      <c r="AX13" s="367"/>
      <c r="AY13" s="367"/>
      <c r="AZ13" s="367"/>
      <c r="BA13" s="367"/>
      <c r="BB13" s="319"/>
      <c r="BC13" s="2139"/>
      <c r="BE13" s="506"/>
      <c r="BF13" s="506" t="str">
        <f>IF(T13="","",T13)</f>
        <v>Добавить строку</v>
      </c>
      <c r="BG13" s="506"/>
      <c r="BH13" s="506"/>
    </row>
    <row s="2612" customFormat="1" customHeight="1" ht="14.25" hidden="1">
      <c r="A14" s="1373"/>
      <c r="B14" s="1373"/>
      <c r="C14" s="1373"/>
      <c r="D14" s="1373"/>
      <c r="E14" s="2108"/>
      <c r="F14" s="2108"/>
      <c r="G14" s="2108"/>
      <c r="H14" s="2108"/>
      <c r="I14" s="2109"/>
      <c r="J14" s="1373"/>
      <c r="K14" s="1373"/>
      <c r="L14" s="1376"/>
      <c r="M14" s="516"/>
      <c r="N14" s="516"/>
      <c r="O14" s="516"/>
      <c r="P14" s="2111"/>
      <c r="Q14" s="1511"/>
      <c r="R14" s="352"/>
      <c r="S14" s="1416"/>
      <c r="T14" s="1417"/>
      <c r="U14" s="1418"/>
      <c r="V14" s="1418"/>
      <c r="W14" s="1418"/>
      <c r="X14" s="1418"/>
      <c r="Y14" s="1418"/>
      <c r="Z14" s="1418"/>
      <c r="AA14" s="1418"/>
      <c r="AB14" s="1418"/>
      <c r="AC14" s="1418"/>
      <c r="AD14" s="1418"/>
      <c r="AE14" s="1418"/>
      <c r="AF14" s="1418"/>
      <c r="AG14" s="1418"/>
      <c r="AH14" s="1418"/>
      <c r="AI14" s="1418"/>
      <c r="AJ14" s="1418"/>
      <c r="AK14" s="1418"/>
      <c r="AL14" s="1418"/>
      <c r="AM14" s="1418"/>
      <c r="AN14" s="1418"/>
      <c r="AO14" s="1418"/>
      <c r="AP14" s="1418"/>
      <c r="AQ14" s="1418"/>
      <c r="AR14" s="1418"/>
      <c r="AS14" s="1418"/>
      <c r="AT14" s="1418"/>
      <c r="AU14" s="1418"/>
      <c r="AV14" s="1418"/>
      <c r="AW14" s="1418"/>
      <c r="AX14" s="1418"/>
      <c r="AY14" s="1418"/>
      <c r="AZ14" s="1418"/>
      <c r="BA14" s="1418"/>
      <c r="BB14" s="1418"/>
      <c r="BC14" s="1419"/>
      <c r="BE14" s="506"/>
      <c r="BF14" s="506" t="str">
        <f>IF(T14="","",T14)</f>
        <v/>
      </c>
      <c r="BG14" s="506"/>
      <c r="BH14" s="506"/>
    </row>
    <row s="2612" customFormat="1" customHeight="1" ht="14.25" hidden="1">
      <c r="A15" s="1373"/>
      <c r="B15" s="1373"/>
      <c r="C15" s="1373"/>
      <c r="D15" s="1373"/>
      <c r="E15" s="2108"/>
      <c r="F15" s="2108"/>
      <c r="G15" s="2108"/>
      <c r="H15" s="2107"/>
      <c r="I15" s="1373"/>
      <c r="J15" s="1373"/>
      <c r="K15" s="1373"/>
      <c r="L15" s="1376"/>
      <c r="M15" s="1345"/>
      <c r="N15" s="1345"/>
      <c r="O15" s="524"/>
      <c r="P15" s="385"/>
      <c r="Q15" s="1374"/>
      <c r="R15" s="1431"/>
      <c r="S15" s="1416"/>
      <c r="T15" s="1417"/>
      <c r="U15" s="1418"/>
      <c r="V15" s="1418"/>
      <c r="W15" s="1418"/>
      <c r="X15" s="1418"/>
      <c r="Y15" s="1418"/>
      <c r="Z15" s="1418"/>
      <c r="AA15" s="1418"/>
      <c r="AB15" s="1418"/>
      <c r="AC15" s="1418"/>
      <c r="AD15" s="1418"/>
      <c r="AE15" s="1418"/>
      <c r="AF15" s="1418"/>
      <c r="AG15" s="1418"/>
      <c r="AH15" s="1418"/>
      <c r="AI15" s="1418"/>
      <c r="AJ15" s="1418"/>
      <c r="AK15" s="1418"/>
      <c r="AL15" s="1418"/>
      <c r="AM15" s="1418"/>
      <c r="AN15" s="1418"/>
      <c r="AO15" s="1418"/>
      <c r="AP15" s="1418"/>
      <c r="AQ15" s="1418"/>
      <c r="AR15" s="1418"/>
      <c r="AS15" s="1418"/>
      <c r="AT15" s="1418"/>
      <c r="AU15" s="1418"/>
      <c r="AV15" s="1418"/>
      <c r="AW15" s="1418"/>
      <c r="AX15" s="1418"/>
      <c r="AY15" s="1418"/>
      <c r="AZ15" s="1418"/>
      <c r="BA15" s="1418"/>
      <c r="BB15" s="1418"/>
      <c r="BC15" s="1419"/>
      <c r="BE15" s="506"/>
      <c r="BF15" s="506" t="str">
        <f>IF(T15="","",T15)</f>
        <v/>
      </c>
      <c r="BG15" s="506"/>
      <c r="BH15" s="506"/>
    </row>
    <row s="3314" customFormat="1" customHeight="1" ht="14.25" hidden="1">
      <c r="A16" s="1373"/>
      <c r="B16" s="1373"/>
      <c r="C16" s="1373"/>
      <c r="D16" s="1344"/>
      <c r="E16" s="2108"/>
      <c r="F16" s="2108"/>
      <c r="G16" s="2107"/>
      <c r="H16" s="1344"/>
      <c r="I16" s="1344"/>
      <c r="J16" s="1344"/>
      <c r="K16" s="1344"/>
      <c r="L16" s="1524"/>
      <c r="M16" s="1345"/>
      <c r="N16" s="1345"/>
      <c r="P16" s="1346"/>
      <c r="Q16" s="1347"/>
      <c r="R16" s="1346"/>
      <c r="S16" s="1352"/>
      <c r="T16" s="1355"/>
      <c r="U16" s="1354"/>
      <c r="V16" s="1354"/>
      <c r="W16" s="1354"/>
      <c r="X16" s="1354"/>
      <c r="Y16" s="1354"/>
      <c r="Z16" s="1354"/>
      <c r="AA16" s="1354"/>
      <c r="AB16" s="1354"/>
      <c r="AC16" s="1354"/>
      <c r="AD16" s="1354"/>
      <c r="AE16" s="1354"/>
      <c r="AF16" s="1354"/>
      <c r="AG16" s="1354"/>
      <c r="AH16" s="1354"/>
      <c r="AI16" s="1354"/>
      <c r="AJ16" s="1354"/>
      <c r="AK16" s="1354"/>
      <c r="AL16" s="1354"/>
      <c r="AM16" s="1354"/>
      <c r="AN16" s="1354"/>
      <c r="AO16" s="1354"/>
      <c r="AP16" s="1354"/>
      <c r="AQ16" s="1354"/>
      <c r="AR16" s="1354"/>
      <c r="AS16" s="1354"/>
      <c r="AT16" s="1354"/>
      <c r="AU16" s="1354"/>
      <c r="AV16" s="1354"/>
      <c r="AW16" s="1354"/>
      <c r="AX16" s="1354"/>
      <c r="AY16" s="1354"/>
      <c r="AZ16" s="1354"/>
      <c r="BA16" s="1354"/>
      <c r="BB16" s="1354"/>
      <c r="BC16" s="1354"/>
      <c r="BE16" s="795"/>
      <c r="BF16" s="795" t="str">
        <f>IF(T16="","",T16)</f>
        <v/>
      </c>
      <c r="BG16" s="795"/>
      <c r="BH16" s="795"/>
    </row>
    <row s="3314" customFormat="1" customHeight="1" ht="14.25" hidden="1">
      <c r="A17" s="1373"/>
      <c r="B17" s="1373"/>
      <c r="C17" s="1344"/>
      <c r="D17" s="1344"/>
      <c r="E17" s="2108"/>
      <c r="F17" s="2107"/>
      <c r="G17" s="1344"/>
      <c r="H17" s="1344"/>
      <c r="I17" s="1344"/>
      <c r="J17" s="1344"/>
      <c r="K17" s="1344"/>
      <c r="L17" s="1524"/>
      <c r="M17" s="1351"/>
      <c r="N17" s="1351"/>
      <c r="P17" s="1346"/>
      <c r="Q17" s="1347"/>
      <c r="R17" s="1346"/>
      <c r="S17" s="1352"/>
      <c r="T17" s="1355" t="s">
        <v>255</v>
      </c>
      <c r="U17" s="1354"/>
      <c r="V17" s="1354"/>
      <c r="W17" s="1354"/>
      <c r="X17" s="1354"/>
      <c r="Y17" s="1354"/>
      <c r="Z17" s="1354"/>
      <c r="AA17" s="1354"/>
      <c r="AB17" s="1354"/>
      <c r="AC17" s="1354"/>
      <c r="AD17" s="1354"/>
      <c r="AE17" s="1354"/>
      <c r="AF17" s="1354"/>
      <c r="AG17" s="1354"/>
      <c r="AH17" s="1354"/>
      <c r="AI17" s="1354"/>
      <c r="AJ17" s="1354"/>
      <c r="AK17" s="1354"/>
      <c r="AL17" s="1354"/>
      <c r="AM17" s="1354"/>
      <c r="AN17" s="1354"/>
      <c r="AO17" s="1354"/>
      <c r="AP17" s="1354"/>
      <c r="AQ17" s="1354"/>
      <c r="AR17" s="1354"/>
      <c r="AS17" s="1354"/>
      <c r="AT17" s="1354"/>
      <c r="AU17" s="1354"/>
      <c r="AV17" s="1354"/>
      <c r="AW17" s="1354"/>
      <c r="AX17" s="1354"/>
      <c r="AY17" s="1354"/>
      <c r="AZ17" s="1354"/>
      <c r="BA17" s="1354"/>
      <c r="BB17" s="1354"/>
      <c r="BC17" s="1354"/>
      <c r="BE17" s="795"/>
      <c r="BF17" s="795" t="str">
        <f>IF(T17="","",T17)</f>
        <v>Добавить централизованную систему для дифференциации</v>
      </c>
      <c r="BG17" s="795"/>
      <c r="BH17" s="795"/>
    </row>
    <row s="2612" customFormat="1" customHeight="1" ht="14.25" hidden="1">
      <c r="A18" s="1373"/>
      <c r="B18" s="1373"/>
      <c r="C18" s="1373"/>
      <c r="D18" s="1373"/>
      <c r="E18" s="2107"/>
      <c r="F18" s="1373"/>
      <c r="G18" s="1373"/>
      <c r="H18" s="1373"/>
      <c r="I18" s="1373"/>
      <c r="J18" s="1373"/>
      <c r="K18" s="1373"/>
      <c r="L18" s="1376"/>
      <c r="M18" s="1351"/>
      <c r="N18" s="1351"/>
      <c r="O18" s="524"/>
      <c r="P18" s="385"/>
      <c r="Q18" s="1374"/>
      <c r="R18" s="385"/>
      <c r="S18" s="1352"/>
      <c r="T18" s="1355" t="s">
        <v>329</v>
      </c>
      <c r="U18" s="1354"/>
      <c r="V18" s="1354"/>
      <c r="W18" s="1354"/>
      <c r="X18" s="1354"/>
      <c r="Y18" s="1354"/>
      <c r="Z18" s="1354"/>
      <c r="AA18" s="1354"/>
      <c r="AB18" s="1354"/>
      <c r="AC18" s="1354"/>
      <c r="AD18" s="1354"/>
      <c r="AE18" s="1354"/>
      <c r="AF18" s="1354"/>
      <c r="AG18" s="1354"/>
      <c r="AH18" s="1354"/>
      <c r="AI18" s="1354"/>
      <c r="AJ18" s="1354"/>
      <c r="AK18" s="1354"/>
      <c r="AL18" s="1354"/>
      <c r="AM18" s="1354"/>
      <c r="AN18" s="1354"/>
      <c r="AO18" s="1354"/>
      <c r="AP18" s="1354"/>
      <c r="AQ18" s="1354"/>
      <c r="AR18" s="1354"/>
      <c r="AS18" s="1354"/>
      <c r="AT18" s="1354"/>
      <c r="AU18" s="1354"/>
      <c r="AV18" s="1354"/>
      <c r="AW18" s="1354"/>
      <c r="AX18" s="1354"/>
      <c r="AY18" s="1354"/>
      <c r="AZ18" s="1354"/>
      <c r="BA18" s="1354"/>
      <c r="BB18" s="1354"/>
      <c r="BC18" s="1354"/>
      <c r="BE18" s="506"/>
      <c r="BF18" s="506" t="str">
        <f>IF(T18="","",T18)</f>
        <v>Добавить территорию для дифференциации</v>
      </c>
      <c r="BG18" s="506"/>
      <c r="BH18" s="506"/>
    </row>
    <row customHeight="1" ht="14.25" hidden="1">
      <c r="AC19" s="323"/>
      <c r="BA19" s="323"/>
    </row>
    <row customHeight="1" ht="14.25" hidden="1">
      <c r="AD20" s="1354" t="s">
        <v>58</v>
      </c>
      <c r="AE20" s="1531"/>
      <c r="AF20" s="554">
        <v>1</v>
      </c>
      <c r="AG20" s="1532"/>
      <c r="AH20" s="1354" t="s">
        <v>58</v>
      </c>
      <c r="AI20" s="1531"/>
      <c r="AJ20" s="554">
        <v>1</v>
      </c>
      <c r="AK20" s="1532"/>
      <c r="AL20" s="1354" t="s">
        <v>58</v>
      </c>
      <c r="AM20" s="1533"/>
      <c r="AN20" s="554">
        <v>1</v>
      </c>
      <c r="AO20" s="1534"/>
      <c r="AP20" s="1354" t="s">
        <v>58</v>
      </c>
      <c r="AQ20" s="1533"/>
      <c r="AR20" s="554">
        <v>1</v>
      </c>
      <c r="AS20" s="1534"/>
      <c r="AT20" s="320"/>
      <c r="AU20" s="390"/>
      <c r="AV20" s="320"/>
      <c r="AW20" s="390"/>
      <c r="AX20" s="1776"/>
      <c r="AY20" s="1515" t="s">
        <v>63</v>
      </c>
      <c r="AZ20" s="1776"/>
      <c r="BA20" s="1515" t="s">
        <v>63</v>
      </c>
    </row>
    <row customHeight="1" ht="14.25" hidden="1">
      <c r="BD21" s="502"/>
      <c r="BE21" s="502"/>
      <c r="BF21" s="502"/>
      <c r="BG21" s="502"/>
      <c r="BH21" s="502"/>
    </row>
    <row customHeight="1" ht="14.25" hidden="1">
      <c r="O22" s="1397" t="s">
        <v>629</v>
      </c>
      <c r="Z22" s="1375"/>
      <c r="AB22" s="1375"/>
      <c r="AC22" s="323"/>
      <c r="AX22" s="1375"/>
      <c r="AZ22" s="1375"/>
      <c r="BA22" s="323"/>
      <c r="BD22" s="502"/>
      <c r="BE22" s="502"/>
      <c r="BF22" s="502"/>
      <c r="BG22" s="502"/>
      <c r="BH22" s="502"/>
    </row>
    <row customHeight="1" ht="14.25" hidden="1">
      <c r="AC23" s="323"/>
      <c r="BA23" s="323"/>
      <c r="BD23" s="502"/>
      <c r="BE23" s="502"/>
      <c r="BF23" s="502"/>
      <c r="BG23" s="502"/>
      <c r="BH23" s="502"/>
    </row>
    <row s="12221" customFormat="1" customHeight="1" ht="14.25" hidden="1">
      <c r="M24" s="1538"/>
      <c r="N24" s="1538"/>
      <c r="O24" s="1539" t="s">
        <v>630</v>
      </c>
      <c r="P24" s="1538"/>
      <c r="Q24" s="1540"/>
      <c r="R24" s="1540"/>
      <c r="AA24" s="1537" t="s">
        <v>632</v>
      </c>
      <c r="AC24" s="1537" t="s">
        <v>633</v>
      </c>
      <c r="AD24" s="1537" t="s">
        <v>683</v>
      </c>
      <c r="AH24" s="1537" t="s">
        <v>683</v>
      </c>
      <c r="AK24" s="1537" t="s">
        <v>719</v>
      </c>
      <c r="AL24" s="1537" t="s">
        <v>683</v>
      </c>
      <c r="AP24" s="1537" t="s">
        <v>683</v>
      </c>
      <c r="AY24" s="1537" t="s">
        <v>632</v>
      </c>
      <c r="BA24" s="1537" t="s">
        <v>633</v>
      </c>
      <c r="BD24" s="1541"/>
      <c r="BE24" s="1541"/>
      <c r="BF24" s="1541"/>
      <c r="BG24" s="1541"/>
      <c r="BH24" s="1541"/>
    </row>
    <row customHeight="1" ht="14.25" hidden="1">
      <c r="O25" s="1394"/>
      <c r="BD25" s="502"/>
      <c r="BE25" s="502"/>
      <c r="BF25" s="502"/>
      <c r="BG25" s="502"/>
      <c r="BH25" s="502"/>
    </row>
    <row customHeight="1" ht="14.25" hidden="1">
      <c r="O26" s="1394"/>
      <c r="BD26" s="502"/>
      <c r="BE26" s="502"/>
      <c r="BF26" s="502"/>
      <c r="BG26" s="502"/>
      <c r="BH26" s="502"/>
    </row>
    <row customHeight="1" ht="14.25">
      <c r="Q27" s="279"/>
      <c r="R27" s="377"/>
      <c r="S27" s="1305"/>
      <c r="T27" s="361"/>
      <c r="U27" s="361"/>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row>
    <row customHeight="1" ht="14.25">
      <c r="Q28" s="279"/>
      <c r="R28" s="377"/>
      <c r="S28" s="2140"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140"/>
      <c r="U28" s="2140"/>
      <c r="V28" s="2140"/>
      <c r="W28" s="2140"/>
      <c r="X28" s="2140"/>
      <c r="Y28" s="2140"/>
      <c r="Z28" s="2140"/>
      <c r="AA28" s="2140"/>
      <c r="AB28" s="2140"/>
      <c r="AC28" s="2140"/>
      <c r="AD28" s="2140"/>
      <c r="AE28" s="2140"/>
      <c r="AF28" s="2140"/>
      <c r="AG28" s="2140"/>
      <c r="AH28" s="2140"/>
      <c r="AI28" s="2140"/>
      <c r="AJ28" s="2140"/>
      <c r="AK28" s="2140"/>
      <c r="AL28" s="2140"/>
      <c r="AM28" s="2140"/>
      <c r="AN28" s="2140"/>
      <c r="AO28" s="2140"/>
      <c r="AP28" s="2140"/>
      <c r="AQ28" s="2140"/>
      <c r="AR28" s="2140"/>
      <c r="AS28" s="2140"/>
      <c r="AT28" s="2140"/>
      <c r="AU28" s="2140"/>
      <c r="AV28" s="2140"/>
      <c r="AW28" s="2140"/>
      <c r="AX28" s="2140"/>
      <c r="AY28" s="2140"/>
      <c r="AZ28" s="2140"/>
      <c r="BA28" s="1261"/>
    </row>
    <row customHeight="1" ht="14.25">
      <c r="Q29" s="279"/>
      <c r="R29" s="377"/>
      <c r="S29" s="2141" t="str">
        <f>IF(org=0,"Не определено",org)</f>
        <v>АО "Мурманэнергосбыт"</v>
      </c>
      <c r="T29" s="2141"/>
      <c r="U29" s="2141"/>
      <c r="V29" s="2141"/>
      <c r="W29" s="2141"/>
      <c r="X29" s="2141"/>
      <c r="Y29" s="2141"/>
      <c r="Z29" s="2141"/>
      <c r="AA29" s="2141"/>
      <c r="AB29" s="2141"/>
      <c r="AC29" s="2141"/>
      <c r="AD29" s="2141"/>
      <c r="AE29" s="2141"/>
      <c r="AF29" s="2141"/>
      <c r="AG29" s="2141"/>
      <c r="AH29" s="2141"/>
      <c r="AI29" s="2141"/>
      <c r="AJ29" s="2141"/>
      <c r="AK29" s="2141"/>
      <c r="AL29" s="2141"/>
      <c r="AM29" s="2141"/>
      <c r="AN29" s="2141"/>
      <c r="AO29" s="2141"/>
      <c r="AP29" s="2141"/>
      <c r="AQ29" s="2141"/>
      <c r="AR29" s="2141"/>
      <c r="AS29" s="2141"/>
      <c r="AT29" s="2141"/>
      <c r="AU29" s="2141"/>
      <c r="AV29" s="2141"/>
      <c r="AW29" s="2141"/>
      <c r="AX29" s="2141"/>
      <c r="AY29" s="2141"/>
      <c r="AZ29" s="2141"/>
      <c r="BA29" s="1261"/>
    </row>
    <row customHeight="1" ht="14.25">
      <c r="Q30" s="279"/>
      <c r="R30" s="377"/>
      <c r="S30" s="1305"/>
      <c r="T30" s="361"/>
      <c r="U30" s="361"/>
      <c r="V30" s="316"/>
      <c r="W30" s="316"/>
      <c r="X30" s="316"/>
      <c r="Y30" s="316"/>
      <c r="Z30" s="316"/>
      <c r="AA30" s="316"/>
      <c r="AB30" s="316"/>
      <c r="AC30" s="316"/>
      <c r="AD30" s="316"/>
      <c r="AE30" s="316"/>
      <c r="AF30" s="316"/>
      <c r="AG30" s="316"/>
      <c r="AH30" s="316"/>
      <c r="AI30" s="316"/>
      <c r="AJ30" s="316"/>
      <c r="AK30" s="316"/>
      <c r="AL30" s="316"/>
      <c r="AM30" s="316"/>
      <c r="AN30" s="316"/>
      <c r="AO30" s="316"/>
      <c r="AP30" s="316"/>
      <c r="AQ30" s="316"/>
      <c r="AR30" s="316"/>
      <c r="AS30" s="316"/>
      <c r="AT30" s="316"/>
      <c r="AU30" s="316"/>
      <c r="AV30" s="316"/>
      <c r="AW30" s="316"/>
      <c r="AX30" s="316"/>
      <c r="AY30" s="316"/>
      <c r="AZ30" s="316"/>
      <c r="BA30" s="316"/>
      <c r="BB30" s="515"/>
    </row>
    <row s="3345" customFormat="1" customHeight="1" ht="25.5">
      <c r="A31" s="1398"/>
      <c r="B31" s="1398"/>
      <c r="C31" s="1398"/>
      <c r="D31" s="1398"/>
      <c r="E31" s="1398"/>
      <c r="F31" s="1398"/>
      <c r="G31" s="1398"/>
      <c r="H31" s="1398"/>
      <c r="I31" s="1398"/>
      <c r="J31" s="1398"/>
      <c r="K31" s="1398"/>
      <c r="L31" s="1399"/>
      <c r="M31" s="1398"/>
      <c r="N31" s="1398"/>
      <c r="O31" s="1398"/>
      <c r="P31" s="1398"/>
      <c r="Q31" s="1398"/>
      <c r="S31" s="2098" t="s">
        <v>38</v>
      </c>
      <c r="T31" s="2098"/>
      <c r="U31" s="1402"/>
      <c r="V31" s="2100" t="str">
        <f>IF(TITLE_NAME_OR_PR_CHANGE="",IF(TITLE_NAME_OR_PR="","",TITLE_NAME_OR_PR),TITLE_NAME_OR_PR_CHANGE)</f>
        <v>Комитет по тарифному регулированию Мурманской области</v>
      </c>
      <c r="W31" s="2100"/>
      <c r="X31" s="2100"/>
      <c r="Y31" s="2100"/>
      <c r="Z31" s="2100"/>
      <c r="AA31" s="2100"/>
      <c r="AB31" s="2100"/>
      <c r="AC31" s="322"/>
      <c r="AD31" s="2100" t="str">
        <f>IF(TITLE_NAME_OR_PR_CHANGE="",IF(TITLE_NAME_OR_PR="","",TITLE_NAME_OR_PR),TITLE_NAME_OR_PR_CHANGE)</f>
        <v>Комитет по тарифному регулированию Мурманской области</v>
      </c>
      <c r="AE31" s="2100"/>
      <c r="AF31" s="2100"/>
      <c r="AG31" s="2100"/>
      <c r="AH31" s="2100"/>
      <c r="AI31" s="2100"/>
      <c r="AJ31" s="2100"/>
      <c r="AK31" s="2100"/>
      <c r="AL31" s="2100"/>
      <c r="AM31" s="2100"/>
      <c r="AN31" s="2100"/>
      <c r="AO31" s="2100"/>
      <c r="AP31" s="2100"/>
      <c r="AQ31" s="2100"/>
      <c r="AR31" s="2100"/>
      <c r="AS31" s="2100"/>
      <c r="AT31" s="2100"/>
      <c r="AU31" s="2100"/>
      <c r="AV31" s="2100"/>
      <c r="AW31" s="2100"/>
      <c r="AX31" s="2100"/>
      <c r="AY31" s="2100"/>
      <c r="AZ31" s="2100"/>
      <c r="BA31" s="322"/>
      <c r="BB31" s="322"/>
      <c r="BC31" s="268"/>
      <c r="BD31" s="368"/>
      <c r="BE31" s="368"/>
      <c r="BF31" s="368"/>
      <c r="BG31" s="368"/>
      <c r="BH31" s="368"/>
    </row>
    <row s="3345" customFormat="1" customHeight="1" ht="18.75">
      <c r="A32" s="1398"/>
      <c r="B32" s="1398"/>
      <c r="C32" s="1398"/>
      <c r="D32" s="1398"/>
      <c r="E32" s="1398"/>
      <c r="F32" s="1398"/>
      <c r="G32" s="1398"/>
      <c r="H32" s="1398"/>
      <c r="I32" s="1398"/>
      <c r="J32" s="1398"/>
      <c r="K32" s="1398"/>
      <c r="L32" s="1399"/>
      <c r="M32" s="1398"/>
      <c r="N32" s="1398"/>
      <c r="O32" s="1398"/>
      <c r="P32" s="1398"/>
      <c r="Q32" s="1398"/>
      <c r="S32" s="2098" t="s">
        <v>635</v>
      </c>
      <c r="T32" s="2098"/>
      <c r="U32" s="1402"/>
      <c r="V32" s="2099" t="str">
        <f>IF(TITLE_DATE_PR_CHANGE="",IF(TITLE_DATE_PR="","",TITLE_DATE_PR),TITLE_DATE_PR_CHANGE)</f>
        <v>45205</v>
      </c>
      <c r="W32" s="2099"/>
      <c r="X32" s="2099"/>
      <c r="Y32" s="2099"/>
      <c r="Z32" s="2099"/>
      <c r="AA32" s="2099"/>
      <c r="AB32" s="2099"/>
      <c r="AC32" s="322"/>
      <c r="AD32" s="2099" t="str">
        <f>IF(TITLE_DATE_PR_CHANGE="",IF(TITLE_DATE_PR="","",TITLE_DATE_PR),TITLE_DATE_PR_CHANGE)</f>
        <v>45205</v>
      </c>
      <c r="AE32" s="2099"/>
      <c r="AF32" s="2099"/>
      <c r="AG32" s="2099"/>
      <c r="AH32" s="2099"/>
      <c r="AI32" s="2099"/>
      <c r="AJ32" s="2099"/>
      <c r="AK32" s="2099"/>
      <c r="AL32" s="2099"/>
      <c r="AM32" s="2099"/>
      <c r="AN32" s="2099"/>
      <c r="AO32" s="2099"/>
      <c r="AP32" s="2099"/>
      <c r="AQ32" s="2099"/>
      <c r="AR32" s="2099"/>
      <c r="AS32" s="2099"/>
      <c r="AT32" s="2099"/>
      <c r="AU32" s="2099"/>
      <c r="AV32" s="2099"/>
      <c r="AW32" s="2099"/>
      <c r="AX32" s="2099"/>
      <c r="AY32" s="2099"/>
      <c r="AZ32" s="2099"/>
      <c r="BA32" s="322"/>
      <c r="BB32" s="322"/>
      <c r="BC32" s="268"/>
      <c r="BD32" s="368"/>
      <c r="BE32" s="368"/>
      <c r="BF32" s="368"/>
      <c r="BG32" s="368"/>
      <c r="BH32" s="368"/>
    </row>
    <row s="3345" customFormat="1" customHeight="1" ht="18.75">
      <c r="A33" s="1398"/>
      <c r="B33" s="1398"/>
      <c r="C33" s="1398"/>
      <c r="D33" s="1398"/>
      <c r="E33" s="1398"/>
      <c r="F33" s="1398"/>
      <c r="G33" s="1398"/>
      <c r="H33" s="1398"/>
      <c r="I33" s="1398"/>
      <c r="J33" s="1398"/>
      <c r="K33" s="1398"/>
      <c r="L33" s="1399"/>
      <c r="M33" s="1398"/>
      <c r="N33" s="1398"/>
      <c r="O33" s="1398"/>
      <c r="P33" s="1398"/>
      <c r="Q33" s="1398"/>
      <c r="S33" s="2098" t="s">
        <v>636</v>
      </c>
      <c r="T33" s="2098"/>
      <c r="U33" s="1402"/>
      <c r="V33" s="2100" t="str">
        <f>IF(TITLE_NUMBER_PR_CHANGE="",IF(TITLE_NUMBER_PR="","",TITLE_NUMBER_PR),TITLE_NUMBER_PR_CHANGE)</f>
        <v>36/2</v>
      </c>
      <c r="W33" s="2100"/>
      <c r="X33" s="2100"/>
      <c r="Y33" s="2100"/>
      <c r="Z33" s="2100"/>
      <c r="AA33" s="2100"/>
      <c r="AB33" s="2100"/>
      <c r="AC33" s="322"/>
      <c r="AD33" s="2100" t="str">
        <f>IF(TITLE_NUMBER_PR_CHANGE="",IF(TITLE_NUMBER_PR="","",TITLE_NUMBER_PR),TITLE_NUMBER_PR_CHANGE)</f>
        <v>36/2</v>
      </c>
      <c r="AE33" s="2100"/>
      <c r="AF33" s="2100"/>
      <c r="AG33" s="2100"/>
      <c r="AH33" s="2100"/>
      <c r="AI33" s="2100"/>
      <c r="AJ33" s="2100"/>
      <c r="AK33" s="2100"/>
      <c r="AL33" s="2100"/>
      <c r="AM33" s="2100"/>
      <c r="AN33" s="2100"/>
      <c r="AO33" s="2100"/>
      <c r="AP33" s="2100"/>
      <c r="AQ33" s="2100"/>
      <c r="AR33" s="2100"/>
      <c r="AS33" s="2100"/>
      <c r="AT33" s="2100"/>
      <c r="AU33" s="2100"/>
      <c r="AV33" s="2100"/>
      <c r="AW33" s="2100"/>
      <c r="AX33" s="2100"/>
      <c r="AY33" s="2100"/>
      <c r="AZ33" s="2100"/>
      <c r="BA33" s="322"/>
      <c r="BB33" s="322"/>
      <c r="BC33" s="268"/>
      <c r="BD33" s="368"/>
      <c r="BE33" s="368"/>
      <c r="BF33" s="368"/>
      <c r="BG33" s="368"/>
      <c r="BH33" s="368"/>
    </row>
    <row s="3345" customFormat="1" customHeight="1" ht="18.75">
      <c r="A34" s="1398"/>
      <c r="B34" s="1398"/>
      <c r="C34" s="1398"/>
      <c r="D34" s="1398"/>
      <c r="E34" s="1398"/>
      <c r="F34" s="1398"/>
      <c r="G34" s="1398"/>
      <c r="H34" s="1398"/>
      <c r="I34" s="1398"/>
      <c r="J34" s="1398"/>
      <c r="K34" s="1398"/>
      <c r="L34" s="1399"/>
      <c r="M34" s="1398"/>
      <c r="N34" s="1398"/>
      <c r="O34" s="1398"/>
      <c r="P34" s="1398"/>
      <c r="Q34" s="1398"/>
      <c r="S34" s="2098" t="s">
        <v>40</v>
      </c>
      <c r="T34" s="2098"/>
      <c r="U34" s="1402"/>
      <c r="V34" s="2100" t="str">
        <f>IF(TITLE_IST_PUB_CHANGE="",IF(TITLE_IST_PUB="","",TITLE_IST_PUB),TITLE_IST_PUB_CHANGE)</f>
        <v>https://npa.gov-murman.ru/bitrix/components/b1team/govmurman.element.file/download.php?ID=495002&amp;FID=732763</v>
      </c>
      <c r="W34" s="2100"/>
      <c r="X34" s="2100"/>
      <c r="Y34" s="2100"/>
      <c r="Z34" s="2100"/>
      <c r="AA34" s="2100"/>
      <c r="AB34" s="2100"/>
      <c r="AC34" s="322"/>
      <c r="AD34" s="2100" t="str">
        <f>IF(TITLE_IST_PUB_CHANGE="",IF(TITLE_IST_PUB="","",TITLE_IST_PUB),TITLE_IST_PUB_CHANGE)</f>
        <v>https://npa.gov-murman.ru/bitrix/components/b1team/govmurman.element.file/download.php?ID=495002&amp;FID=732763</v>
      </c>
      <c r="AE34" s="2100"/>
      <c r="AF34" s="2100"/>
      <c r="AG34" s="2100"/>
      <c r="AH34" s="2100"/>
      <c r="AI34" s="2100"/>
      <c r="AJ34" s="2100"/>
      <c r="AK34" s="2100"/>
      <c r="AL34" s="2100"/>
      <c r="AM34" s="2100"/>
      <c r="AN34" s="2100"/>
      <c r="AO34" s="2100"/>
      <c r="AP34" s="2100"/>
      <c r="AQ34" s="2100"/>
      <c r="AR34" s="2100"/>
      <c r="AS34" s="2100"/>
      <c r="AT34" s="2100"/>
      <c r="AU34" s="2100"/>
      <c r="AV34" s="2100"/>
      <c r="AW34" s="2100"/>
      <c r="AX34" s="2100"/>
      <c r="AY34" s="2100"/>
      <c r="AZ34" s="2100"/>
      <c r="BA34" s="322"/>
      <c r="BB34" s="322"/>
      <c r="BC34" s="268"/>
      <c r="BD34" s="368"/>
      <c r="BE34" s="368"/>
      <c r="BF34" s="368"/>
      <c r="BG34" s="368"/>
      <c r="BH34" s="368"/>
    </row>
    <row customHeight="1" ht="14.25" hidden="1">
      <c r="Q35" s="279"/>
      <c r="R35" s="377"/>
      <c r="S35" s="1305"/>
      <c r="T35" s="361"/>
      <c r="U35" s="361"/>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c r="AU35" s="316"/>
      <c r="AV35" s="316"/>
      <c r="AW35" s="316"/>
      <c r="AX35" s="316"/>
      <c r="AY35" s="316"/>
      <c r="AZ35" s="316"/>
      <c r="BA35" s="316"/>
      <c r="BB35" s="515"/>
    </row>
    <row s="3345" customFormat="1" customHeight="1" ht="18.75" hidden="1">
      <c r="A36" s="1398"/>
      <c r="B36" s="1398"/>
      <c r="C36" s="1398"/>
      <c r="D36" s="1398"/>
      <c r="E36" s="1398"/>
      <c r="F36" s="1398"/>
      <c r="G36" s="1398"/>
      <c r="H36" s="1398"/>
      <c r="I36" s="1398"/>
      <c r="J36" s="1398"/>
      <c r="K36" s="1398"/>
      <c r="L36" s="1399"/>
      <c r="M36" s="1398"/>
      <c r="N36" s="1398"/>
      <c r="O36" s="1398"/>
      <c r="P36" s="1398"/>
      <c r="Q36" s="1398"/>
      <c r="S36" s="2098" t="s">
        <v>635</v>
      </c>
      <c r="T36" s="2098"/>
      <c r="U36" s="1402"/>
      <c r="V36" s="2099" t="str">
        <f>IF(TITLE_DATE_PR_CHANGE="",IF(TITLE_DATE_PR="","",TITLE_DATE_PR),TITLE_DATE_PR_CHANGE)</f>
        <v>45205</v>
      </c>
      <c r="W36" s="2099"/>
      <c r="X36" s="2099"/>
      <c r="Y36" s="2099"/>
      <c r="Z36" s="2099"/>
      <c r="AA36" s="2099"/>
      <c r="AB36" s="2099"/>
      <c r="AC36" s="322"/>
      <c r="AD36" s="2099" t="str">
        <f>IF(TITLE_DATE_PR_CHANGE="",IF(TITLE_DATE_PR="","",TITLE_DATE_PR),TITLE_DATE_PR_CHANGE)</f>
        <v>45205</v>
      </c>
      <c r="AE36" s="2099"/>
      <c r="AF36" s="2099"/>
      <c r="AG36" s="2099"/>
      <c r="AH36" s="2099"/>
      <c r="AI36" s="2099"/>
      <c r="AJ36" s="2099"/>
      <c r="AK36" s="2099"/>
      <c r="AL36" s="2099"/>
      <c r="AM36" s="2099"/>
      <c r="AN36" s="2099"/>
      <c r="AO36" s="2099"/>
      <c r="AP36" s="2099"/>
      <c r="AQ36" s="2099"/>
      <c r="AR36" s="2099"/>
      <c r="AS36" s="2099"/>
      <c r="AT36" s="2099"/>
      <c r="AU36" s="2099"/>
      <c r="AV36" s="2099"/>
      <c r="AW36" s="2099"/>
      <c r="AX36" s="2099"/>
      <c r="AY36" s="2099"/>
      <c r="AZ36" s="2099"/>
      <c r="BA36" s="322"/>
      <c r="BB36" s="322"/>
      <c r="BC36" s="268"/>
      <c r="BD36" s="368"/>
      <c r="BE36" s="368"/>
      <c r="BF36" s="368"/>
      <c r="BG36" s="368"/>
      <c r="BH36" s="368"/>
    </row>
    <row s="3345" customFormat="1" customHeight="1" ht="18.75" hidden="1">
      <c r="A37" s="1398"/>
      <c r="B37" s="1398"/>
      <c r="C37" s="1398"/>
      <c r="D37" s="1398"/>
      <c r="E37" s="1398"/>
      <c r="F37" s="1398"/>
      <c r="G37" s="1398"/>
      <c r="H37" s="1398"/>
      <c r="I37" s="1398"/>
      <c r="J37" s="1398"/>
      <c r="K37" s="1398"/>
      <c r="L37" s="1399"/>
      <c r="M37" s="1398"/>
      <c r="N37" s="1398"/>
      <c r="O37" s="1398"/>
      <c r="P37" s="1398"/>
      <c r="Q37" s="1398"/>
      <c r="S37" s="2098" t="s">
        <v>636</v>
      </c>
      <c r="T37" s="2098"/>
      <c r="U37" s="1402"/>
      <c r="V37" s="2100" t="str">
        <f>IF(TITLE_NUMBER_PR_CHANGE="",IF(TITLE_NUMBER_PR="","",TITLE_NUMBER_PR),TITLE_NUMBER_PR_CHANGE)</f>
        <v>36/2</v>
      </c>
      <c r="W37" s="2100"/>
      <c r="X37" s="2100"/>
      <c r="Y37" s="2100"/>
      <c r="Z37" s="2100"/>
      <c r="AA37" s="2100"/>
      <c r="AB37" s="2100"/>
      <c r="AC37" s="322"/>
      <c r="AD37" s="2100" t="str">
        <f>IF(TITLE_NUMBER_PR_CHANGE="",IF(TITLE_NUMBER_PR="","",TITLE_NUMBER_PR),TITLE_NUMBER_PR_CHANGE)</f>
        <v>36/2</v>
      </c>
      <c r="AE37" s="2100"/>
      <c r="AF37" s="2100"/>
      <c r="AG37" s="2100"/>
      <c r="AH37" s="2100"/>
      <c r="AI37" s="2100"/>
      <c r="AJ37" s="2100"/>
      <c r="AK37" s="2100"/>
      <c r="AL37" s="2100"/>
      <c r="AM37" s="2100"/>
      <c r="AN37" s="2100"/>
      <c r="AO37" s="2100"/>
      <c r="AP37" s="2100"/>
      <c r="AQ37" s="2100"/>
      <c r="AR37" s="2100"/>
      <c r="AS37" s="2100"/>
      <c r="AT37" s="2100"/>
      <c r="AU37" s="2100"/>
      <c r="AV37" s="2100"/>
      <c r="AW37" s="2100"/>
      <c r="AX37" s="2100"/>
      <c r="AY37" s="2100"/>
      <c r="AZ37" s="2100"/>
      <c r="BA37" s="322"/>
      <c r="BB37" s="322"/>
      <c r="BC37" s="268"/>
      <c r="BD37" s="368"/>
      <c r="BE37" s="368"/>
      <c r="BF37" s="368"/>
      <c r="BG37" s="368"/>
      <c r="BH37" s="368"/>
    </row>
    <row s="3345" customFormat="1" customHeight="1" ht="0">
      <c r="A38" s="1398"/>
      <c r="B38" s="1398"/>
      <c r="C38" s="1398"/>
      <c r="D38" s="1398"/>
      <c r="E38" s="1398"/>
      <c r="F38" s="1398"/>
      <c r="G38" s="1398"/>
      <c r="H38" s="1398"/>
      <c r="I38" s="1398"/>
      <c r="J38" s="1398"/>
      <c r="K38" s="1398"/>
      <c r="L38" s="1399"/>
      <c r="M38" s="1398"/>
      <c r="N38" s="1398"/>
      <c r="O38" s="1398"/>
      <c r="P38" s="1398"/>
      <c r="Q38" s="1398"/>
      <c r="S38" s="318"/>
      <c r="T38" s="318"/>
      <c r="U38" s="1518"/>
      <c r="V38" s="322"/>
      <c r="W38" s="322"/>
      <c r="X38" s="322"/>
      <c r="Y38" s="322"/>
      <c r="Z38" s="322"/>
      <c r="AA38" s="322"/>
      <c r="AB38" s="322"/>
      <c r="AC38" s="266" t="s">
        <v>639</v>
      </c>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266" t="s">
        <v>639</v>
      </c>
      <c r="BD38" s="368"/>
      <c r="BE38" s="368"/>
      <c r="BF38" s="368"/>
      <c r="BG38" s="368"/>
      <c r="BH38" s="368"/>
    </row>
    <row customHeight="1" ht="14.25">
      <c r="Q39" s="279"/>
      <c r="R39" s="377"/>
      <c r="S39" s="1305"/>
      <c r="T39" s="361"/>
      <c r="U39" s="1262"/>
      <c r="V39" s="2124"/>
      <c r="W39" s="2124"/>
      <c r="X39" s="2124"/>
      <c r="Y39" s="2124"/>
      <c r="Z39" s="2124"/>
      <c r="AA39" s="2124"/>
      <c r="AB39" s="2124"/>
      <c r="AC39" s="2124"/>
      <c r="AD39" s="2124"/>
      <c r="AE39" s="2124"/>
      <c r="AF39" s="2124"/>
      <c r="AG39" s="2124"/>
      <c r="AH39" s="2124"/>
      <c r="AI39" s="2124"/>
      <c r="AJ39" s="2124"/>
      <c r="AK39" s="2124"/>
      <c r="AL39" s="2124"/>
      <c r="AM39" s="2124"/>
      <c r="AN39" s="2124"/>
      <c r="AO39" s="2124"/>
      <c r="AP39" s="2124"/>
      <c r="AQ39" s="2124"/>
      <c r="AR39" s="2124"/>
      <c r="AS39" s="2124"/>
      <c r="AT39" s="2124"/>
      <c r="AU39" s="2124"/>
      <c r="AV39" s="2124"/>
      <c r="AW39" s="2124"/>
      <c r="AX39" s="2124"/>
      <c r="AY39" s="2124"/>
      <c r="AZ39" s="2124"/>
      <c r="BA39" s="2124"/>
    </row>
    <row customHeight="1" ht="14.25">
      <c r="Q40" s="279"/>
      <c r="R40" s="377"/>
      <c r="S40" s="1971" t="s">
        <v>513</v>
      </c>
      <c r="T40" s="1971"/>
      <c r="U40" s="1971"/>
      <c r="V40" s="1971"/>
      <c r="W40" s="1971"/>
      <c r="X40" s="1971"/>
      <c r="Y40" s="1971"/>
      <c r="Z40" s="1971"/>
      <c r="AA40" s="1971"/>
      <c r="AB40" s="1971"/>
      <c r="AC40" s="1971"/>
      <c r="AD40" s="1971"/>
      <c r="AE40" s="1971"/>
      <c r="AF40" s="1971"/>
      <c r="AG40" s="1971"/>
      <c r="AH40" s="1971"/>
      <c r="AI40" s="1971"/>
      <c r="AJ40" s="1971"/>
      <c r="AK40" s="1971"/>
      <c r="AL40" s="1971"/>
      <c r="AM40" s="1971"/>
      <c r="AN40" s="1971"/>
      <c r="AO40" s="1971"/>
      <c r="AP40" s="1971"/>
      <c r="AQ40" s="1971"/>
      <c r="AR40" s="1971"/>
      <c r="AS40" s="1971"/>
      <c r="AT40" s="1971"/>
      <c r="AU40" s="1971"/>
      <c r="AV40" s="1971"/>
      <c r="AW40" s="1971"/>
      <c r="AX40" s="1971"/>
      <c r="AY40" s="1971"/>
      <c r="AZ40" s="1971"/>
      <c r="BA40" s="1971"/>
      <c r="BB40" s="1971"/>
      <c r="BC40" s="1971" t="s">
        <v>514</v>
      </c>
    </row>
    <row customHeight="1" ht="14.25">
      <c r="Q41" s="279"/>
      <c r="R41" s="377"/>
      <c r="S41" s="2125" t="s">
        <v>89</v>
      </c>
      <c r="T41" s="2062" t="s">
        <v>720</v>
      </c>
      <c r="U41" s="289"/>
      <c r="V41" s="2126" t="s">
        <v>641</v>
      </c>
      <c r="W41" s="2127"/>
      <c r="X41" s="2127"/>
      <c r="Y41" s="2127"/>
      <c r="Z41" s="2127"/>
      <c r="AA41" s="2127"/>
      <c r="AB41" s="2128"/>
      <c r="AC41" s="2129" t="s">
        <v>642</v>
      </c>
      <c r="AD41" s="2173" t="s">
        <v>737</v>
      </c>
      <c r="AE41" s="2146"/>
      <c r="AF41" s="2146"/>
      <c r="AG41" s="2174"/>
      <c r="AH41" s="2173" t="s">
        <v>738</v>
      </c>
      <c r="AI41" s="2146"/>
      <c r="AJ41" s="2146"/>
      <c r="AK41" s="2174"/>
      <c r="AL41" s="2173" t="s">
        <v>739</v>
      </c>
      <c r="AM41" s="2146"/>
      <c r="AN41" s="2146"/>
      <c r="AO41" s="2174"/>
      <c r="AP41" s="2173" t="s">
        <v>724</v>
      </c>
      <c r="AQ41" s="2146"/>
      <c r="AR41" s="2146"/>
      <c r="AS41" s="2174"/>
      <c r="AT41" s="2126" t="s">
        <v>641</v>
      </c>
      <c r="AU41" s="2127"/>
      <c r="AV41" s="2127"/>
      <c r="AW41" s="2127"/>
      <c r="AX41" s="2127"/>
      <c r="AY41" s="2127"/>
      <c r="AZ41" s="2128"/>
      <c r="BA41" s="2129" t="s">
        <v>642</v>
      </c>
      <c r="BB41" s="2132" t="s">
        <v>644</v>
      </c>
      <c r="BC41" s="1971"/>
    </row>
    <row customHeight="1" ht="33.75">
      <c r="Q42" s="279"/>
      <c r="R42" s="377"/>
      <c r="S42" s="2125"/>
      <c r="T42" s="2062"/>
      <c r="U42" s="1038"/>
      <c r="V42" s="2029" t="s">
        <v>725</v>
      </c>
      <c r="W42" s="2030"/>
      <c r="X42" s="2029" t="s">
        <v>726</v>
      </c>
      <c r="Y42" s="2030"/>
      <c r="Z42" s="2144" t="s">
        <v>727</v>
      </c>
      <c r="AA42" s="2162"/>
      <c r="AB42" s="2163"/>
      <c r="AC42" s="2130"/>
      <c r="AD42" s="2175"/>
      <c r="AE42" s="2176"/>
      <c r="AF42" s="2176"/>
      <c r="AG42" s="2188"/>
      <c r="AH42" s="2175"/>
      <c r="AI42" s="2176"/>
      <c r="AJ42" s="2176"/>
      <c r="AK42" s="2188"/>
      <c r="AL42" s="2175"/>
      <c r="AM42" s="2176"/>
      <c r="AN42" s="2176"/>
      <c r="AO42" s="2188"/>
      <c r="AP42" s="2175"/>
      <c r="AQ42" s="2176"/>
      <c r="AR42" s="2176"/>
      <c r="AS42" s="2188"/>
      <c r="AT42" s="2029" t="s">
        <v>740</v>
      </c>
      <c r="AU42" s="2030"/>
      <c r="AV42" s="2029" t="s">
        <v>741</v>
      </c>
      <c r="AW42" s="2030"/>
      <c r="AX42" s="2144" t="s">
        <v>727</v>
      </c>
      <c r="AY42" s="2162"/>
      <c r="AZ42" s="2163"/>
      <c r="BA42" s="2130"/>
      <c r="BB42" s="2133"/>
      <c r="BC42" s="1971"/>
    </row>
    <row customHeight="1" ht="14.25">
      <c r="Q43" s="279"/>
      <c r="R43" s="377"/>
      <c r="S43" s="2125"/>
      <c r="T43" s="2062"/>
      <c r="U43" s="1038"/>
      <c r="V43" s="2037"/>
      <c r="W43" s="2038"/>
      <c r="X43" s="2037"/>
      <c r="Y43" s="2038"/>
      <c r="Z43" s="2145"/>
      <c r="AA43" s="2164"/>
      <c r="AB43" s="2165"/>
      <c r="AC43" s="2130"/>
      <c r="AD43" s="2175"/>
      <c r="AE43" s="2176"/>
      <c r="AF43" s="2176"/>
      <c r="AG43" s="2188"/>
      <c r="AH43" s="2175"/>
      <c r="AI43" s="2176"/>
      <c r="AJ43" s="2176"/>
      <c r="AK43" s="2188"/>
      <c r="AL43" s="2175"/>
      <c r="AM43" s="2176"/>
      <c r="AN43" s="2176"/>
      <c r="AO43" s="2188"/>
      <c r="AP43" s="2175"/>
      <c r="AQ43" s="2176"/>
      <c r="AR43" s="2176"/>
      <c r="AS43" s="2188"/>
      <c r="AT43" s="2037"/>
      <c r="AU43" s="2038"/>
      <c r="AV43" s="2037"/>
      <c r="AW43" s="2038"/>
      <c r="AX43" s="2145"/>
      <c r="AY43" s="2164"/>
      <c r="AZ43" s="2165"/>
      <c r="BA43" s="2130"/>
      <c r="BB43" s="2133"/>
      <c r="BC43" s="1971"/>
    </row>
    <row customHeight="1" ht="14.25">
      <c r="A44" s="1400"/>
      <c r="B44" s="1400" t="s">
        <v>216</v>
      </c>
      <c r="C44" s="1400" t="s">
        <v>217</v>
      </c>
      <c r="D44" s="1400" t="s">
        <v>218</v>
      </c>
      <c r="E44" s="1394" t="s">
        <v>649</v>
      </c>
      <c r="F44" s="1394" t="s">
        <v>650</v>
      </c>
      <c r="G44" s="1394" t="s">
        <v>651</v>
      </c>
      <c r="H44" s="1394" t="s">
        <v>652</v>
      </c>
      <c r="I44" s="1394" t="s">
        <v>653</v>
      </c>
      <c r="J44" s="1394" t="s">
        <v>654</v>
      </c>
      <c r="K44" s="1394" t="s">
        <v>655</v>
      </c>
      <c r="L44" s="1394" t="s">
        <v>630</v>
      </c>
      <c r="Q44" s="279"/>
      <c r="R44" s="377"/>
      <c r="S44" s="2125"/>
      <c r="T44" s="2062"/>
      <c r="U44" s="290"/>
      <c r="V44" s="1509" t="s">
        <v>693</v>
      </c>
      <c r="W44" s="1509" t="s">
        <v>694</v>
      </c>
      <c r="X44" s="1509" t="s">
        <v>693</v>
      </c>
      <c r="Y44" s="1509" t="s">
        <v>694</v>
      </c>
      <c r="Z44" s="1519" t="s">
        <v>658</v>
      </c>
      <c r="AA44" s="2121" t="s">
        <v>659</v>
      </c>
      <c r="AB44" s="2122"/>
      <c r="AC44" s="2131"/>
      <c r="AD44" s="2177"/>
      <c r="AE44" s="2178"/>
      <c r="AF44" s="2178"/>
      <c r="AG44" s="2179"/>
      <c r="AH44" s="2177"/>
      <c r="AI44" s="2178"/>
      <c r="AJ44" s="2178"/>
      <c r="AK44" s="2179"/>
      <c r="AL44" s="2177"/>
      <c r="AM44" s="2178"/>
      <c r="AN44" s="2178"/>
      <c r="AO44" s="2179"/>
      <c r="AP44" s="2177"/>
      <c r="AQ44" s="2178"/>
      <c r="AR44" s="2178"/>
      <c r="AS44" s="2179"/>
      <c r="AT44" s="1509" t="s">
        <v>693</v>
      </c>
      <c r="AU44" s="1509" t="s">
        <v>694</v>
      </c>
      <c r="AV44" s="1509" t="s">
        <v>693</v>
      </c>
      <c r="AW44" s="1509" t="s">
        <v>694</v>
      </c>
      <c r="AX44" s="1519" t="s">
        <v>658</v>
      </c>
      <c r="AY44" s="2121" t="s">
        <v>659</v>
      </c>
      <c r="AZ44" s="2122"/>
      <c r="BA44" s="2131"/>
      <c r="BB44" s="2134"/>
      <c r="BC44" s="1971"/>
    </row>
    <row s="2611" customFormat="1" customHeight="1" ht="11.25" hidden="1">
      <c r="A45" s="1400"/>
      <c r="B45" s="1400"/>
      <c r="C45" s="1400"/>
      <c r="D45" s="1400"/>
      <c r="E45" s="1400"/>
      <c r="F45" s="1400"/>
      <c r="G45" s="1400"/>
      <c r="H45" s="1400"/>
      <c r="I45" s="1400"/>
      <c r="J45" s="1400"/>
      <c r="K45" s="1400"/>
      <c r="L45" s="1394"/>
      <c r="M45" s="1392"/>
      <c r="N45" s="1392"/>
      <c r="O45" s="1392"/>
      <c r="P45" s="516"/>
      <c r="Q45" s="1280"/>
      <c r="R45" s="1280">
        <v>1</v>
      </c>
      <c r="S45" s="1307" t="s">
        <v>193</v>
      </c>
      <c r="T45" s="1281" t="s">
        <v>104</v>
      </c>
      <c r="U45" s="1263" t="str">
        <f>OFFSET(U45,0,-1)</f>
        <v>2</v>
      </c>
      <c r="V45" s="1512">
        <f>OFFSET(V45,0,-1)+1</f>
        <v>3</v>
      </c>
      <c r="W45" s="1512">
        <f>OFFSET(W45,0,-1)+1</f>
        <v>4</v>
      </c>
      <c r="X45" s="1512">
        <f>OFFSET(X45,0,-1)+1</f>
        <v>5</v>
      </c>
      <c r="Y45" s="1512">
        <f>OFFSET(Y45,0,-1)+1</f>
        <v>6</v>
      </c>
      <c r="Z45" s="1512">
        <f>OFFSET(Z45,0,-1)+1</f>
        <v>7</v>
      </c>
      <c r="AA45" s="2123">
        <f>OFFSET(AA45,0,-1)+1</f>
        <v>8</v>
      </c>
      <c r="AB45" s="2123"/>
      <c r="AC45" s="1512">
        <f>OFFSET(AC45,0,-2)+1</f>
        <v>9</v>
      </c>
      <c r="AD45" s="1512">
        <f>OFFSET(AD45,0,-1)+1</f>
        <v>10</v>
      </c>
      <c r="AE45" s="1512"/>
      <c r="AF45" s="1512"/>
      <c r="AG45" s="1512"/>
      <c r="AH45" s="1512"/>
      <c r="AI45" s="1512"/>
      <c r="AJ45" s="1512"/>
      <c r="AK45" s="1512"/>
      <c r="AL45" s="1512"/>
      <c r="AM45" s="1512"/>
      <c r="AN45" s="1512"/>
      <c r="AO45" s="1512"/>
      <c r="AP45" s="1512"/>
      <c r="AQ45" s="1512"/>
      <c r="AR45" s="1512"/>
      <c r="AS45" s="1512"/>
      <c r="AT45" s="1512"/>
      <c r="AU45" s="1512"/>
      <c r="AV45" s="1512"/>
      <c r="AW45" s="1512">
        <f>OFFSET(AW45,0,-1)+1</f>
        <v>1</v>
      </c>
      <c r="AX45" s="1512">
        <f>OFFSET(AX45,0,-1)+1</f>
        <v>2</v>
      </c>
      <c r="AY45" s="2123">
        <f>OFFSET(AY45,0,-1)+1</f>
        <v>3</v>
      </c>
      <c r="AZ45" s="2123"/>
      <c r="BA45" s="1512">
        <f>OFFSET(BA45,0,-2)+1</f>
        <v>4</v>
      </c>
      <c r="BB45" s="1263">
        <f>OFFSET(BB45,0,-1)</f>
        <v>4</v>
      </c>
      <c r="BC45" s="1512">
        <f>OFFSET(BC45,0,-1)+1</f>
        <v>5</v>
      </c>
      <c r="BD45" s="517"/>
      <c r="BE45" s="517"/>
      <c r="BF45" s="517"/>
      <c r="BG45" s="517"/>
      <c r="BH45" s="517"/>
    </row>
    <row customHeight="1" ht="21">
      <c r="A46" s="1393" t="s">
        <v>489</v>
      </c>
      <c r="B46" s="1393"/>
      <c r="C46" s="1393"/>
      <c r="D46" s="1393"/>
      <c r="E46" s="2107">
        <v>1</v>
      </c>
      <c r="F46" s="1393"/>
      <c r="G46" s="1393"/>
      <c r="H46" s="1393"/>
      <c r="I46" s="1393"/>
      <c r="J46" s="1393"/>
      <c r="K46" s="1393"/>
      <c r="L46" s="1394"/>
      <c r="M46" s="1395"/>
      <c r="N46" s="1395"/>
      <c r="O46" s="1395"/>
      <c r="P46" s="1439"/>
      <c r="Q46" s="879"/>
      <c r="R46" s="351"/>
      <c r="S46" s="1523">
        <f>INDEX(PT_DIFFERENTIATION_NUM_NTAR,MATCH(A46,PT_DIFFERENTIATION_NTAR_ID,0))</f>
        <v>0</v>
      </c>
      <c r="T46" s="286" t="s">
        <v>204</v>
      </c>
      <c r="U46" s="288"/>
      <c r="V46" s="2102"/>
      <c r="W46" s="2102"/>
      <c r="X46" s="2102"/>
      <c r="Y46" s="2102"/>
      <c r="Z46" s="2102"/>
      <c r="AA46" s="2102"/>
      <c r="AB46" s="2102"/>
      <c r="AC46" s="2103"/>
      <c r="AD46" s="2101" t="str">
        <f>INDEX(PT_DIFFERENTIATION_NTAR,MATCH(A46,PT_DIFFERENTIATION_NTAR_ID,0))</f>
        <v/>
      </c>
      <c r="AE46" s="2102"/>
      <c r="AF46" s="2102"/>
      <c r="AG46" s="2102"/>
      <c r="AH46" s="2102"/>
      <c r="AI46" s="2102"/>
      <c r="AJ46" s="2102"/>
      <c r="AK46" s="2102"/>
      <c r="AL46" s="2102"/>
      <c r="AM46" s="2102"/>
      <c r="AN46" s="2102"/>
      <c r="AO46" s="2102"/>
      <c r="AP46" s="2102"/>
      <c r="AQ46" s="2102"/>
      <c r="AR46" s="2102"/>
      <c r="AS46" s="2102"/>
      <c r="AT46" s="2102"/>
      <c r="AU46" s="2102"/>
      <c r="AV46" s="2102"/>
      <c r="AW46" s="2102"/>
      <c r="AX46" s="2102"/>
      <c r="AY46" s="2102"/>
      <c r="AZ46" s="2102"/>
      <c r="BA46" s="2102"/>
      <c r="BB46" s="2103"/>
      <c r="BC46"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506"/>
      <c r="BF46" s="506" t="str">
        <f>IF(T46="","",T46)</f>
        <v>Наименование тарифа</v>
      </c>
      <c r="BG46" s="506"/>
      <c r="BH46" s="506"/>
    </row>
    <row customHeight="1" ht="21">
      <c r="A47" s="1393" t="s">
        <v>489</v>
      </c>
      <c r="B47" s="1393" t="s">
        <v>490</v>
      </c>
      <c r="C47" s="1393"/>
      <c r="D47" s="1393"/>
      <c r="E47" s="2108"/>
      <c r="F47" s="2107">
        <v>1</v>
      </c>
      <c r="G47" s="1393"/>
      <c r="H47" s="1393"/>
      <c r="I47" s="1393"/>
      <c r="J47" s="1393"/>
      <c r="K47" s="1393"/>
      <c r="L47" s="1394"/>
      <c r="M47" s="1395"/>
      <c r="N47" s="1395"/>
      <c r="O47" s="1395"/>
      <c r="P47" s="1440"/>
      <c r="Q47" s="1441"/>
      <c r="R47" s="349"/>
      <c r="S47" s="1523" t="str">
        <f>INDEX(PT_DIFFERENTIATION_NUM_TER,MATCH(B47,PT_DIFFERENTIATION_TER_ID,0))</f>
        <v>.</v>
      </c>
      <c r="T47" s="298" t="s">
        <v>612</v>
      </c>
      <c r="U47" s="288"/>
      <c r="V47" s="2102"/>
      <c r="W47" s="2102"/>
      <c r="X47" s="2102"/>
      <c r="Y47" s="2102"/>
      <c r="Z47" s="2102"/>
      <c r="AA47" s="2102"/>
      <c r="AB47" s="2102"/>
      <c r="AC47" s="2103"/>
      <c r="AD47" s="2101" t="str">
        <f>INDEX(PT_DIFFERENTIATION_TER,MATCH(B47,PT_DIFFERENTIATION_TER_ID,0))</f>
        <v/>
      </c>
      <c r="AE47" s="2102"/>
      <c r="AF47" s="2102"/>
      <c r="AG47" s="2102"/>
      <c r="AH47" s="2102"/>
      <c r="AI47" s="2102"/>
      <c r="AJ47" s="2102"/>
      <c r="AK47" s="2102"/>
      <c r="AL47" s="2102"/>
      <c r="AM47" s="2102"/>
      <c r="AN47" s="2102"/>
      <c r="AO47" s="2102"/>
      <c r="AP47" s="2102"/>
      <c r="AQ47" s="2102"/>
      <c r="AR47" s="2102"/>
      <c r="AS47" s="2102"/>
      <c r="AT47" s="2102"/>
      <c r="AU47" s="2102"/>
      <c r="AV47" s="2102"/>
      <c r="AW47" s="2102"/>
      <c r="AX47" s="2102"/>
      <c r="AY47" s="2102"/>
      <c r="AZ47" s="2102"/>
      <c r="BA47" s="2102"/>
      <c r="BB47" s="2103"/>
      <c r="BC47" s="1286" t="s">
        <v>613</v>
      </c>
      <c r="BE47" s="506"/>
      <c r="BF47" s="506" t="str">
        <f>IF(T47="","",T47)</f>
        <v>Территория действия тарифа</v>
      </c>
      <c r="BG47" s="506"/>
      <c r="BH47" s="506"/>
    </row>
    <row customHeight="1" ht="33.75">
      <c r="A48" s="1393" t="s">
        <v>489</v>
      </c>
      <c r="B48" s="1393" t="s">
        <v>490</v>
      </c>
      <c r="C48" s="1393" t="s">
        <v>491</v>
      </c>
      <c r="D48" s="1393"/>
      <c r="E48" s="2108"/>
      <c r="F48" s="2108"/>
      <c r="G48" s="2107">
        <v>1</v>
      </c>
      <c r="H48" s="1393"/>
      <c r="I48" s="1393"/>
      <c r="J48" s="1393"/>
      <c r="K48" s="1393"/>
      <c r="L48" s="1394"/>
      <c r="M48" s="1395"/>
      <c r="N48" s="1395"/>
      <c r="O48" s="1395"/>
      <c r="P48" s="1442"/>
      <c r="Q48" s="1441"/>
      <c r="R48" s="349"/>
      <c r="S48" s="1523" t="str">
        <f>INDEX(PT_DIFFERENTIATION_NUM_CS,MATCH(C48,PT_DIFFERENTIATION_CS_ID,0))</f>
        <v>..</v>
      </c>
      <c r="T48" s="299" t="s">
        <v>729</v>
      </c>
      <c r="U48" s="288"/>
      <c r="V48" s="2102"/>
      <c r="W48" s="2102"/>
      <c r="X48" s="2102"/>
      <c r="Y48" s="2102"/>
      <c r="Z48" s="2102"/>
      <c r="AA48" s="2102"/>
      <c r="AB48" s="2102"/>
      <c r="AC48" s="2103"/>
      <c r="AD48" s="2101" t="str">
        <f>INDEX(PT_DIFFERENTIATION_CS,MATCH(C48,PT_DIFFERENTIATION_CS_ID,0))</f>
        <v/>
      </c>
      <c r="AE48" s="2102"/>
      <c r="AF48" s="2102"/>
      <c r="AG48" s="2102"/>
      <c r="AH48" s="2102"/>
      <c r="AI48" s="2102"/>
      <c r="AJ48" s="2102"/>
      <c r="AK48" s="2102"/>
      <c r="AL48" s="2102"/>
      <c r="AM48" s="2102"/>
      <c r="AN48" s="2102"/>
      <c r="AO48" s="2102"/>
      <c r="AP48" s="2102"/>
      <c r="AQ48" s="2102"/>
      <c r="AR48" s="2102"/>
      <c r="AS48" s="2102"/>
      <c r="AT48" s="2102"/>
      <c r="AU48" s="2102"/>
      <c r="AV48" s="2102"/>
      <c r="AW48" s="2102"/>
      <c r="AX48" s="2102"/>
      <c r="AY48" s="2102"/>
      <c r="AZ48" s="2102"/>
      <c r="BA48" s="2102"/>
      <c r="BB48" s="2103"/>
      <c r="BC48" s="1286" t="s">
        <v>730</v>
      </c>
      <c r="BE48" s="506"/>
      <c r="BF48" s="506" t="str">
        <f>IF(T48="","",T48)</f>
        <v>Наименование централизованной системы водоотведения</v>
      </c>
      <c r="BG48" s="506"/>
      <c r="BH48" s="506"/>
    </row>
    <row s="2612" customFormat="1" customHeight="1" ht="0">
      <c r="A49" s="1373" t="s">
        <v>489</v>
      </c>
      <c r="B49" s="1373" t="s">
        <v>490</v>
      </c>
      <c r="C49" s="1373" t="s">
        <v>491</v>
      </c>
      <c r="D49" s="1373" t="s">
        <v>742</v>
      </c>
      <c r="E49" s="2108"/>
      <c r="F49" s="2108"/>
      <c r="G49" s="2108"/>
      <c r="H49" s="2107">
        <v>1</v>
      </c>
      <c r="I49" s="1373"/>
      <c r="J49" s="1373"/>
      <c r="K49" s="1373"/>
      <c r="L49" s="1376"/>
      <c r="M49" s="1345"/>
      <c r="N49" s="1345"/>
      <c r="O49" s="1345"/>
      <c r="P49" s="1527"/>
      <c r="Q49" s="1528"/>
      <c r="R49" s="353"/>
      <c r="S49" s="1049"/>
      <c r="T49" s="1529"/>
      <c r="U49" s="1414"/>
      <c r="V49" s="2148"/>
      <c r="W49" s="2148"/>
      <c r="X49" s="2148"/>
      <c r="Y49" s="2148"/>
      <c r="Z49" s="2148"/>
      <c r="AA49" s="2148"/>
      <c r="AB49" s="2148"/>
      <c r="AC49" s="2149"/>
      <c r="AD49" s="2147"/>
      <c r="AE49" s="2148"/>
      <c r="AF49" s="2148"/>
      <c r="AG49" s="2148"/>
      <c r="AH49" s="2148"/>
      <c r="AI49" s="2148"/>
      <c r="AJ49" s="2148"/>
      <c r="AK49" s="2148"/>
      <c r="AL49" s="2148"/>
      <c r="AM49" s="2148"/>
      <c r="AN49" s="2148"/>
      <c r="AO49" s="2148"/>
      <c r="AP49" s="2148"/>
      <c r="AQ49" s="2148"/>
      <c r="AR49" s="2148"/>
      <c r="AS49" s="2148"/>
      <c r="AT49" s="2148"/>
      <c r="AU49" s="2148"/>
      <c r="AV49" s="2148"/>
      <c r="AW49" s="2148"/>
      <c r="AX49" s="2148"/>
      <c r="AY49" s="2148"/>
      <c r="AZ49" s="2148"/>
      <c r="BA49" s="2148"/>
      <c r="BB49" s="2149"/>
      <c r="BC49" s="1415" t="s">
        <v>617</v>
      </c>
      <c r="BE49" s="506"/>
      <c r="BF49" s="506" t="str">
        <f>IF(T49="","",T49)</f>
        <v/>
      </c>
      <c r="BG49" s="506"/>
      <c r="BH49" s="506"/>
    </row>
    <row s="2612" customFormat="1" customHeight="1" ht="0">
      <c r="A50" s="1373" t="s">
        <v>489</v>
      </c>
      <c r="B50" s="1373" t="s">
        <v>490</v>
      </c>
      <c r="C50" s="1373" t="s">
        <v>491</v>
      </c>
      <c r="D50" s="1373" t="s">
        <v>742</v>
      </c>
      <c r="E50" s="2108"/>
      <c r="F50" s="2108"/>
      <c r="G50" s="2108"/>
      <c r="H50" s="2108"/>
      <c r="I50" s="2109" t="str">
        <f>S49&amp;".1"</f>
        <v>.1</v>
      </c>
      <c r="J50" s="1373"/>
      <c r="K50" s="1373"/>
      <c r="L50" s="1376" t="s">
        <v>618</v>
      </c>
      <c r="M50" s="516"/>
      <c r="N50" s="516"/>
      <c r="O50" s="516"/>
      <c r="P50" s="2111">
        <v>1</v>
      </c>
      <c r="Q50" s="1511"/>
      <c r="R50" s="352"/>
      <c r="S50" s="1049"/>
      <c r="T50" s="1413"/>
      <c r="U50" s="1414"/>
      <c r="V50" s="2148"/>
      <c r="W50" s="2148"/>
      <c r="X50" s="2148"/>
      <c r="Y50" s="2148"/>
      <c r="Z50" s="2148"/>
      <c r="AA50" s="2148"/>
      <c r="AB50" s="2148"/>
      <c r="AC50" s="2149"/>
      <c r="AD50" s="2147"/>
      <c r="AE50" s="2148"/>
      <c r="AF50" s="2148"/>
      <c r="AG50" s="2148"/>
      <c r="AH50" s="2148"/>
      <c r="AI50" s="2148"/>
      <c r="AJ50" s="2148"/>
      <c r="AK50" s="2148"/>
      <c r="AL50" s="2148"/>
      <c r="AM50" s="2148"/>
      <c r="AN50" s="2148"/>
      <c r="AO50" s="2148"/>
      <c r="AP50" s="2148"/>
      <c r="AQ50" s="2148"/>
      <c r="AR50" s="2148"/>
      <c r="AS50" s="2148"/>
      <c r="AT50" s="2148"/>
      <c r="AU50" s="2148"/>
      <c r="AV50" s="2148"/>
      <c r="AW50" s="2148"/>
      <c r="AX50" s="2148"/>
      <c r="AY50" s="2148"/>
      <c r="AZ50" s="2148"/>
      <c r="BA50" s="2148"/>
      <c r="BB50" s="2149"/>
      <c r="BC50" s="1415"/>
      <c r="BE50" s="506"/>
      <c r="BF50" s="506" t="str">
        <f>IF(T50="","",T50)</f>
        <v/>
      </c>
      <c r="BG50" s="506"/>
      <c r="BH50" s="506"/>
    </row>
    <row s="2612" customFormat="1" customHeight="1" ht="0">
      <c r="A51" s="1373" t="s">
        <v>489</v>
      </c>
      <c r="B51" s="1373" t="s">
        <v>490</v>
      </c>
      <c r="C51" s="1373" t="s">
        <v>491</v>
      </c>
      <c r="D51" s="1373" t="s">
        <v>742</v>
      </c>
      <c r="E51" s="2108"/>
      <c r="F51" s="2108"/>
      <c r="G51" s="2108"/>
      <c r="H51" s="2108"/>
      <c r="I51" s="2110"/>
      <c r="J51" s="2109" t="str">
        <f>S49&amp;".1"</f>
        <v>.1</v>
      </c>
      <c r="K51" s="1373"/>
      <c r="L51" s="1376"/>
      <c r="M51" s="516"/>
      <c r="N51" s="516"/>
      <c r="O51" s="516"/>
      <c r="P51" s="2111"/>
      <c r="Q51" s="2111">
        <v>1</v>
      </c>
      <c r="R51" s="353"/>
      <c r="S51" s="1049"/>
      <c r="T51" s="1429"/>
      <c r="U51" s="1414"/>
      <c r="V51" s="2148"/>
      <c r="W51" s="2148"/>
      <c r="X51" s="2148"/>
      <c r="Y51" s="2148"/>
      <c r="Z51" s="2148"/>
      <c r="AA51" s="2148"/>
      <c r="AB51" s="2148"/>
      <c r="AC51" s="2149"/>
      <c r="AD51" s="2147"/>
      <c r="AE51" s="2148"/>
      <c r="AF51" s="2148"/>
      <c r="AG51" s="2148"/>
      <c r="AH51" s="2148"/>
      <c r="AI51" s="2148"/>
      <c r="AJ51" s="2148"/>
      <c r="AK51" s="2148"/>
      <c r="AL51" s="2148"/>
      <c r="AM51" s="2148"/>
      <c r="AN51" s="2209"/>
      <c r="AO51" s="2209"/>
      <c r="AP51" s="2148"/>
      <c r="AQ51" s="2148"/>
      <c r="AR51" s="2148"/>
      <c r="AS51" s="2148"/>
      <c r="AT51" s="2148"/>
      <c r="AU51" s="2148"/>
      <c r="AV51" s="2148"/>
      <c r="AW51" s="2148"/>
      <c r="AX51" s="2148"/>
      <c r="AY51" s="2148"/>
      <c r="AZ51" s="2148"/>
      <c r="BA51" s="2148"/>
      <c r="BB51" s="2149"/>
      <c r="BC51" s="1415"/>
      <c r="BE51" s="506"/>
      <c r="BF51" s="506" t="str">
        <f>IF(T51="","",T51)</f>
        <v/>
      </c>
      <c r="BG51" s="506"/>
      <c r="BH51" s="506"/>
    </row>
    <row customHeight="1" ht="11.25">
      <c r="A52" s="1393" t="s">
        <v>489</v>
      </c>
      <c r="B52" s="1393" t="s">
        <v>490</v>
      </c>
      <c r="C52" s="1393" t="s">
        <v>491</v>
      </c>
      <c r="D52" s="1393" t="s">
        <v>742</v>
      </c>
      <c r="E52" s="2108"/>
      <c r="F52" s="2108"/>
      <c r="G52" s="2108"/>
      <c r="H52" s="2108"/>
      <c r="I52" s="2110"/>
      <c r="J52" s="2110"/>
      <c r="K52" s="2109" t="str">
        <f>S48&amp;".1"</f>
        <v>...1</v>
      </c>
      <c r="L52" s="1394"/>
      <c r="P52" s="2111"/>
      <c r="Q52" s="2111"/>
      <c r="R52" s="353">
        <v>1</v>
      </c>
      <c r="S52" s="2184" t="str">
        <f>$K52</f>
        <v>...1</v>
      </c>
      <c r="T52" s="2203"/>
      <c r="U52" s="288"/>
      <c r="V52" s="757"/>
      <c r="W52" s="1285"/>
      <c r="X52" s="757"/>
      <c r="Y52" s="1285"/>
      <c r="Z52" s="1774"/>
      <c r="AA52" s="1499" t="s">
        <v>63</v>
      </c>
      <c r="AB52" s="1774"/>
      <c r="AC52" s="1499" t="s">
        <v>63</v>
      </c>
      <c r="AD52" s="2044" t="s">
        <v>63</v>
      </c>
      <c r="AE52" s="2180"/>
      <c r="AF52" s="2057">
        <v>1</v>
      </c>
      <c r="AG52" s="2202"/>
      <c r="AH52" s="1981" t="s">
        <v>63</v>
      </c>
      <c r="AI52" s="2180"/>
      <c r="AJ52" s="2057">
        <v>1</v>
      </c>
      <c r="AK52" s="2201" t="s">
        <v>24</v>
      </c>
      <c r="AL52" s="1981" t="s">
        <v>63</v>
      </c>
      <c r="AM52" s="2029"/>
      <c r="AN52" s="2057">
        <v>1</v>
      </c>
      <c r="AO52" s="2206"/>
      <c r="AP52" s="2207" t="s">
        <v>63</v>
      </c>
      <c r="AQ52" s="301"/>
      <c r="AR52" s="1516">
        <v>1</v>
      </c>
      <c r="AS52" s="1522" t="s">
        <v>24</v>
      </c>
      <c r="AT52" s="757"/>
      <c r="AU52" s="1285"/>
      <c r="AV52" s="757"/>
      <c r="AW52" s="1285"/>
      <c r="AX52" s="1774"/>
      <c r="AY52" s="1499" t="s">
        <v>63</v>
      </c>
      <c r="AZ52" s="1774"/>
      <c r="BA52" s="1499" t="s">
        <v>63</v>
      </c>
      <c r="BB52" s="1378"/>
      <c r="BC52" s="2137" t="s">
        <v>714</v>
      </c>
      <c r="BE52" s="506"/>
      <c r="BF52" s="506" t="str">
        <f>IF(T52="","",T52)</f>
        <v/>
      </c>
      <c r="BG52" s="506"/>
      <c r="BH52" s="506"/>
    </row>
    <row customHeight="1" ht="11.25">
      <c r="A53" s="1393"/>
      <c r="B53" s="1393"/>
      <c r="C53" s="1393"/>
      <c r="D53" s="1393"/>
      <c r="E53" s="2108"/>
      <c r="F53" s="2108"/>
      <c r="G53" s="2108"/>
      <c r="H53" s="2108"/>
      <c r="I53" s="2110"/>
      <c r="J53" s="2110"/>
      <c r="K53" s="2109"/>
      <c r="L53" s="1394"/>
      <c r="P53" s="2111"/>
      <c r="Q53" s="2111"/>
      <c r="R53" s="353"/>
      <c r="S53" s="2185"/>
      <c r="T53" s="2204"/>
      <c r="U53" s="288"/>
      <c r="V53" s="1423"/>
      <c r="W53" s="1526"/>
      <c r="X53" s="1423"/>
      <c r="Y53" s="1526"/>
      <c r="Z53" s="1423"/>
      <c r="AA53" s="1423"/>
      <c r="AB53" s="1423"/>
      <c r="AC53" s="1423"/>
      <c r="AD53" s="2045"/>
      <c r="AE53" s="2180"/>
      <c r="AF53" s="2057"/>
      <c r="AG53" s="2202"/>
      <c r="AH53" s="1981"/>
      <c r="AI53" s="2180"/>
      <c r="AJ53" s="2057"/>
      <c r="AK53" s="2201"/>
      <c r="AL53" s="1981"/>
      <c r="AM53" s="2037"/>
      <c r="AN53" s="2057"/>
      <c r="AO53" s="2206"/>
      <c r="AP53" s="2208"/>
      <c r="AQ53" s="308"/>
      <c r="AR53" s="422"/>
      <c r="AS53" s="422" t="s">
        <v>715</v>
      </c>
      <c r="AT53" s="1423"/>
      <c r="AU53" s="1526"/>
      <c r="AV53" s="1423"/>
      <c r="AW53" s="1526"/>
      <c r="AX53" s="1423"/>
      <c r="AY53" s="1423"/>
      <c r="AZ53" s="1423"/>
      <c r="BA53" s="1423"/>
      <c r="BB53" s="1427"/>
      <c r="BC53" s="2138"/>
      <c r="BE53" s="506"/>
      <c r="BF53" s="506"/>
      <c r="BG53" s="506"/>
      <c r="BH53" s="506"/>
    </row>
    <row customHeight="1" ht="11.25">
      <c r="A54" s="1393" t="s">
        <v>489</v>
      </c>
      <c r="B54" s="1393"/>
      <c r="C54" s="1393"/>
      <c r="D54" s="1393"/>
      <c r="E54" s="2108"/>
      <c r="F54" s="2108"/>
      <c r="G54" s="2108"/>
      <c r="H54" s="2108"/>
      <c r="I54" s="2110"/>
      <c r="J54" s="2110"/>
      <c r="K54" s="2109"/>
      <c r="L54" s="1394"/>
      <c r="P54" s="2111"/>
      <c r="Q54" s="2111"/>
      <c r="R54" s="353"/>
      <c r="S54" s="2185"/>
      <c r="T54" s="2204"/>
      <c r="U54" s="288"/>
      <c r="V54" s="1423"/>
      <c r="W54" s="1526"/>
      <c r="X54" s="1423"/>
      <c r="Y54" s="1526"/>
      <c r="Z54" s="1423"/>
      <c r="AA54" s="1423"/>
      <c r="AB54" s="1423"/>
      <c r="AC54" s="1423"/>
      <c r="AD54" s="2045"/>
      <c r="AE54" s="2180"/>
      <c r="AF54" s="2057"/>
      <c r="AG54" s="2202"/>
      <c r="AH54" s="1981"/>
      <c r="AI54" s="2180"/>
      <c r="AJ54" s="2057"/>
      <c r="AK54" s="2201"/>
      <c r="AL54" s="1981"/>
      <c r="AM54" s="308"/>
      <c r="AN54" s="1530"/>
      <c r="AO54" s="1530" t="s">
        <v>735</v>
      </c>
      <c r="AP54" s="422"/>
      <c r="AQ54" s="422"/>
      <c r="AR54" s="422"/>
      <c r="AS54" s="1423"/>
      <c r="AT54" s="1423"/>
      <c r="AU54" s="1526"/>
      <c r="AV54" s="1423"/>
      <c r="AW54" s="1526"/>
      <c r="AX54" s="1423"/>
      <c r="AY54" s="1423"/>
      <c r="AZ54" s="1423"/>
      <c r="BA54" s="1423"/>
      <c r="BB54" s="1427"/>
      <c r="BC54" s="2138"/>
      <c r="BE54" s="506"/>
      <c r="BF54" s="506"/>
      <c r="BG54" s="506"/>
      <c r="BH54" s="506"/>
    </row>
    <row customHeight="1" ht="11.25">
      <c r="A55" s="1393" t="s">
        <v>489</v>
      </c>
      <c r="B55" s="1393"/>
      <c r="C55" s="1393"/>
      <c r="D55" s="1393"/>
      <c r="E55" s="2108"/>
      <c r="F55" s="2108"/>
      <c r="G55" s="2108"/>
      <c r="H55" s="2108"/>
      <c r="I55" s="2110"/>
      <c r="J55" s="2110"/>
      <c r="K55" s="2109"/>
      <c r="L55" s="1394"/>
      <c r="P55" s="2111"/>
      <c r="Q55" s="2111"/>
      <c r="R55" s="353"/>
      <c r="S55" s="2185"/>
      <c r="T55" s="2204"/>
      <c r="U55" s="288"/>
      <c r="V55" s="1423"/>
      <c r="W55" s="1526"/>
      <c r="X55" s="1423"/>
      <c r="Y55" s="1526"/>
      <c r="Z55" s="1423"/>
      <c r="AA55" s="1423"/>
      <c r="AB55" s="1423"/>
      <c r="AC55" s="1423"/>
      <c r="AD55" s="2045"/>
      <c r="AE55" s="2180"/>
      <c r="AF55" s="2057"/>
      <c r="AG55" s="2202"/>
      <c r="AH55" s="1981"/>
      <c r="AI55" s="282"/>
      <c r="AJ55" s="421"/>
      <c r="AK55" s="303" t="s">
        <v>736</v>
      </c>
      <c r="AL55" s="1423"/>
      <c r="AM55" s="1423"/>
      <c r="AN55" s="1423"/>
      <c r="AO55" s="1423"/>
      <c r="AP55" s="1423"/>
      <c r="AQ55" s="1423"/>
      <c r="AR55" s="1423"/>
      <c r="AS55" s="1423"/>
      <c r="AT55" s="1423"/>
      <c r="AU55" s="1526"/>
      <c r="AV55" s="1423"/>
      <c r="AW55" s="1526"/>
      <c r="AX55" s="1423"/>
      <c r="AY55" s="1423"/>
      <c r="AZ55" s="1423"/>
      <c r="BA55" s="1423"/>
      <c r="BB55" s="1427"/>
      <c r="BC55" s="2138"/>
      <c r="BE55" s="506"/>
      <c r="BF55" s="506"/>
      <c r="BG55" s="506"/>
      <c r="BH55" s="506"/>
    </row>
    <row customHeight="1" ht="11.25">
      <c r="A56" s="1393" t="s">
        <v>489</v>
      </c>
      <c r="B56" s="1393" t="s">
        <v>490</v>
      </c>
      <c r="C56" s="1393" t="s">
        <v>491</v>
      </c>
      <c r="D56" s="1393" t="s">
        <v>742</v>
      </c>
      <c r="E56" s="2108"/>
      <c r="F56" s="2108"/>
      <c r="G56" s="2108"/>
      <c r="H56" s="2108"/>
      <c r="I56" s="2110"/>
      <c r="J56" s="2110"/>
      <c r="K56" s="2109"/>
      <c r="L56" s="1394"/>
      <c r="P56" s="2111"/>
      <c r="Q56" s="2111"/>
      <c r="R56" s="353"/>
      <c r="S56" s="2186"/>
      <c r="T56" s="2205"/>
      <c r="U56" s="288"/>
      <c r="V56" s="1423"/>
      <c r="W56" s="1424" t="str">
        <f>Z52&amp;"-"&amp;AB52</f>
        <v>-</v>
      </c>
      <c r="X56" s="1423"/>
      <c r="Y56" s="1424" t="str">
        <f>AB52&amp;"-"&amp;AD52</f>
        <v>-да</v>
      </c>
      <c r="Z56" s="1423"/>
      <c r="AA56" s="1423"/>
      <c r="AB56" s="1423"/>
      <c r="AC56" s="1423"/>
      <c r="AD56" s="1986"/>
      <c r="AE56" s="302"/>
      <c r="AF56" s="304"/>
      <c r="AG56" s="422" t="s">
        <v>718</v>
      </c>
      <c r="AH56" s="1423"/>
      <c r="AI56" s="1423"/>
      <c r="AJ56" s="1423"/>
      <c r="AK56" s="1423"/>
      <c r="AL56" s="1423"/>
      <c r="AM56" s="1423"/>
      <c r="AN56" s="1423"/>
      <c r="AO56" s="1423"/>
      <c r="AP56" s="1423"/>
      <c r="AQ56" s="1423"/>
      <c r="AR56" s="1423"/>
      <c r="AS56" s="1423"/>
      <c r="AT56" s="1423"/>
      <c r="AU56" s="1424" t="str">
        <f>AX52&amp;"-"&amp;AZ52</f>
        <v>-</v>
      </c>
      <c r="AV56" s="1423"/>
      <c r="AW56" s="1424" t="str">
        <f>AZ52&amp;"-"&amp;BB52</f>
        <v>-</v>
      </c>
      <c r="AX56" s="1423"/>
      <c r="AY56" s="1423"/>
      <c r="AZ56" s="1423"/>
      <c r="BA56" s="1423"/>
      <c r="BB56" s="1426" t="str">
        <f>BE52&amp;"-"&amp;BG52</f>
        <v>-</v>
      </c>
      <c r="BC56" s="2138"/>
      <c r="BE56" s="506"/>
      <c r="BF56" s="506" t="str">
        <f>IF(T56="","",T56)</f>
        <v/>
      </c>
      <c r="BG56" s="506"/>
      <c r="BH56" s="506"/>
    </row>
    <row customHeight="1" ht="11.25">
      <c r="A57" s="1393" t="s">
        <v>489</v>
      </c>
      <c r="B57" s="1393" t="s">
        <v>490</v>
      </c>
      <c r="C57" s="1393" t="s">
        <v>491</v>
      </c>
      <c r="D57" s="1393" t="s">
        <v>742</v>
      </c>
      <c r="E57" s="2108"/>
      <c r="F57" s="2108"/>
      <c r="G57" s="2108"/>
      <c r="H57" s="2108"/>
      <c r="I57" s="2110"/>
      <c r="J57" s="2109"/>
      <c r="K57" s="1393"/>
      <c r="L57" s="1394"/>
      <c r="P57" s="2111"/>
      <c r="Q57" s="2111"/>
      <c r="R57" s="352"/>
      <c r="S57" s="1308"/>
      <c r="T57" s="275" t="s">
        <v>682</v>
      </c>
      <c r="U57" s="367"/>
      <c r="V57" s="367"/>
      <c r="W57" s="367"/>
      <c r="X57" s="367"/>
      <c r="Y57" s="367"/>
      <c r="Z57" s="367"/>
      <c r="AA57" s="367"/>
      <c r="AB57" s="367"/>
      <c r="AC57" s="319"/>
      <c r="AD57" s="1535"/>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19"/>
      <c r="BC57" s="2139"/>
      <c r="BE57" s="506"/>
      <c r="BF57" s="506" t="str">
        <f>IF(T57="","",T57)</f>
        <v>Добавить строку</v>
      </c>
      <c r="BG57" s="506"/>
      <c r="BH57" s="506"/>
    </row>
    <row s="2612" customFormat="1" customHeight="1" ht="0">
      <c r="A58" s="1373" t="s">
        <v>489</v>
      </c>
      <c r="B58" s="1373" t="s">
        <v>490</v>
      </c>
      <c r="C58" s="1373" t="s">
        <v>491</v>
      </c>
      <c r="D58" s="1373" t="s">
        <v>742</v>
      </c>
      <c r="E58" s="2108"/>
      <c r="F58" s="2108"/>
      <c r="G58" s="2108"/>
      <c r="H58" s="2108"/>
      <c r="I58" s="2109"/>
      <c r="J58" s="1373"/>
      <c r="K58" s="1373"/>
      <c r="L58" s="1376"/>
      <c r="M58" s="516"/>
      <c r="N58" s="516"/>
      <c r="O58" s="516"/>
      <c r="P58" s="2111"/>
      <c r="Q58" s="1511"/>
      <c r="R58" s="352"/>
      <c r="S58" s="1416"/>
      <c r="T58" s="1417"/>
      <c r="U58" s="1418"/>
      <c r="V58" s="1418"/>
      <c r="W58" s="1418"/>
      <c r="X58" s="1418"/>
      <c r="Y58" s="1418"/>
      <c r="Z58" s="1418"/>
      <c r="AA58" s="1418"/>
      <c r="AB58" s="1418"/>
      <c r="AC58" s="1418"/>
      <c r="AD58" s="1418"/>
      <c r="AE58" s="1418"/>
      <c r="AF58" s="1418"/>
      <c r="AG58" s="1418"/>
      <c r="AH58" s="1418"/>
      <c r="AI58" s="1418"/>
      <c r="AJ58" s="1418"/>
      <c r="AK58" s="1418"/>
      <c r="AL58" s="1418"/>
      <c r="AM58" s="1418"/>
      <c r="AN58" s="1418"/>
      <c r="AO58" s="1418"/>
      <c r="AP58" s="1418"/>
      <c r="AQ58" s="1418"/>
      <c r="AR58" s="1418"/>
      <c r="AS58" s="1418"/>
      <c r="AT58" s="1418"/>
      <c r="AU58" s="1418"/>
      <c r="AV58" s="1418"/>
      <c r="AW58" s="1418"/>
      <c r="AX58" s="1418"/>
      <c r="AY58" s="1418"/>
      <c r="AZ58" s="1418"/>
      <c r="BA58" s="1418"/>
      <c r="BB58" s="1418"/>
      <c r="BC58" s="1419"/>
      <c r="BE58" s="506"/>
      <c r="BF58" s="506" t="str">
        <f>IF(T58="","",T58)</f>
        <v/>
      </c>
      <c r="BG58" s="506"/>
      <c r="BH58" s="506"/>
    </row>
    <row s="2612" customFormat="1" customHeight="1" ht="0">
      <c r="A59" s="1373" t="s">
        <v>489</v>
      </c>
      <c r="B59" s="1373" t="s">
        <v>490</v>
      </c>
      <c r="C59" s="1373" t="s">
        <v>491</v>
      </c>
      <c r="D59" s="1373" t="s">
        <v>742</v>
      </c>
      <c r="E59" s="2108"/>
      <c r="F59" s="2108"/>
      <c r="G59" s="2108"/>
      <c r="H59" s="2107"/>
      <c r="I59" s="1373"/>
      <c r="J59" s="1373"/>
      <c r="K59" s="1373"/>
      <c r="L59" s="1376"/>
      <c r="M59" s="1345"/>
      <c r="N59" s="1345"/>
      <c r="O59" s="524"/>
      <c r="P59" s="385"/>
      <c r="Q59" s="1374"/>
      <c r="R59" s="1431"/>
      <c r="S59" s="1416"/>
      <c r="T59" s="1417"/>
      <c r="U59" s="1418"/>
      <c r="V59" s="1418"/>
      <c r="W59" s="1418"/>
      <c r="X59" s="1418"/>
      <c r="Y59" s="1418"/>
      <c r="Z59" s="1418"/>
      <c r="AA59" s="1418"/>
      <c r="AB59" s="1418"/>
      <c r="AC59" s="1418"/>
      <c r="AD59" s="1418"/>
      <c r="AE59" s="1418"/>
      <c r="AF59" s="1418"/>
      <c r="AG59" s="1418"/>
      <c r="AH59" s="1418"/>
      <c r="AI59" s="1418"/>
      <c r="AJ59" s="1418"/>
      <c r="AK59" s="1418"/>
      <c r="AL59" s="1418"/>
      <c r="AM59" s="1418"/>
      <c r="AN59" s="1418"/>
      <c r="AO59" s="1418"/>
      <c r="AP59" s="1418"/>
      <c r="AQ59" s="1418"/>
      <c r="AR59" s="1418"/>
      <c r="AS59" s="1418"/>
      <c r="AT59" s="1418"/>
      <c r="AU59" s="1418"/>
      <c r="AV59" s="1418"/>
      <c r="AW59" s="1418"/>
      <c r="AX59" s="1418"/>
      <c r="AY59" s="1418"/>
      <c r="AZ59" s="1418"/>
      <c r="BA59" s="1418"/>
      <c r="BB59" s="1418"/>
      <c r="BC59" s="1419"/>
      <c r="BE59" s="506"/>
      <c r="BF59" s="506" t="str">
        <f>IF(T59="","",T59)</f>
        <v/>
      </c>
      <c r="BG59" s="506"/>
      <c r="BH59" s="506"/>
    </row>
    <row s="3314" customFormat="1" customHeight="1" ht="0">
      <c r="A60" s="1373" t="s">
        <v>489</v>
      </c>
      <c r="B60" s="1373" t="s">
        <v>490</v>
      </c>
      <c r="C60" s="1373" t="s">
        <v>491</v>
      </c>
      <c r="D60" s="1344"/>
      <c r="E60" s="2108"/>
      <c r="F60" s="2108"/>
      <c r="G60" s="2107"/>
      <c r="H60" s="1344"/>
      <c r="I60" s="1344"/>
      <c r="J60" s="1344"/>
      <c r="K60" s="1344"/>
      <c r="L60" s="1524"/>
      <c r="M60" s="1345"/>
      <c r="N60" s="1345"/>
      <c r="P60" s="1346"/>
      <c r="Q60" s="1347"/>
      <c r="R60" s="1346"/>
      <c r="S60" s="1352"/>
      <c r="T60" s="1355"/>
      <c r="U60" s="1354"/>
      <c r="V60" s="1354"/>
      <c r="W60" s="1354"/>
      <c r="X60" s="1354"/>
      <c r="Y60" s="1354"/>
      <c r="Z60" s="1354"/>
      <c r="AA60" s="1354"/>
      <c r="AB60" s="1354"/>
      <c r="AC60" s="1354"/>
      <c r="AD60" s="1354"/>
      <c r="AE60" s="1354"/>
      <c r="AF60" s="1354"/>
      <c r="AG60" s="1354"/>
      <c r="AH60" s="1354"/>
      <c r="AI60" s="1354"/>
      <c r="AJ60" s="1354"/>
      <c r="AK60" s="1354"/>
      <c r="AL60" s="1354"/>
      <c r="AM60" s="1354"/>
      <c r="AN60" s="1354"/>
      <c r="AO60" s="1354"/>
      <c r="AP60" s="1354"/>
      <c r="AQ60" s="1354"/>
      <c r="AR60" s="1354"/>
      <c r="AS60" s="1354"/>
      <c r="AT60" s="1354"/>
      <c r="AU60" s="1354"/>
      <c r="AV60" s="1354"/>
      <c r="AW60" s="1354"/>
      <c r="AX60" s="1354"/>
      <c r="AY60" s="1354"/>
      <c r="AZ60" s="1354"/>
      <c r="BA60" s="1354"/>
      <c r="BB60" s="1354"/>
      <c r="BC60" s="1354"/>
      <c r="BE60" s="795"/>
      <c r="BF60" s="795" t="str">
        <f>IF(T60="","",T60)</f>
        <v/>
      </c>
      <c r="BG60" s="795"/>
      <c r="BH60" s="795"/>
    </row>
    <row s="3314" customFormat="1" customHeight="1" ht="0">
      <c r="A61" s="1373" t="s">
        <v>489</v>
      </c>
      <c r="B61" s="1373" t="s">
        <v>490</v>
      </c>
      <c r="C61" s="1344"/>
      <c r="D61" s="1344"/>
      <c r="E61" s="2108"/>
      <c r="F61" s="2107"/>
      <c r="G61" s="1344"/>
      <c r="H61" s="1344"/>
      <c r="I61" s="1344"/>
      <c r="J61" s="1344"/>
      <c r="K61" s="1344"/>
      <c r="L61" s="1524"/>
      <c r="M61" s="1351"/>
      <c r="N61" s="1351"/>
      <c r="P61" s="1346"/>
      <c r="Q61" s="1347"/>
      <c r="R61" s="1346"/>
      <c r="S61" s="1352"/>
      <c r="T61" s="1355" t="s">
        <v>255</v>
      </c>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E61" s="795"/>
      <c r="BF61" s="795" t="str">
        <f>IF(T61="","",T61)</f>
        <v>Добавить централизованную систему для дифференциации</v>
      </c>
      <c r="BG61" s="795"/>
      <c r="BH61" s="795"/>
    </row>
    <row s="2612" customFormat="1" customHeight="1" ht="0">
      <c r="A62" s="1373" t="s">
        <v>489</v>
      </c>
      <c r="B62" s="1373"/>
      <c r="C62" s="1373"/>
      <c r="D62" s="1373"/>
      <c r="E62" s="2107"/>
      <c r="F62" s="1373"/>
      <c r="G62" s="1373"/>
      <c r="H62" s="1373"/>
      <c r="I62" s="1373"/>
      <c r="J62" s="1373"/>
      <c r="K62" s="1373"/>
      <c r="L62" s="1376"/>
      <c r="M62" s="1351"/>
      <c r="N62" s="1351"/>
      <c r="O62" s="524"/>
      <c r="P62" s="385"/>
      <c r="Q62" s="1374"/>
      <c r="R62" s="385"/>
      <c r="S62" s="1352"/>
      <c r="T62" s="1355" t="s">
        <v>329</v>
      </c>
      <c r="U62" s="1354"/>
      <c r="V62" s="1354"/>
      <c r="W62" s="1354"/>
      <c r="X62" s="1354"/>
      <c r="Y62" s="1354"/>
      <c r="Z62" s="1354"/>
      <c r="AA62" s="1354"/>
      <c r="AB62" s="1354"/>
      <c r="AC62" s="1354"/>
      <c r="AD62" s="1354"/>
      <c r="AE62" s="1354"/>
      <c r="AF62" s="1354"/>
      <c r="AG62" s="1354"/>
      <c r="AH62" s="1354"/>
      <c r="AI62" s="1354"/>
      <c r="AJ62" s="1354"/>
      <c r="AK62" s="1354"/>
      <c r="AL62" s="1354"/>
      <c r="AM62" s="1354"/>
      <c r="AN62" s="1354"/>
      <c r="AO62" s="1354"/>
      <c r="AP62" s="1354"/>
      <c r="AQ62" s="1354"/>
      <c r="AR62" s="1354"/>
      <c r="AS62" s="1354"/>
      <c r="AT62" s="1354"/>
      <c r="AU62" s="1354"/>
      <c r="AV62" s="1354"/>
      <c r="AW62" s="1354"/>
      <c r="AX62" s="1354"/>
      <c r="AY62" s="1354"/>
      <c r="AZ62" s="1354"/>
      <c r="BA62" s="1354"/>
      <c r="BB62" s="1354"/>
      <c r="BC62" s="1354"/>
      <c r="BE62" s="506"/>
      <c r="BF62" s="506" t="str">
        <f>IF(T62="","",T62)</f>
        <v>Добавить территорию для дифференциации</v>
      </c>
      <c r="BG62" s="506"/>
      <c r="BH62" s="506"/>
    </row>
    <row s="3314" customFormat="1" customHeight="1" ht="0">
      <c r="A63" s="1344"/>
      <c r="B63" s="1344"/>
      <c r="C63" s="1344"/>
      <c r="D63" s="1344"/>
      <c r="E63" s="1373"/>
      <c r="F63" s="1344"/>
      <c r="G63" s="1344"/>
      <c r="H63" s="1344"/>
      <c r="I63" s="1344"/>
      <c r="J63" s="1344"/>
      <c r="K63" s="1344"/>
      <c r="L63" s="1524"/>
      <c r="M63" s="1351"/>
      <c r="N63" s="1351"/>
      <c r="P63" s="1346"/>
      <c r="Q63" s="1347"/>
      <c r="R63" s="1346"/>
      <c r="S63" s="1352"/>
      <c r="T63" s="1355" t="s">
        <v>398</v>
      </c>
      <c r="U63" s="1354"/>
      <c r="V63" s="1354"/>
      <c r="W63" s="1354"/>
      <c r="X63" s="1354"/>
      <c r="Y63" s="1354"/>
      <c r="Z63" s="1354"/>
      <c r="AA63" s="1354"/>
      <c r="AB63" s="1354"/>
      <c r="AC63" s="1354"/>
      <c r="AD63" s="1354"/>
      <c r="AE63" s="1354"/>
      <c r="AF63" s="1354"/>
      <c r="AG63" s="1354"/>
      <c r="AH63" s="1354"/>
      <c r="AI63" s="1354"/>
      <c r="AJ63" s="1354"/>
      <c r="AK63" s="1354"/>
      <c r="AL63" s="1354"/>
      <c r="AM63" s="1354"/>
      <c r="AN63" s="1354"/>
      <c r="AO63" s="1354"/>
      <c r="AP63" s="1354"/>
      <c r="AQ63" s="1354"/>
      <c r="AR63" s="1354"/>
      <c r="AS63" s="1354"/>
      <c r="AT63" s="1354"/>
      <c r="AU63" s="1354"/>
      <c r="AV63" s="1354"/>
      <c r="AW63" s="1354"/>
      <c r="AX63" s="1354"/>
      <c r="AY63" s="1354"/>
      <c r="AZ63" s="1354"/>
      <c r="BA63" s="1354"/>
      <c r="BB63" s="1354"/>
      <c r="BC63" s="1354"/>
      <c r="BE63" s="795"/>
      <c r="BF63" s="795" t="str">
        <f>IF(T63="","",T63)</f>
        <v>Добавить наименование тарифа</v>
      </c>
      <c r="BG63" s="795"/>
      <c r="BH63" s="795"/>
    </row>
    <row customHeight="1" ht="11.25">
      <c r="M64" s="1168"/>
      <c r="N64" s="1168"/>
      <c r="O64" s="543"/>
      <c r="P64" s="1168"/>
      <c r="Q64" s="1168"/>
      <c r="R64" s="1163"/>
      <c r="S64" s="1163"/>
      <c r="BD64" s="1163"/>
      <c r="BE64" s="1163"/>
      <c r="BF64" s="1163"/>
      <c r="BG64" s="1163"/>
      <c r="BH64" s="1163"/>
    </row>
    <row customHeight="1" ht="14.25">
      <c r="O65" s="543"/>
      <c r="S65" s="1273"/>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c r="AS65" s="2106"/>
      <c r="AT65" s="2106"/>
      <c r="AU65" s="2106"/>
      <c r="AV65" s="2106"/>
      <c r="AW65" s="2106"/>
      <c r="AX65" s="2106"/>
      <c r="AY65" s="2106"/>
      <c r="AZ65" s="2106"/>
      <c r="BA65" s="2106"/>
      <c r="BB65" s="2106"/>
      <c r="BC65" s="2106"/>
    </row>
    <row customHeight="1" ht="14.25">
      <c r="O66" s="543"/>
      <c r="T66" s="1510"/>
      <c r="U66" s="1510"/>
      <c r="V66" s="1510"/>
      <c r="W66" s="1510"/>
      <c r="X66" s="1510"/>
      <c r="Y66" s="1510"/>
      <c r="Z66" s="1510"/>
      <c r="AA66" s="1510"/>
      <c r="AB66" s="1510"/>
      <c r="AC66" s="1510"/>
      <c r="AD66" s="1510"/>
      <c r="AE66" s="1510"/>
      <c r="AF66" s="1510"/>
      <c r="AG66" s="1510"/>
      <c r="AH66" s="1510"/>
      <c r="AI66" s="1510"/>
      <c r="AJ66" s="1510"/>
      <c r="AK66" s="1510"/>
      <c r="AL66" s="1510"/>
      <c r="AM66" s="1510"/>
      <c r="AN66" s="1510"/>
      <c r="AO66" s="1510"/>
      <c r="AP66" s="1510"/>
      <c r="AQ66" s="1510"/>
      <c r="AR66" s="1510"/>
      <c r="AS66" s="1510"/>
      <c r="AT66" s="1510"/>
      <c r="AU66" s="1510"/>
      <c r="AV66" s="1510"/>
      <c r="AW66" s="1510"/>
      <c r="AX66" s="1510"/>
      <c r="AY66" s="1510"/>
      <c r="AZ66" s="1510"/>
      <c r="BA66" s="1510"/>
      <c r="BB66" s="1510"/>
      <c r="BC66" s="1510"/>
    </row>
    <row customHeight="1" ht="14.25">
      <c r="O67" s="543"/>
      <c r="S67" s="1273"/>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c r="AS67" s="2106"/>
      <c r="AT67" s="2106"/>
      <c r="AU67" s="2106"/>
      <c r="AV67" s="2106"/>
      <c r="AW67" s="2106"/>
      <c r="AX67" s="2106"/>
      <c r="AY67" s="2106"/>
      <c r="AZ67" s="2106"/>
      <c r="BA67" s="2106"/>
      <c r="BB67" s="2106"/>
      <c r="BC67" s="2106"/>
    </row>
    <row customHeight="1" ht="14.25">
      <c r="O68" s="543"/>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79D3D9-8333-9549-5A89-E432BECD64DC}"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4.140625" hidden="1" customWidth="1"/>
    <col min="10" max="10" style="2683" width="9.8515625" hidden="1" customWidth="1"/>
    <col min="11" max="11" style="2683" width="14.7109375" hidden="1" customWidth="1"/>
    <col min="12" max="12" style="12312" width="19.140625" hidden="1" customWidth="1"/>
    <col min="13" max="14" style="3334" width="12.28125" hidden="1" customWidth="1"/>
    <col min="15" max="15" style="3334" width="23.421875" hidden="1" customWidth="1"/>
    <col min="16" max="16" style="12317" width="3.7109375" customWidth="1"/>
    <col min="17" max="18" style="3411" width="3.7109375" customWidth="1"/>
    <col min="19" max="19" style="3412" width="12.7109375" customWidth="1"/>
    <col min="20" max="20" style="2984" width="35.7109375" customWidth="1"/>
    <col min="21" max="21" style="2984" width="0.140625" customWidth="1"/>
    <col min="22" max="24" style="2984" width="24.7109375" hidden="1" customWidth="1"/>
    <col min="25" max="25" style="2984" width="11.7109375" hidden="1" customWidth="1"/>
    <col min="26" max="26" style="2984" width="3.7109375" hidden="1" customWidth="1"/>
    <col min="27" max="27" style="2984" width="11.7109375" hidden="1" customWidth="1"/>
    <col min="28" max="28" style="2984" width="8.57421875" hidden="1" customWidth="1"/>
    <col min="29" max="31" style="2984" width="24.7109375" customWidth="1"/>
    <col min="32" max="32" style="2984" width="11.7109375" customWidth="1"/>
    <col min="33" max="33" style="2984" width="3.7109375" customWidth="1"/>
    <col min="34" max="34" style="2984" width="11.7109375" customWidth="1"/>
    <col min="35" max="35" style="2984" width="8.57421875" hidden="1" customWidth="1"/>
    <col min="36" max="36" style="2984" width="4.7109375" customWidth="1"/>
    <col min="37" max="37" style="2984" width="115.7109375" customWidth="1"/>
    <col min="38" max="39" style="2612" width="10.57421875"/>
    <col min="40" max="40" style="2612" width="11.140625" customWidth="1"/>
    <col min="41" max="42" style="2612"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523">
        <f>INDEX(PT_DIFFERENTIATION_NUM_NTAR,MATCH(A2,PT_DIFFERENTIATION_NTAR_ID,0))</f>
      </c>
      <c r="T2" s="286" t="s">
        <v>204</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517"/>
      <c r="Q3" s="348"/>
      <c r="R3" s="349"/>
      <c r="S3" s="1523">
        <f>INDEX(PT_DIFFERENTIATION_NUM_TER,MATCH(B3,PT_DIFFERENTIATION_TER_ID,0))</f>
      </c>
      <c r="T3" s="298" t="s">
        <v>612</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613</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523">
        <f>INDEX(PT_DIFFERENTIATION_NUM_CS,MATCH(C4,PT_DIFFERENTIATION_CS_ID,0))</f>
      </c>
      <c r="T4" s="299" t="s">
        <v>743</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744</v>
      </c>
      <c r="AM4" s="506"/>
      <c r="AN4" s="506" t="str">
        <f>IF(T4="","",T4)</f>
        <v>Наименование централизованной системы горячего водоснабжения</v>
      </c>
      <c r="AO4" s="506"/>
      <c r="AP4" s="506"/>
    </row>
    <row customHeight="1" ht="23.25" hidden="1">
      <c r="A5" s="1393"/>
      <c r="B5" s="1393"/>
      <c r="C5" s="1393"/>
      <c r="D5" s="1393"/>
      <c r="E5" s="2108"/>
      <c r="F5" s="2108"/>
      <c r="G5" s="2108"/>
      <c r="H5" s="2108"/>
      <c r="I5" s="2109">
        <f>S4&amp;".1"</f>
      </c>
      <c r="J5" s="1393"/>
      <c r="K5" s="1393"/>
      <c r="L5" s="1394"/>
      <c r="P5" s="2111">
        <v>1</v>
      </c>
      <c r="Q5" s="1511"/>
      <c r="R5" s="352"/>
      <c r="S5" s="1523">
        <f>$I5</f>
      </c>
      <c r="T5" s="273" t="s">
        <v>698</v>
      </c>
      <c r="U5" s="288"/>
      <c r="V5" s="2194"/>
      <c r="W5" s="2195"/>
      <c r="X5" s="2195"/>
      <c r="Y5" s="2195"/>
      <c r="Z5" s="2195"/>
      <c r="AA5" s="2195"/>
      <c r="AB5" s="2196"/>
      <c r="AC5" s="2197"/>
      <c r="AD5" s="2198"/>
      <c r="AE5" s="2198"/>
      <c r="AF5" s="2198"/>
      <c r="AG5" s="2198"/>
      <c r="AH5" s="2198"/>
      <c r="AI5" s="2198"/>
      <c r="AJ5" s="2199"/>
      <c r="AK5" s="1286" t="s">
        <v>699</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621</v>
      </c>
      <c r="P6" s="2111"/>
      <c r="Q6" s="2111">
        <v>1</v>
      </c>
      <c r="R6" s="353"/>
      <c r="S6" s="1523">
        <f>$J6</f>
      </c>
      <c r="T6" s="274" t="s">
        <v>622</v>
      </c>
      <c r="U6" s="288"/>
      <c r="V6" s="2095"/>
      <c r="W6" s="2096"/>
      <c r="X6" s="2096"/>
      <c r="Y6" s="2096"/>
      <c r="Z6" s="2096"/>
      <c r="AA6" s="2096"/>
      <c r="AB6" s="2097"/>
      <c r="AC6" s="2095"/>
      <c r="AD6" s="2096"/>
      <c r="AE6" s="2096"/>
      <c r="AF6" s="2096"/>
      <c r="AG6" s="2096"/>
      <c r="AH6" s="2096"/>
      <c r="AI6" s="2096"/>
      <c r="AJ6" s="2097"/>
      <c r="AK6" s="1337" t="s">
        <v>700</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523">
        <f>$K7</f>
      </c>
      <c r="T7" s="1467"/>
      <c r="U7" s="288"/>
      <c r="V7" s="757"/>
      <c r="W7" s="757"/>
      <c r="X7" s="1285"/>
      <c r="Y7" s="2112"/>
      <c r="Z7" s="1981" t="s">
        <v>63</v>
      </c>
      <c r="AA7" s="2112"/>
      <c r="AB7" s="1981" t="s">
        <v>63</v>
      </c>
      <c r="AC7" s="757"/>
      <c r="AD7" s="757"/>
      <c r="AE7" s="1285"/>
      <c r="AF7" s="2112"/>
      <c r="AG7" s="1981" t="s">
        <v>63</v>
      </c>
      <c r="AH7" s="2114"/>
      <c r="AI7" s="1981" t="s">
        <v>63</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520"/>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701</v>
      </c>
      <c r="U9" s="367"/>
      <c r="V9" s="367"/>
      <c r="W9" s="367"/>
      <c r="X9" s="367"/>
      <c r="Y9" s="367"/>
      <c r="Z9" s="367"/>
      <c r="AA9" s="367"/>
      <c r="AB9" s="367"/>
      <c r="AC9" s="367"/>
      <c r="AD9" s="367"/>
      <c r="AE9" s="367"/>
      <c r="AF9" s="367"/>
      <c r="AG9" s="367"/>
      <c r="AH9" s="367"/>
      <c r="AI9" s="367"/>
      <c r="AJ9" s="367"/>
      <c r="AK9" s="1286" t="s">
        <v>702</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511"/>
      <c r="R10" s="352"/>
      <c r="S10" s="1308"/>
      <c r="T10" s="364" t="s">
        <v>627</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21" hidden="1">
      <c r="A11" s="1393"/>
      <c r="B11" s="1393"/>
      <c r="C11" s="1393"/>
      <c r="D11" s="1393"/>
      <c r="E11" s="2108"/>
      <c r="F11" s="2108"/>
      <c r="G11" s="2108"/>
      <c r="H11" s="2107"/>
      <c r="I11" s="1393"/>
      <c r="J11" s="1393"/>
      <c r="K11" s="1393"/>
      <c r="L11" s="1394"/>
      <c r="M11" s="1395"/>
      <c r="N11" s="1395"/>
      <c r="O11" s="543"/>
      <c r="P11" s="356"/>
      <c r="Q11" s="376"/>
      <c r="R11" s="351"/>
      <c r="S11" s="1308"/>
      <c r="T11" s="372" t="s">
        <v>703</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4" customFormat="1" customHeight="1" ht="14.25" hidden="1">
      <c r="A12" s="1373"/>
      <c r="B12" s="1373"/>
      <c r="C12" s="1344"/>
      <c r="D12" s="1344"/>
      <c r="E12" s="2108"/>
      <c r="F12" s="2107"/>
      <c r="G12" s="1344"/>
      <c r="H12" s="1344"/>
      <c r="I12" s="1344"/>
      <c r="J12" s="1344"/>
      <c r="K12" s="1344"/>
      <c r="L12" s="1524"/>
      <c r="M12" s="1351"/>
      <c r="N12" s="1351"/>
      <c r="P12" s="1346"/>
      <c r="Q12" s="1347"/>
      <c r="R12" s="1346"/>
      <c r="S12" s="1352"/>
      <c r="T12" s="1355" t="s">
        <v>255</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2"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63</v>
      </c>
      <c r="AH15" s="2105"/>
      <c r="AI15" s="2104" t="s">
        <v>63</v>
      </c>
    </row>
    <row customHeight="1" ht="14.25" hidden="1">
      <c r="AC16" s="1390"/>
      <c r="AD16" s="1390"/>
      <c r="AE16" s="324" t="str">
        <f>AF15&amp;"-"&amp;AH15</f>
        <v>-</v>
      </c>
      <c r="AF16" s="2104"/>
      <c r="AG16" s="2104"/>
      <c r="AH16" s="2104"/>
      <c r="AI16" s="2104"/>
    </row>
    <row customHeight="1" ht="14.25" hidden="1">
      <c r="AI17" s="323"/>
    </row>
    <row s="2683" customFormat="1" customHeight="1" ht="22.5" hidden="1">
      <c r="L18" s="1508"/>
      <c r="M18" s="1392"/>
      <c r="N18" s="1392"/>
      <c r="O18" s="1397" t="s">
        <v>629</v>
      </c>
      <c r="P18" s="1392"/>
      <c r="Q18" s="1401"/>
      <c r="R18" s="1401"/>
      <c r="S18" s="735"/>
      <c r="Y18" s="1397"/>
      <c r="AA18" s="1397"/>
      <c r="AB18" s="1396"/>
      <c r="AF18" s="1397"/>
      <c r="AH18" s="1397"/>
      <c r="AI18" s="1396"/>
      <c r="AL18" s="517"/>
      <c r="AM18" s="517"/>
      <c r="AN18" s="517"/>
      <c r="AO18" s="517"/>
      <c r="AP18" s="517"/>
    </row>
    <row s="2683" customFormat="1" customHeight="1" ht="14.25" hidden="1">
      <c r="L19" s="1508"/>
      <c r="M19" s="1392"/>
      <c r="N19" s="1392"/>
      <c r="O19" s="1392"/>
      <c r="P19" s="1392"/>
      <c r="Q19" s="1401"/>
      <c r="R19" s="1401"/>
      <c r="S19" s="735"/>
      <c r="AB19" s="1396"/>
      <c r="AI19" s="1396"/>
      <c r="AL19" s="517"/>
      <c r="AM19" s="517"/>
      <c r="AN19" s="517"/>
      <c r="AO19" s="517"/>
      <c r="AP19" s="517"/>
    </row>
    <row s="2683" customFormat="1" customHeight="1" ht="12" hidden="1">
      <c r="L20" s="1508"/>
      <c r="M20" s="1392"/>
      <c r="N20" s="1392"/>
      <c r="O20" s="1394" t="s">
        <v>630</v>
      </c>
      <c r="P20" s="1392"/>
      <c r="Q20" s="1472"/>
      <c r="R20" s="1472"/>
      <c r="S20" s="735"/>
      <c r="T20" s="1168" t="s">
        <v>631</v>
      </c>
      <c r="Z20" s="172" t="s">
        <v>632</v>
      </c>
      <c r="AB20" s="172" t="s">
        <v>633</v>
      </c>
      <c r="AC20" s="1168" t="s">
        <v>631</v>
      </c>
      <c r="AG20" s="172" t="s">
        <v>634</v>
      </c>
      <c r="AI20" s="172" t="s">
        <v>633</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29.25">
      <c r="Q24" s="377"/>
      <c r="R24" s="377"/>
      <c r="S24" s="214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5"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5" customFormat="1" customHeight="1" ht="18.75">
      <c r="A28" s="1398"/>
      <c r="B28" s="1398"/>
      <c r="C28" s="1398"/>
      <c r="D28" s="1398"/>
      <c r="E28" s="1398"/>
      <c r="F28" s="1398"/>
      <c r="G28" s="1398"/>
      <c r="H28" s="1398"/>
      <c r="I28" s="1398"/>
      <c r="J28" s="1398"/>
      <c r="K28" s="1398"/>
      <c r="L28" s="1399"/>
      <c r="M28" s="1398"/>
      <c r="N28" s="1398"/>
      <c r="O28" s="1398"/>
      <c r="S28" s="2098" t="s">
        <v>635</v>
      </c>
      <c r="T28" s="2098"/>
      <c r="U28" s="1402"/>
      <c r="V28" s="2099" t="str">
        <f>IF(TITLE_DATE_PR_CHANGE="",IF(TITLE_DATE_PR="","",TITLE_DATE_PR),TITLE_DATE_PR_CHANGE)</f>
        <v>45205</v>
      </c>
      <c r="W28" s="2099"/>
      <c r="X28" s="2099"/>
      <c r="Y28" s="2099"/>
      <c r="Z28" s="2099"/>
      <c r="AA28" s="2099"/>
      <c r="AB28" s="322"/>
      <c r="AC28" s="2099" t="str">
        <f>IF(TITLE_DATE_PR_CHANGE="",IF(TITLE_DATE_PR="","",TITLE_DATE_PR),TITLE_DATE_PR_CHANGE)</f>
        <v>45205</v>
      </c>
      <c r="AD28" s="2099"/>
      <c r="AE28" s="2099"/>
      <c r="AF28" s="2099"/>
      <c r="AG28" s="2099"/>
      <c r="AH28" s="2099"/>
      <c r="AI28" s="322"/>
      <c r="AJ28" s="322"/>
      <c r="AK28" s="268"/>
      <c r="AL28" s="368"/>
      <c r="AM28" s="368"/>
      <c r="AN28" s="368"/>
      <c r="AO28" s="368"/>
      <c r="AP28" s="368"/>
    </row>
    <row s="3345" customFormat="1" customHeight="1" ht="18.75">
      <c r="A29" s="1398"/>
      <c r="B29" s="1398"/>
      <c r="C29" s="1398"/>
      <c r="D29" s="1398"/>
      <c r="E29" s="1398"/>
      <c r="F29" s="1398"/>
      <c r="G29" s="1398"/>
      <c r="H29" s="1398"/>
      <c r="I29" s="1398"/>
      <c r="J29" s="1398"/>
      <c r="K29" s="1398"/>
      <c r="L29" s="1399"/>
      <c r="M29" s="1398"/>
      <c r="N29" s="1398"/>
      <c r="O29" s="1398"/>
      <c r="S29" s="2098" t="s">
        <v>636</v>
      </c>
      <c r="T29" s="2098"/>
      <c r="U29" s="1402"/>
      <c r="V29" s="2100" t="str">
        <f>IF(TITLE_NUMBER_PR_CHANGE="",IF(TITLE_NUMBER_PR="","",TITLE_NUMBER_PR),TITLE_NUMBER_PR_CHANGE)</f>
        <v>36/2</v>
      </c>
      <c r="W29" s="2100"/>
      <c r="X29" s="2100"/>
      <c r="Y29" s="2100"/>
      <c r="Z29" s="2100"/>
      <c r="AA29" s="2100"/>
      <c r="AB29" s="322"/>
      <c r="AC29" s="2100" t="str">
        <f>IF(TITLE_NUMBER_PR_CHANGE="",IF(TITLE_NUMBER_PR="","",TITLE_NUMBER_PR),TITLE_NUMBER_PR_CHANGE)</f>
        <v>36/2</v>
      </c>
      <c r="AD29" s="2100"/>
      <c r="AE29" s="2100"/>
      <c r="AF29" s="2100"/>
      <c r="AG29" s="2100"/>
      <c r="AH29" s="2100"/>
      <c r="AI29" s="322"/>
      <c r="AJ29" s="322"/>
      <c r="AK29" s="268"/>
      <c r="AL29" s="368"/>
      <c r="AM29" s="368"/>
      <c r="AN29" s="368"/>
      <c r="AO29" s="368"/>
      <c r="AP29" s="368"/>
    </row>
    <row s="3345"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https://npa.gov-murman.ru/bitrix/components/b1team/govmurman.element.file/download.php?ID=495002&amp;FID=732763</v>
      </c>
      <c r="W30" s="2100"/>
      <c r="X30" s="2100"/>
      <c r="Y30" s="2100"/>
      <c r="Z30" s="2100"/>
      <c r="AA30" s="2100"/>
      <c r="AB30" s="322"/>
      <c r="AC30" s="2100" t="str">
        <f>IF(TITLE_IST_PUB_CHANGE="",IF(TITLE_IST_PUB="","",TITLE_IST_PUB),TITLE_IST_PUB_CHANGE)</f>
        <v>https://npa.gov-murman.ru/bitrix/components/b1team/govmurman.element.file/download.php?ID=495002&amp;FID=732763</v>
      </c>
      <c r="AD30" s="2100"/>
      <c r="AE30" s="2100"/>
      <c r="AF30" s="2100"/>
      <c r="AG30" s="2100"/>
      <c r="AH30" s="2100"/>
      <c r="AI30" s="322"/>
      <c r="AJ30" s="322"/>
      <c r="AK30" s="268"/>
      <c r="AL30" s="368"/>
      <c r="AM30" s="368"/>
      <c r="AN30" s="368"/>
      <c r="AO30" s="368"/>
      <c r="AP30" s="368"/>
    </row>
    <row customHeight="1" ht="14.25" hidden="1">
      <c r="Q31" s="377"/>
      <c r="R31" s="377"/>
      <c r="S31" s="1305"/>
      <c r="T31" s="361"/>
      <c r="U31" s="361"/>
      <c r="V31" s="316"/>
      <c r="W31" s="316"/>
      <c r="X31" s="316"/>
      <c r="Y31" s="316"/>
      <c r="Z31" s="316"/>
      <c r="AA31" s="316"/>
      <c r="AB31" s="316"/>
      <c r="AC31" s="316"/>
      <c r="AD31" s="316"/>
      <c r="AE31" s="316"/>
      <c r="AF31" s="316"/>
      <c r="AG31" s="316"/>
      <c r="AH31" s="316"/>
      <c r="AI31" s="316"/>
      <c r="AJ31" s="515"/>
    </row>
    <row s="3345" customFormat="1" customHeight="1" ht="18.75" hidden="1">
      <c r="A32" s="1398"/>
      <c r="B32" s="1398"/>
      <c r="C32" s="1398"/>
      <c r="D32" s="1398"/>
      <c r="E32" s="1398"/>
      <c r="F32" s="1398"/>
      <c r="G32" s="1398"/>
      <c r="H32" s="1398"/>
      <c r="I32" s="1398"/>
      <c r="J32" s="1398"/>
      <c r="K32" s="1398"/>
      <c r="L32" s="1399"/>
      <c r="M32" s="1398"/>
      <c r="N32" s="1398"/>
      <c r="O32" s="1398"/>
      <c r="S32" s="2098" t="s">
        <v>637</v>
      </c>
      <c r="T32" s="2098"/>
      <c r="U32" s="1402"/>
      <c r="V32" s="2099" t="str">
        <f>IF(TITLE_DATE_PR_CHANGE="",IF(TITLE_DATE_PR="","",TITLE_DATE_PR),TITLE_DATE_PR_CHANGE)</f>
        <v>45205</v>
      </c>
      <c r="W32" s="2099"/>
      <c r="X32" s="2099"/>
      <c r="Y32" s="2099"/>
      <c r="Z32" s="2099"/>
      <c r="AA32" s="2099"/>
      <c r="AB32" s="322"/>
      <c r="AC32" s="2099" t="str">
        <f>IF(TITLE_DATE_PR_CHANGE="",IF(TITLE_DATE_PR="","",TITLE_DATE_PR),TITLE_DATE_PR_CHANGE)</f>
        <v>45205</v>
      </c>
      <c r="AD32" s="2099"/>
      <c r="AE32" s="2099"/>
      <c r="AF32" s="2099"/>
      <c r="AG32" s="2099"/>
      <c r="AH32" s="2099"/>
      <c r="AI32" s="322"/>
      <c r="AJ32" s="322"/>
      <c r="AK32" s="268"/>
      <c r="AL32" s="368"/>
      <c r="AM32" s="368"/>
      <c r="AN32" s="368"/>
      <c r="AO32" s="368"/>
      <c r="AP32" s="368"/>
    </row>
    <row s="3345" customFormat="1" customHeight="1" ht="18.75" hidden="1">
      <c r="A33" s="1398"/>
      <c r="B33" s="1398"/>
      <c r="C33" s="1398"/>
      <c r="D33" s="1398"/>
      <c r="E33" s="1398"/>
      <c r="F33" s="1398"/>
      <c r="G33" s="1398"/>
      <c r="H33" s="1398"/>
      <c r="I33" s="1398"/>
      <c r="J33" s="1398"/>
      <c r="K33" s="1398"/>
      <c r="L33" s="1399"/>
      <c r="M33" s="1398"/>
      <c r="N33" s="1398"/>
      <c r="O33" s="1398"/>
      <c r="S33" s="2098" t="s">
        <v>638</v>
      </c>
      <c r="T33" s="2098"/>
      <c r="U33" s="1402"/>
      <c r="V33" s="2100" t="str">
        <f>IF(TITLE_NUMBER_PR_CHANGE="",IF(TITLE_NUMBER_PR="","",TITLE_NUMBER_PR),TITLE_NUMBER_PR_CHANGE)</f>
        <v>36/2</v>
      </c>
      <c r="W33" s="2100"/>
      <c r="X33" s="2100"/>
      <c r="Y33" s="2100"/>
      <c r="Z33" s="2100"/>
      <c r="AA33" s="2100"/>
      <c r="AB33" s="322"/>
      <c r="AC33" s="2100" t="str">
        <f>IF(TITLE_NUMBER_PR_CHANGE="",IF(TITLE_NUMBER_PR="","",TITLE_NUMBER_PR),TITLE_NUMBER_PR_CHANGE)</f>
        <v>36/2</v>
      </c>
      <c r="AD33" s="2100"/>
      <c r="AE33" s="2100"/>
      <c r="AF33" s="2100"/>
      <c r="AG33" s="2100"/>
      <c r="AH33" s="2100"/>
      <c r="AI33" s="322"/>
      <c r="AJ33" s="322"/>
      <c r="AK33" s="268"/>
      <c r="AL33" s="368"/>
      <c r="AM33" s="368"/>
      <c r="AN33" s="368"/>
      <c r="AO33" s="368"/>
      <c r="AP33" s="368"/>
    </row>
    <row s="3345" customFormat="1" customHeight="1" ht="0.75">
      <c r="A34" s="1398"/>
      <c r="B34" s="1398"/>
      <c r="C34" s="1398"/>
      <c r="D34" s="1398"/>
      <c r="E34" s="1398"/>
      <c r="F34" s="1398"/>
      <c r="G34" s="1398"/>
      <c r="H34" s="1398"/>
      <c r="I34" s="1398"/>
      <c r="J34" s="1398"/>
      <c r="K34" s="1398"/>
      <c r="L34" s="1399"/>
      <c r="M34" s="1398"/>
      <c r="N34" s="1398"/>
      <c r="O34" s="1398"/>
      <c r="S34" s="318"/>
      <c r="T34" s="318"/>
      <c r="U34" s="1518"/>
      <c r="V34" s="322"/>
      <c r="W34" s="322"/>
      <c r="X34" s="322"/>
      <c r="Y34" s="322"/>
      <c r="Z34" s="322"/>
      <c r="AA34" s="322"/>
      <c r="AB34" s="266" t="s">
        <v>639</v>
      </c>
      <c r="AC34" s="322"/>
      <c r="AD34" s="322"/>
      <c r="AE34" s="322"/>
      <c r="AF34" s="322"/>
      <c r="AG34" s="322"/>
      <c r="AH34" s="322"/>
      <c r="AI34" s="266" t="s">
        <v>639</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513</v>
      </c>
      <c r="T36" s="1971"/>
      <c r="U36" s="1971"/>
      <c r="V36" s="1971"/>
      <c r="W36" s="1971"/>
      <c r="X36" s="1971"/>
      <c r="Y36" s="1971"/>
      <c r="Z36" s="1971"/>
      <c r="AA36" s="1971"/>
      <c r="AB36" s="1971"/>
      <c r="AC36" s="1971"/>
      <c r="AD36" s="1971"/>
      <c r="AE36" s="1971"/>
      <c r="AF36" s="1971"/>
      <c r="AG36" s="1971"/>
      <c r="AH36" s="1971"/>
      <c r="AI36" s="1971"/>
      <c r="AJ36" s="1971"/>
      <c r="AK36" s="1971" t="s">
        <v>514</v>
      </c>
    </row>
    <row customHeight="1" ht="14.25">
      <c r="Q37" s="377"/>
      <c r="R37" s="377"/>
      <c r="S37" s="2125" t="s">
        <v>89</v>
      </c>
      <c r="T37" s="2062" t="s">
        <v>640</v>
      </c>
      <c r="U37" s="289"/>
      <c r="V37" s="2126" t="s">
        <v>641</v>
      </c>
      <c r="W37" s="2127"/>
      <c r="X37" s="2127"/>
      <c r="Y37" s="2127"/>
      <c r="Z37" s="2127"/>
      <c r="AA37" s="2128"/>
      <c r="AB37" s="2129" t="s">
        <v>642</v>
      </c>
      <c r="AC37" s="2126" t="s">
        <v>641</v>
      </c>
      <c r="AD37" s="2127"/>
      <c r="AE37" s="2127"/>
      <c r="AF37" s="2127"/>
      <c r="AG37" s="2127"/>
      <c r="AH37" s="2128"/>
      <c r="AI37" s="2129" t="s">
        <v>643</v>
      </c>
      <c r="AJ37" s="2132" t="s">
        <v>644</v>
      </c>
      <c r="AK37" s="1971"/>
    </row>
    <row customHeight="1" ht="33.75">
      <c r="Q38" s="377"/>
      <c r="R38" s="377"/>
      <c r="S38" s="2125"/>
      <c r="T38" s="2062"/>
      <c r="U38" s="1038"/>
      <c r="V38" s="1513" t="s">
        <v>745</v>
      </c>
      <c r="W38" s="2118" t="s">
        <v>746</v>
      </c>
      <c r="X38" s="2120"/>
      <c r="Y38" s="2118" t="s">
        <v>648</v>
      </c>
      <c r="Z38" s="2119"/>
      <c r="AA38" s="2120"/>
      <c r="AB38" s="2130"/>
      <c r="AC38" s="1513" t="s">
        <v>745</v>
      </c>
      <c r="AD38" s="2118" t="s">
        <v>746</v>
      </c>
      <c r="AE38" s="2120"/>
      <c r="AF38" s="2118" t="s">
        <v>648</v>
      </c>
      <c r="AG38" s="2119"/>
      <c r="AH38" s="2120"/>
      <c r="AI38" s="2130"/>
      <c r="AJ38" s="2133"/>
      <c r="AK38" s="1971"/>
    </row>
    <row customHeight="1" ht="86.25">
      <c r="A39" s="1400"/>
      <c r="B39" s="1400" t="s">
        <v>216</v>
      </c>
      <c r="C39" s="1400" t="s">
        <v>217</v>
      </c>
      <c r="D39" s="1400" t="s">
        <v>218</v>
      </c>
      <c r="E39" s="1394" t="s">
        <v>649</v>
      </c>
      <c r="F39" s="1394" t="s">
        <v>650</v>
      </c>
      <c r="G39" s="1394" t="s">
        <v>651</v>
      </c>
      <c r="H39" s="1394"/>
      <c r="I39" s="1394" t="s">
        <v>705</v>
      </c>
      <c r="J39" s="1394" t="s">
        <v>654</v>
      </c>
      <c r="K39" s="1394" t="s">
        <v>706</v>
      </c>
      <c r="L39" s="1394" t="s">
        <v>630</v>
      </c>
      <c r="Q39" s="377"/>
      <c r="R39" s="377"/>
      <c r="S39" s="2125"/>
      <c r="T39" s="2062"/>
      <c r="U39" s="290"/>
      <c r="V39" s="1513" t="s">
        <v>747</v>
      </c>
      <c r="W39" s="1237" t="s">
        <v>748</v>
      </c>
      <c r="X39" s="1237" t="s">
        <v>749</v>
      </c>
      <c r="Y39" s="1519" t="s">
        <v>658</v>
      </c>
      <c r="Z39" s="2121" t="s">
        <v>659</v>
      </c>
      <c r="AA39" s="2122"/>
      <c r="AB39" s="2131"/>
      <c r="AC39" s="1513" t="s">
        <v>747</v>
      </c>
      <c r="AD39" s="1237" t="s">
        <v>748</v>
      </c>
      <c r="AE39" s="1237" t="s">
        <v>749</v>
      </c>
      <c r="AF39" s="1519" t="s">
        <v>658</v>
      </c>
      <c r="AG39" s="2121" t="s">
        <v>659</v>
      </c>
      <c r="AH39" s="2122"/>
      <c r="AI39" s="2131"/>
      <c r="AJ39" s="2134"/>
      <c r="AK39" s="1971"/>
    </row>
    <row s="2611" customFormat="1" customHeight="1" ht="11.25" hidden="1">
      <c r="A40" s="1400"/>
      <c r="B40" s="1400"/>
      <c r="C40" s="1400"/>
      <c r="D40" s="1400"/>
      <c r="E40" s="1400"/>
      <c r="F40" s="1400"/>
      <c r="G40" s="1400"/>
      <c r="H40" s="1400"/>
      <c r="I40" s="1400"/>
      <c r="J40" s="1400"/>
      <c r="K40" s="1400"/>
      <c r="L40" s="1394"/>
      <c r="M40" s="1392"/>
      <c r="N40" s="1392"/>
      <c r="O40" s="1392"/>
      <c r="P40" s="1264"/>
      <c r="Q40" s="1265"/>
      <c r="R40" s="1280">
        <v>1</v>
      </c>
      <c r="S40" s="1307" t="s">
        <v>193</v>
      </c>
      <c r="T40" s="1281" t="s">
        <v>104</v>
      </c>
      <c r="U40" s="1263" t="str">
        <f>OFFSET(U40,0,-1)</f>
        <v>2</v>
      </c>
      <c r="V40" s="1512">
        <f>OFFSET(V40,0,-1)+1</f>
        <v>3</v>
      </c>
      <c r="W40" s="1512">
        <f>OFFSET(W40,0,-1)+1</f>
        <v>4</v>
      </c>
      <c r="X40" s="1512">
        <f>OFFSET(X40,0,-1)+1</f>
        <v>5</v>
      </c>
      <c r="Y40" s="1512">
        <f>OFFSET(Y40,0,-1)+1</f>
        <v>6</v>
      </c>
      <c r="Z40" s="2123">
        <f>OFFSET(Z40,0,-1)+1</f>
        <v>7</v>
      </c>
      <c r="AA40" s="2123"/>
      <c r="AB40" s="1512">
        <f>OFFSET(AB40,0,-2)+1</f>
        <v>8</v>
      </c>
      <c r="AC40" s="1512">
        <f>OFFSET(AC40,0,-1)+1</f>
        <v>9</v>
      </c>
      <c r="AD40" s="1512">
        <f>OFFSET(AD40,0,-1)+1</f>
        <v>10</v>
      </c>
      <c r="AE40" s="1512">
        <f>OFFSET(AE40,0,-1)+1</f>
        <v>11</v>
      </c>
      <c r="AF40" s="1512">
        <f>OFFSET(AF40,0,-1)+1</f>
        <v>12</v>
      </c>
      <c r="AG40" s="2123">
        <f>OFFSET(AG40,0,-1)+1</f>
        <v>13</v>
      </c>
      <c r="AH40" s="2123"/>
      <c r="AI40" s="1512">
        <f>OFFSET(AI40,0,-2)+1</f>
        <v>14</v>
      </c>
      <c r="AJ40" s="1263">
        <f>OFFSET(AJ40,0,-1)</f>
        <v>14</v>
      </c>
      <c r="AK40" s="1512">
        <f>OFFSET(AK40,0,-1)+1</f>
        <v>15</v>
      </c>
      <c r="AL40" s="517"/>
      <c r="AM40" s="517"/>
      <c r="AN40" s="517"/>
      <c r="AO40" s="517"/>
      <c r="AP40" s="517"/>
    </row>
    <row customHeight="1" ht="23.25">
      <c r="A41" s="1393" t="s">
        <v>464</v>
      </c>
      <c r="B41" s="1393"/>
      <c r="C41" s="1393"/>
      <c r="D41" s="1393"/>
      <c r="E41" s="2107">
        <v>1</v>
      </c>
      <c r="F41" s="1393"/>
      <c r="G41" s="1393"/>
      <c r="H41" s="1393"/>
      <c r="I41" s="1393"/>
      <c r="J41" s="1393"/>
      <c r="K41" s="1393"/>
      <c r="L41" s="1394"/>
      <c r="M41" s="1395"/>
      <c r="N41" s="1395"/>
      <c r="O41" s="1395"/>
      <c r="P41" s="357"/>
      <c r="Q41" s="356"/>
      <c r="R41" s="351"/>
      <c r="S41" s="1523">
        <f>INDEX(PT_DIFFERENTIATION_NUM_NTAR,MATCH(A41,PT_DIFFERENTIATION_NTAR_ID,0))</f>
        <v>0</v>
      </c>
      <c r="T41" s="286" t="s">
        <v>204</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464</v>
      </c>
      <c r="B42" s="1393" t="s">
        <v>465</v>
      </c>
      <c r="C42" s="1393"/>
      <c r="D42" s="1393"/>
      <c r="E42" s="2108"/>
      <c r="F42" s="2107">
        <v>1</v>
      </c>
      <c r="G42" s="1393"/>
      <c r="H42" s="1393"/>
      <c r="I42" s="1393"/>
      <c r="J42" s="1393"/>
      <c r="K42" s="1393"/>
      <c r="L42" s="1394"/>
      <c r="M42" s="1395"/>
      <c r="N42" s="1395"/>
      <c r="O42" s="1395"/>
      <c r="P42" s="1517"/>
      <c r="Q42" s="348"/>
      <c r="R42" s="349"/>
      <c r="S42" s="1523" t="str">
        <f>INDEX(PT_DIFFERENTIATION_NUM_TER,MATCH(B42,PT_DIFFERENTIATION_TER_ID,0))</f>
        <v>.</v>
      </c>
      <c r="T42" s="298" t="s">
        <v>612</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613</v>
      </c>
      <c r="AM42" s="506"/>
      <c r="AN42" s="506" t="str">
        <f>IF(T42="","",T42)</f>
        <v>Территория действия тарифа</v>
      </c>
      <c r="AO42" s="506"/>
      <c r="AP42" s="506"/>
    </row>
    <row customHeight="1" ht="23.25">
      <c r="A43" s="1393" t="s">
        <v>464</v>
      </c>
      <c r="B43" s="1393" t="s">
        <v>465</v>
      </c>
      <c r="C43" s="1393" t="s">
        <v>466</v>
      </c>
      <c r="D43" s="1393"/>
      <c r="E43" s="2108"/>
      <c r="F43" s="2108"/>
      <c r="G43" s="2107">
        <v>1</v>
      </c>
      <c r="H43" s="1393"/>
      <c r="I43" s="1393"/>
      <c r="J43" s="1393"/>
      <c r="K43" s="1393"/>
      <c r="L43" s="1394"/>
      <c r="M43" s="1395"/>
      <c r="N43" s="1395"/>
      <c r="O43" s="1395"/>
      <c r="P43" s="350"/>
      <c r="Q43" s="348"/>
      <c r="R43" s="349"/>
      <c r="S43" s="1523" t="str">
        <f>INDEX(PT_DIFFERENTIATION_NUM_CS,MATCH(C43,PT_DIFFERENTIATION_CS_ID,0))</f>
        <v>..</v>
      </c>
      <c r="T43" s="299" t="s">
        <v>743</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744</v>
      </c>
      <c r="AM43" s="506"/>
      <c r="AN43" s="506" t="str">
        <f>IF(T43="","",T43)</f>
        <v>Наименование централизованной системы горячего водоснабжения</v>
      </c>
      <c r="AO43" s="506"/>
      <c r="AP43" s="506"/>
    </row>
    <row customHeight="1" ht="23.25">
      <c r="A44" s="1393" t="s">
        <v>464</v>
      </c>
      <c r="B44" s="1393" t="s">
        <v>465</v>
      </c>
      <c r="C44" s="1393" t="s">
        <v>466</v>
      </c>
      <c r="D44" s="1393" t="s">
        <v>750</v>
      </c>
      <c r="E44" s="2108"/>
      <c r="F44" s="2108"/>
      <c r="G44" s="2108"/>
      <c r="H44" s="2108"/>
      <c r="I44" s="2109" t="str">
        <f>S43&amp;".1"</f>
        <v>...1</v>
      </c>
      <c r="J44" s="1393"/>
      <c r="K44" s="1393"/>
      <c r="L44" s="1394"/>
      <c r="P44" s="2111">
        <v>1</v>
      </c>
      <c r="Q44" s="1511"/>
      <c r="R44" s="352"/>
      <c r="S44" s="1523" t="str">
        <f>$I44</f>
        <v>...1</v>
      </c>
      <c r="T44" s="273" t="s">
        <v>698</v>
      </c>
      <c r="U44" s="288"/>
      <c r="V44" s="2194"/>
      <c r="W44" s="2195"/>
      <c r="X44" s="2195"/>
      <c r="Y44" s="2195"/>
      <c r="Z44" s="2195"/>
      <c r="AA44" s="2195"/>
      <c r="AB44" s="2196"/>
      <c r="AC44" s="2197"/>
      <c r="AD44" s="2198"/>
      <c r="AE44" s="2198"/>
      <c r="AF44" s="2198"/>
      <c r="AG44" s="2198"/>
      <c r="AH44" s="2198"/>
      <c r="AI44" s="2198"/>
      <c r="AJ44" s="2199"/>
      <c r="AK44" s="1286" t="s">
        <v>699</v>
      </c>
      <c r="AM44" s="506"/>
      <c r="AN44" s="506" t="str">
        <f>IF(T44="","",T44)</f>
        <v>Наименование признака дифференциации</v>
      </c>
      <c r="AO44" s="506"/>
      <c r="AP44" s="506"/>
    </row>
    <row customHeight="1" ht="23.25">
      <c r="A45" s="1393" t="s">
        <v>464</v>
      </c>
      <c r="B45" s="1393" t="s">
        <v>465</v>
      </c>
      <c r="C45" s="1393" t="s">
        <v>466</v>
      </c>
      <c r="D45" s="1393" t="s">
        <v>750</v>
      </c>
      <c r="E45" s="2108"/>
      <c r="F45" s="2108"/>
      <c r="G45" s="2108"/>
      <c r="H45" s="2108"/>
      <c r="I45" s="2110"/>
      <c r="J45" s="2109" t="str">
        <f>I44&amp;".1"</f>
        <v>...1.1</v>
      </c>
      <c r="K45" s="1393"/>
      <c r="L45" s="1394" t="s">
        <v>621</v>
      </c>
      <c r="P45" s="2111"/>
      <c r="Q45" s="2111">
        <v>1</v>
      </c>
      <c r="R45" s="353"/>
      <c r="S45" s="1523" t="str">
        <f>$J45</f>
        <v>...1.1</v>
      </c>
      <c r="T45" s="274" t="s">
        <v>622</v>
      </c>
      <c r="U45" s="288"/>
      <c r="V45" s="2095"/>
      <c r="W45" s="2096"/>
      <c r="X45" s="2096"/>
      <c r="Y45" s="2096"/>
      <c r="Z45" s="2096"/>
      <c r="AA45" s="2096"/>
      <c r="AB45" s="2097"/>
      <c r="AC45" s="2095"/>
      <c r="AD45" s="2096"/>
      <c r="AE45" s="2096"/>
      <c r="AF45" s="2096"/>
      <c r="AG45" s="2096"/>
      <c r="AH45" s="2096"/>
      <c r="AI45" s="2096"/>
      <c r="AJ45" s="2097"/>
      <c r="AK45" s="1337" t="s">
        <v>700</v>
      </c>
      <c r="AM45" s="506"/>
      <c r="AN45" s="506" t="str">
        <f>IF(T45="","",T45)</f>
        <v>Группа потребителей</v>
      </c>
      <c r="AO45" s="506"/>
      <c r="AP45" s="506"/>
    </row>
    <row customHeight="1" ht="23.25">
      <c r="A46" s="1393" t="s">
        <v>464</v>
      </c>
      <c r="B46" s="1393" t="s">
        <v>465</v>
      </c>
      <c r="C46" s="1393" t="s">
        <v>466</v>
      </c>
      <c r="D46" s="1393" t="s">
        <v>750</v>
      </c>
      <c r="E46" s="2108"/>
      <c r="F46" s="2108"/>
      <c r="G46" s="2108"/>
      <c r="H46" s="2108"/>
      <c r="I46" s="2110"/>
      <c r="J46" s="2110"/>
      <c r="K46" s="2109" t="str">
        <f>J45&amp;".1"</f>
        <v>...1.1.1</v>
      </c>
      <c r="L46" s="1394"/>
      <c r="P46" s="2111"/>
      <c r="Q46" s="2111"/>
      <c r="R46" s="353">
        <v>1</v>
      </c>
      <c r="S46" s="1523" t="str">
        <f>$K46</f>
        <v>...1.1.1</v>
      </c>
      <c r="T46" s="1467"/>
      <c r="U46" s="288"/>
      <c r="V46" s="1390"/>
      <c r="W46" s="1390"/>
      <c r="X46" s="1391"/>
      <c r="Y46" s="2105"/>
      <c r="Z46" s="2104" t="s">
        <v>63</v>
      </c>
      <c r="AA46" s="2105"/>
      <c r="AB46" s="2104" t="s">
        <v>63</v>
      </c>
      <c r="AC46" s="757"/>
      <c r="AD46" s="757"/>
      <c r="AE46" s="1285"/>
      <c r="AF46" s="2112"/>
      <c r="AG46" s="1981" t="s">
        <v>63</v>
      </c>
      <c r="AH46" s="2114"/>
      <c r="AI46" s="1981" t="s">
        <v>58</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464</v>
      </c>
      <c r="B47" s="1393" t="s">
        <v>465</v>
      </c>
      <c r="C47" s="1393" t="s">
        <v>466</v>
      </c>
      <c r="D47" s="1393" t="s">
        <v>750</v>
      </c>
      <c r="E47" s="2108"/>
      <c r="F47" s="2108"/>
      <c r="G47" s="2108"/>
      <c r="H47" s="2108"/>
      <c r="I47" s="2110"/>
      <c r="J47" s="2110"/>
      <c r="K47" s="2109"/>
      <c r="L47" s="1394"/>
      <c r="P47" s="2111"/>
      <c r="Q47" s="2111"/>
      <c r="R47" s="353"/>
      <c r="S47" s="1520"/>
      <c r="T47" s="288"/>
      <c r="U47" s="288"/>
      <c r="V47" s="1390"/>
      <c r="W47" s="1390"/>
      <c r="X47" s="324" t="str">
        <f>Y46&amp;"-"&amp;AA46</f>
        <v>-</v>
      </c>
      <c r="Y47" s="2104"/>
      <c r="Z47" s="2104"/>
      <c r="AA47" s="2104"/>
      <c r="AB47" s="2104"/>
      <c r="AC47" s="320"/>
      <c r="AD47" s="320"/>
      <c r="AE47" s="324" t="str">
        <f>AF46&amp;"-"&amp;AH46</f>
        <v>-</v>
      </c>
      <c r="AF47" s="2113"/>
      <c r="AG47" s="1981"/>
      <c r="AH47" s="2115"/>
      <c r="AI47" s="1981"/>
      <c r="AJ47" s="1469"/>
      <c r="AK47" s="2200"/>
      <c r="AM47" s="506"/>
      <c r="AN47" s="506" t="str">
        <f>IF(T47="","",T47)</f>
        <v/>
      </c>
      <c r="AO47" s="506"/>
      <c r="AP47" s="506"/>
    </row>
    <row customHeight="1" ht="21">
      <c r="A48" s="1393" t="s">
        <v>464</v>
      </c>
      <c r="B48" s="1393" t="s">
        <v>465</v>
      </c>
      <c r="C48" s="1393" t="s">
        <v>466</v>
      </c>
      <c r="D48" s="1393" t="s">
        <v>750</v>
      </c>
      <c r="E48" s="2108"/>
      <c r="F48" s="2108"/>
      <c r="G48" s="2108"/>
      <c r="H48" s="2108"/>
      <c r="I48" s="2110"/>
      <c r="J48" s="2109"/>
      <c r="K48" s="1393"/>
      <c r="L48" s="1394"/>
      <c r="P48" s="2111"/>
      <c r="Q48" s="2111"/>
      <c r="R48" s="352"/>
      <c r="S48" s="1308"/>
      <c r="T48" s="275" t="s">
        <v>701</v>
      </c>
      <c r="U48" s="367"/>
      <c r="V48" s="367"/>
      <c r="W48" s="367"/>
      <c r="X48" s="367"/>
      <c r="Y48" s="367"/>
      <c r="Z48" s="367"/>
      <c r="AA48" s="367"/>
      <c r="AB48" s="367"/>
      <c r="AC48" s="367"/>
      <c r="AD48" s="367"/>
      <c r="AE48" s="367"/>
      <c r="AF48" s="367"/>
      <c r="AG48" s="367"/>
      <c r="AH48" s="367"/>
      <c r="AI48" s="367"/>
      <c r="AJ48" s="367"/>
      <c r="AK48" s="1286" t="s">
        <v>702</v>
      </c>
      <c r="AM48" s="506"/>
      <c r="AN48" s="506" t="str">
        <f>IF(T48="","",T48)</f>
        <v>Добавить значение признака дифференциации</v>
      </c>
      <c r="AO48" s="506"/>
      <c r="AP48" s="506"/>
    </row>
    <row customHeight="1" ht="21">
      <c r="A49" s="1393" t="s">
        <v>464</v>
      </c>
      <c r="B49" s="1393" t="s">
        <v>465</v>
      </c>
      <c r="C49" s="1393" t="s">
        <v>466</v>
      </c>
      <c r="D49" s="1393" t="s">
        <v>750</v>
      </c>
      <c r="E49" s="2108"/>
      <c r="F49" s="2108"/>
      <c r="G49" s="2108"/>
      <c r="H49" s="2108"/>
      <c r="I49" s="2109"/>
      <c r="J49" s="1393"/>
      <c r="K49" s="1393"/>
      <c r="L49" s="1394"/>
      <c r="P49" s="2111"/>
      <c r="Q49" s="1511"/>
      <c r="R49" s="352"/>
      <c r="S49" s="1308"/>
      <c r="T49" s="364" t="s">
        <v>627</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464</v>
      </c>
      <c r="B50" s="1393" t="s">
        <v>465</v>
      </c>
      <c r="C50" s="1393" t="s">
        <v>466</v>
      </c>
      <c r="D50" s="1393" t="s">
        <v>750</v>
      </c>
      <c r="E50" s="2108"/>
      <c r="F50" s="2108"/>
      <c r="G50" s="2108"/>
      <c r="H50" s="2107"/>
      <c r="I50" s="1393"/>
      <c r="J50" s="1393"/>
      <c r="K50" s="1393"/>
      <c r="L50" s="1394"/>
      <c r="M50" s="1395"/>
      <c r="N50" s="1395"/>
      <c r="O50" s="543"/>
      <c r="P50" s="356"/>
      <c r="Q50" s="376"/>
      <c r="R50" s="351"/>
      <c r="S50" s="1308"/>
      <c r="T50" s="372" t="s">
        <v>703</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4" customFormat="1" customHeight="1" ht="0">
      <c r="A51" s="1373" t="s">
        <v>464</v>
      </c>
      <c r="B51" s="1373" t="s">
        <v>465</v>
      </c>
      <c r="C51" s="1344"/>
      <c r="D51" s="1344"/>
      <c r="E51" s="2108"/>
      <c r="F51" s="2107"/>
      <c r="G51" s="1344"/>
      <c r="H51" s="1344"/>
      <c r="I51" s="1344"/>
      <c r="J51" s="1344"/>
      <c r="K51" s="1344"/>
      <c r="L51" s="1524"/>
      <c r="M51" s="1351"/>
      <c r="N51" s="1351"/>
      <c r="P51" s="1346"/>
      <c r="Q51" s="1347"/>
      <c r="R51" s="1346"/>
      <c r="S51" s="1352"/>
      <c r="T51" s="1355" t="s">
        <v>255</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2" customFormat="1" customHeight="1" ht="0">
      <c r="A52" s="1373" t="s">
        <v>464</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4" customFormat="1" customHeight="1" ht="0">
      <c r="A53" s="1344"/>
      <c r="B53" s="1344"/>
      <c r="C53" s="1344"/>
      <c r="D53" s="1344"/>
      <c r="E53" s="1373"/>
      <c r="F53" s="1344"/>
      <c r="G53" s="1344"/>
      <c r="H53" s="1344"/>
      <c r="I53" s="1344"/>
      <c r="J53" s="1344"/>
      <c r="K53" s="1344"/>
      <c r="L53" s="1524"/>
      <c r="M53" s="1351"/>
      <c r="N53" s="1351"/>
      <c r="P53" s="1346"/>
      <c r="Q53" s="1347"/>
      <c r="R53" s="1346"/>
      <c r="S53" s="1352"/>
      <c r="T53" s="1355" t="s">
        <v>398</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771B42-F045-EEBE-B9D4-90FE449BF6B2}"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4.140625" hidden="1" customWidth="1"/>
    <col min="10" max="10" style="2683" width="9.8515625" hidden="1" customWidth="1"/>
    <col min="11" max="11" style="2683" width="14.7109375" hidden="1" customWidth="1"/>
    <col min="12" max="12" style="12312" width="19.140625" hidden="1" customWidth="1"/>
    <col min="13" max="14" style="3334" width="12.28125" hidden="1" customWidth="1"/>
    <col min="15" max="15" style="3334" width="23.421875" hidden="1" customWidth="1"/>
    <col min="16" max="16" style="12317" width="3.7109375" customWidth="1"/>
    <col min="17" max="18" style="3411" width="3.7109375" customWidth="1"/>
    <col min="19" max="19" style="3412" width="12.7109375" customWidth="1"/>
    <col min="20" max="20" style="2984" width="35.7109375" customWidth="1"/>
    <col min="21" max="21" style="2984" width="0.140625" customWidth="1"/>
    <col min="22" max="24" style="2984" width="24.7109375" hidden="1" customWidth="1"/>
    <col min="25" max="25" style="2984" width="11.7109375" hidden="1" customWidth="1"/>
    <col min="26" max="26" style="2984" width="3.7109375" hidden="1" customWidth="1"/>
    <col min="27" max="27" style="2984" width="11.7109375" hidden="1" customWidth="1"/>
    <col min="28" max="28" style="2984" width="8.57421875" hidden="1" customWidth="1"/>
    <col min="29" max="31" style="2984" width="24.7109375" customWidth="1"/>
    <col min="32" max="32" style="2984" width="11.7109375" customWidth="1"/>
    <col min="33" max="33" style="2984" width="3.7109375" customWidth="1"/>
    <col min="34" max="34" style="2984" width="11.7109375" customWidth="1"/>
    <col min="35" max="35" style="2984" width="8.57421875" hidden="1" customWidth="1"/>
    <col min="36" max="36" style="2984" width="4.7109375" customWidth="1"/>
    <col min="37" max="37" style="2984" width="115.7109375" customWidth="1"/>
    <col min="38" max="39" style="2612" width="10.57421875"/>
    <col min="40" max="40" style="2612" width="11.140625" customWidth="1"/>
    <col min="41" max="42" style="2612"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523">
        <f>INDEX(PT_DIFFERENTIATION_NUM_NTAR,MATCH(A2,PT_DIFFERENTIATION_NTAR_ID,0))</f>
      </c>
      <c r="T2" s="286" t="s">
        <v>204</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517"/>
      <c r="Q3" s="348"/>
      <c r="R3" s="349"/>
      <c r="S3" s="1523">
        <f>INDEX(PT_DIFFERENTIATION_NUM_TER,MATCH(B3,PT_DIFFERENTIATION_TER_ID,0))</f>
      </c>
      <c r="T3" s="298" t="s">
        <v>612</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613</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523">
        <f>INDEX(PT_DIFFERENTIATION_NUM_CS,MATCH(C4,PT_DIFFERENTIATION_CS_ID,0))</f>
      </c>
      <c r="T4" s="299" t="s">
        <v>743</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744</v>
      </c>
      <c r="AM4" s="506"/>
      <c r="AN4" s="506" t="str">
        <f>IF(T4="","",T4)</f>
        <v>Наименование централизованной системы горячего водоснабжения</v>
      </c>
      <c r="AO4" s="506"/>
      <c r="AP4" s="506"/>
    </row>
    <row customHeight="1" ht="23.25" hidden="1">
      <c r="A5" s="1393"/>
      <c r="B5" s="1393"/>
      <c r="C5" s="1393"/>
      <c r="D5" s="1393"/>
      <c r="E5" s="2108"/>
      <c r="F5" s="2108"/>
      <c r="G5" s="2108"/>
      <c r="H5" s="2108"/>
      <c r="I5" s="2109">
        <f>S4&amp;".1"</f>
      </c>
      <c r="J5" s="1393"/>
      <c r="K5" s="1393"/>
      <c r="L5" s="1394"/>
      <c r="P5" s="2111">
        <v>1</v>
      </c>
      <c r="Q5" s="1511"/>
      <c r="R5" s="352"/>
      <c r="S5" s="1523">
        <f>$I5</f>
      </c>
      <c r="T5" s="273" t="s">
        <v>698</v>
      </c>
      <c r="U5" s="288"/>
      <c r="V5" s="2194"/>
      <c r="W5" s="2195"/>
      <c r="X5" s="2195"/>
      <c r="Y5" s="2195"/>
      <c r="Z5" s="2195"/>
      <c r="AA5" s="2195"/>
      <c r="AB5" s="2196"/>
      <c r="AC5" s="2197"/>
      <c r="AD5" s="2198"/>
      <c r="AE5" s="2198"/>
      <c r="AF5" s="2198"/>
      <c r="AG5" s="2198"/>
      <c r="AH5" s="2198"/>
      <c r="AI5" s="2198"/>
      <c r="AJ5" s="2199"/>
      <c r="AK5" s="1286" t="s">
        <v>699</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621</v>
      </c>
      <c r="P6" s="2111"/>
      <c r="Q6" s="2111">
        <v>1</v>
      </c>
      <c r="R6" s="353"/>
      <c r="S6" s="1523">
        <f>$J6</f>
      </c>
      <c r="T6" s="274" t="s">
        <v>622</v>
      </c>
      <c r="U6" s="288"/>
      <c r="V6" s="2095"/>
      <c r="W6" s="2096"/>
      <c r="X6" s="2096"/>
      <c r="Y6" s="2096"/>
      <c r="Z6" s="2096"/>
      <c r="AA6" s="2096"/>
      <c r="AB6" s="2097"/>
      <c r="AC6" s="2095"/>
      <c r="AD6" s="2096"/>
      <c r="AE6" s="2096"/>
      <c r="AF6" s="2096"/>
      <c r="AG6" s="2096"/>
      <c r="AH6" s="2096"/>
      <c r="AI6" s="2096"/>
      <c r="AJ6" s="2097"/>
      <c r="AK6" s="1337" t="s">
        <v>700</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523">
        <f>$K7</f>
      </c>
      <c r="T7" s="1467"/>
      <c r="U7" s="288"/>
      <c r="V7" s="757"/>
      <c r="W7" s="757"/>
      <c r="X7" s="1285"/>
      <c r="Y7" s="2112"/>
      <c r="Z7" s="1981" t="s">
        <v>63</v>
      </c>
      <c r="AA7" s="2112"/>
      <c r="AB7" s="1981" t="s">
        <v>63</v>
      </c>
      <c r="AC7" s="757"/>
      <c r="AD7" s="757"/>
      <c r="AE7" s="1285"/>
      <c r="AF7" s="2112"/>
      <c r="AG7" s="1981" t="s">
        <v>63</v>
      </c>
      <c r="AH7" s="2114"/>
      <c r="AI7" s="1981" t="s">
        <v>63</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520"/>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701</v>
      </c>
      <c r="U9" s="367"/>
      <c r="V9" s="367"/>
      <c r="W9" s="367"/>
      <c r="X9" s="367"/>
      <c r="Y9" s="367"/>
      <c r="Z9" s="367"/>
      <c r="AA9" s="367"/>
      <c r="AB9" s="367"/>
      <c r="AC9" s="367"/>
      <c r="AD9" s="367"/>
      <c r="AE9" s="367"/>
      <c r="AF9" s="367"/>
      <c r="AG9" s="367"/>
      <c r="AH9" s="367"/>
      <c r="AI9" s="367"/>
      <c r="AJ9" s="367"/>
      <c r="AK9" s="1286" t="s">
        <v>702</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511"/>
      <c r="R10" s="352"/>
      <c r="S10" s="1308"/>
      <c r="T10" s="364" t="s">
        <v>627</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21" hidden="1">
      <c r="A11" s="1393"/>
      <c r="B11" s="1393"/>
      <c r="C11" s="1393"/>
      <c r="D11" s="1393"/>
      <c r="E11" s="2108"/>
      <c r="F11" s="2108"/>
      <c r="G11" s="2108"/>
      <c r="H11" s="2107"/>
      <c r="I11" s="1393"/>
      <c r="J11" s="1393"/>
      <c r="K11" s="1393"/>
      <c r="L11" s="1394"/>
      <c r="M11" s="1395"/>
      <c r="N11" s="1395"/>
      <c r="O11" s="543"/>
      <c r="P11" s="356"/>
      <c r="Q11" s="376"/>
      <c r="R11" s="351"/>
      <c r="S11" s="1308"/>
      <c r="T11" s="372" t="s">
        <v>703</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4" customFormat="1" customHeight="1" ht="14.25" hidden="1">
      <c r="A12" s="1373"/>
      <c r="B12" s="1373"/>
      <c r="C12" s="1344"/>
      <c r="D12" s="1344"/>
      <c r="E12" s="2108"/>
      <c r="F12" s="2107"/>
      <c r="G12" s="1344"/>
      <c r="H12" s="1344"/>
      <c r="I12" s="1344"/>
      <c r="J12" s="1344"/>
      <c r="K12" s="1344"/>
      <c r="L12" s="1524"/>
      <c r="M12" s="1351"/>
      <c r="N12" s="1351"/>
      <c r="P12" s="1346"/>
      <c r="Q12" s="1347"/>
      <c r="R12" s="1346"/>
      <c r="S12" s="1352"/>
      <c r="T12" s="1355" t="s">
        <v>255</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2"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63</v>
      </c>
      <c r="AH15" s="2105"/>
      <c r="AI15" s="2104" t="s">
        <v>63</v>
      </c>
    </row>
    <row customHeight="1" ht="14.25" hidden="1">
      <c r="AC16" s="1390"/>
      <c r="AD16" s="1390"/>
      <c r="AE16" s="324" t="str">
        <f>AF15&amp;"-"&amp;AH15</f>
        <v>-</v>
      </c>
      <c r="AF16" s="2104"/>
      <c r="AG16" s="2104"/>
      <c r="AH16" s="2104"/>
      <c r="AI16" s="2104"/>
    </row>
    <row customHeight="1" ht="14.25" hidden="1">
      <c r="AI17" s="323"/>
    </row>
    <row s="2683" customFormat="1" customHeight="1" ht="22.5" hidden="1">
      <c r="L18" s="1508"/>
      <c r="M18" s="1392"/>
      <c r="N18" s="1392"/>
      <c r="O18" s="1397" t="s">
        <v>629</v>
      </c>
      <c r="P18" s="1392"/>
      <c r="Q18" s="1401"/>
      <c r="R18" s="1401"/>
      <c r="S18" s="735"/>
      <c r="Y18" s="1397"/>
      <c r="AA18" s="1397"/>
      <c r="AB18" s="1396"/>
      <c r="AF18" s="1397"/>
      <c r="AH18" s="1397"/>
      <c r="AI18" s="1396"/>
      <c r="AL18" s="517"/>
      <c r="AM18" s="517"/>
      <c r="AN18" s="517"/>
      <c r="AO18" s="517"/>
      <c r="AP18" s="517"/>
    </row>
    <row s="2683" customFormat="1" customHeight="1" ht="14.25" hidden="1">
      <c r="L19" s="1508"/>
      <c r="M19" s="1392"/>
      <c r="N19" s="1392"/>
      <c r="O19" s="1392"/>
      <c r="P19" s="1392"/>
      <c r="Q19" s="1401"/>
      <c r="R19" s="1401"/>
      <c r="S19" s="735"/>
      <c r="AB19" s="1396"/>
      <c r="AI19" s="1396"/>
      <c r="AL19" s="517"/>
      <c r="AM19" s="517"/>
      <c r="AN19" s="517"/>
      <c r="AO19" s="517"/>
      <c r="AP19" s="517"/>
    </row>
    <row s="2683" customFormat="1" customHeight="1" ht="12" hidden="1">
      <c r="L20" s="1508"/>
      <c r="M20" s="1392"/>
      <c r="N20" s="1392"/>
      <c r="O20" s="1394" t="s">
        <v>630</v>
      </c>
      <c r="P20" s="1392"/>
      <c r="Q20" s="1472"/>
      <c r="R20" s="1472"/>
      <c r="S20" s="735"/>
      <c r="T20" s="1168" t="s">
        <v>631</v>
      </c>
      <c r="Z20" s="172" t="s">
        <v>632</v>
      </c>
      <c r="AB20" s="172" t="s">
        <v>633</v>
      </c>
      <c r="AC20" s="1168" t="s">
        <v>631</v>
      </c>
      <c r="AG20" s="172" t="s">
        <v>634</v>
      </c>
      <c r="AI20" s="172" t="s">
        <v>633</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26.25">
      <c r="Q24" s="377"/>
      <c r="R24" s="377"/>
      <c r="S24" s="214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5"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5" customFormat="1" customHeight="1" ht="18.75">
      <c r="A28" s="1398"/>
      <c r="B28" s="1398"/>
      <c r="C28" s="1398"/>
      <c r="D28" s="1398"/>
      <c r="E28" s="1398"/>
      <c r="F28" s="1398"/>
      <c r="G28" s="1398"/>
      <c r="H28" s="1398"/>
      <c r="I28" s="1398"/>
      <c r="J28" s="1398"/>
      <c r="K28" s="1398"/>
      <c r="L28" s="1399"/>
      <c r="M28" s="1398"/>
      <c r="N28" s="1398"/>
      <c r="O28" s="1398"/>
      <c r="S28" s="2098" t="s">
        <v>635</v>
      </c>
      <c r="T28" s="2098"/>
      <c r="U28" s="1402"/>
      <c r="V28" s="2099" t="str">
        <f>IF(TITLE_DATE_PR_CHANGE="",IF(TITLE_DATE_PR="","",TITLE_DATE_PR),TITLE_DATE_PR_CHANGE)</f>
        <v>45205</v>
      </c>
      <c r="W28" s="2099"/>
      <c r="X28" s="2099"/>
      <c r="Y28" s="2099"/>
      <c r="Z28" s="2099"/>
      <c r="AA28" s="2099"/>
      <c r="AB28" s="322"/>
      <c r="AC28" s="2099" t="str">
        <f>IF(TITLE_DATE_PR_CHANGE="",IF(TITLE_DATE_PR="","",TITLE_DATE_PR),TITLE_DATE_PR_CHANGE)</f>
        <v>45205</v>
      </c>
      <c r="AD28" s="2099"/>
      <c r="AE28" s="2099"/>
      <c r="AF28" s="2099"/>
      <c r="AG28" s="2099"/>
      <c r="AH28" s="2099"/>
      <c r="AI28" s="322"/>
      <c r="AJ28" s="322"/>
      <c r="AK28" s="268"/>
      <c r="AL28" s="368"/>
      <c r="AM28" s="368"/>
      <c r="AN28" s="368"/>
      <c r="AO28" s="368"/>
      <c r="AP28" s="368"/>
    </row>
    <row s="3345" customFormat="1" customHeight="1" ht="18.75">
      <c r="A29" s="1398"/>
      <c r="B29" s="1398"/>
      <c r="C29" s="1398"/>
      <c r="D29" s="1398"/>
      <c r="E29" s="1398"/>
      <c r="F29" s="1398"/>
      <c r="G29" s="1398"/>
      <c r="H29" s="1398"/>
      <c r="I29" s="1398"/>
      <c r="J29" s="1398"/>
      <c r="K29" s="1398"/>
      <c r="L29" s="1399"/>
      <c r="M29" s="1398"/>
      <c r="N29" s="1398"/>
      <c r="O29" s="1398"/>
      <c r="S29" s="2098" t="s">
        <v>636</v>
      </c>
      <c r="T29" s="2098"/>
      <c r="U29" s="1402"/>
      <c r="V29" s="2100" t="str">
        <f>IF(TITLE_NUMBER_PR_CHANGE="",IF(TITLE_NUMBER_PR="","",TITLE_NUMBER_PR),TITLE_NUMBER_PR_CHANGE)</f>
        <v>36/2</v>
      </c>
      <c r="W29" s="2100"/>
      <c r="X29" s="2100"/>
      <c r="Y29" s="2100"/>
      <c r="Z29" s="2100"/>
      <c r="AA29" s="2100"/>
      <c r="AB29" s="322"/>
      <c r="AC29" s="2100" t="str">
        <f>IF(TITLE_NUMBER_PR_CHANGE="",IF(TITLE_NUMBER_PR="","",TITLE_NUMBER_PR),TITLE_NUMBER_PR_CHANGE)</f>
        <v>36/2</v>
      </c>
      <c r="AD29" s="2100"/>
      <c r="AE29" s="2100"/>
      <c r="AF29" s="2100"/>
      <c r="AG29" s="2100"/>
      <c r="AH29" s="2100"/>
      <c r="AI29" s="322"/>
      <c r="AJ29" s="322"/>
      <c r="AK29" s="268"/>
      <c r="AL29" s="368"/>
      <c r="AM29" s="368"/>
      <c r="AN29" s="368"/>
      <c r="AO29" s="368"/>
      <c r="AP29" s="368"/>
    </row>
    <row s="3345"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https://npa.gov-murman.ru/bitrix/components/b1team/govmurman.element.file/download.php?ID=495002&amp;FID=732763</v>
      </c>
      <c r="W30" s="2100"/>
      <c r="X30" s="2100"/>
      <c r="Y30" s="2100"/>
      <c r="Z30" s="2100"/>
      <c r="AA30" s="2100"/>
      <c r="AB30" s="322"/>
      <c r="AC30" s="2100" t="str">
        <f>IF(TITLE_IST_PUB_CHANGE="",IF(TITLE_IST_PUB="","",TITLE_IST_PUB),TITLE_IST_PUB_CHANGE)</f>
        <v>https://npa.gov-murman.ru/bitrix/components/b1team/govmurman.element.file/download.php?ID=495002&amp;FID=732763</v>
      </c>
      <c r="AD30" s="2100"/>
      <c r="AE30" s="2100"/>
      <c r="AF30" s="2100"/>
      <c r="AG30" s="2100"/>
      <c r="AH30" s="2100"/>
      <c r="AI30" s="322"/>
      <c r="AJ30" s="322"/>
      <c r="AK30" s="268"/>
      <c r="AL30" s="368"/>
      <c r="AM30" s="368"/>
      <c r="AN30" s="368"/>
      <c r="AO30" s="368"/>
      <c r="AP30" s="368"/>
    </row>
    <row customHeight="1" ht="14.25">
      <c r="Q31" s="377"/>
      <c r="R31" s="377"/>
      <c r="S31" s="1305"/>
      <c r="T31" s="361"/>
      <c r="U31" s="361"/>
      <c r="V31" s="316"/>
      <c r="W31" s="316"/>
      <c r="X31" s="316"/>
      <c r="Y31" s="316"/>
      <c r="Z31" s="316"/>
      <c r="AA31" s="316"/>
      <c r="AB31" s="316"/>
      <c r="AC31" s="316"/>
      <c r="AD31" s="316"/>
      <c r="AE31" s="316"/>
      <c r="AF31" s="316"/>
      <c r="AG31" s="316"/>
      <c r="AH31" s="316"/>
      <c r="AI31" s="316"/>
      <c r="AJ31" s="515"/>
    </row>
    <row s="3345" customFormat="1" customHeight="1" ht="18.75">
      <c r="A32" s="1398"/>
      <c r="B32" s="1398"/>
      <c r="C32" s="1398"/>
      <c r="D32" s="1398"/>
      <c r="E32" s="1398"/>
      <c r="F32" s="1398"/>
      <c r="G32" s="1398"/>
      <c r="H32" s="1398"/>
      <c r="I32" s="1398"/>
      <c r="J32" s="1398"/>
      <c r="K32" s="1398"/>
      <c r="L32" s="1399"/>
      <c r="M32" s="1398"/>
      <c r="N32" s="1398"/>
      <c r="O32" s="1398"/>
      <c r="S32" s="2098" t="s">
        <v>637</v>
      </c>
      <c r="T32" s="2098"/>
      <c r="U32" s="1402"/>
      <c r="V32" s="2099" t="str">
        <f>IF(TITLE_DATE_PR_CHANGE="",IF(TITLE_DATE_PR="","",TITLE_DATE_PR),TITLE_DATE_PR_CHANGE)</f>
        <v>45205</v>
      </c>
      <c r="W32" s="2099"/>
      <c r="X32" s="2099"/>
      <c r="Y32" s="2099"/>
      <c r="Z32" s="2099"/>
      <c r="AA32" s="2099"/>
      <c r="AB32" s="322"/>
      <c r="AC32" s="2099" t="str">
        <f>IF(TITLE_DATE_PR_CHANGE="",IF(TITLE_DATE_PR="","",TITLE_DATE_PR),TITLE_DATE_PR_CHANGE)</f>
        <v>45205</v>
      </c>
      <c r="AD32" s="2099"/>
      <c r="AE32" s="2099"/>
      <c r="AF32" s="2099"/>
      <c r="AG32" s="2099"/>
      <c r="AH32" s="2099"/>
      <c r="AI32" s="322"/>
      <c r="AJ32" s="322"/>
      <c r="AK32" s="268"/>
      <c r="AL32" s="368"/>
      <c r="AM32" s="368"/>
      <c r="AN32" s="368"/>
      <c r="AO32" s="368"/>
      <c r="AP32" s="368"/>
    </row>
    <row s="3345" customFormat="1" customHeight="1" ht="18.75">
      <c r="A33" s="1398"/>
      <c r="B33" s="1398"/>
      <c r="C33" s="1398"/>
      <c r="D33" s="1398"/>
      <c r="E33" s="1398"/>
      <c r="F33" s="1398"/>
      <c r="G33" s="1398"/>
      <c r="H33" s="1398"/>
      <c r="I33" s="1398"/>
      <c r="J33" s="1398"/>
      <c r="K33" s="1398"/>
      <c r="L33" s="1399"/>
      <c r="M33" s="1398"/>
      <c r="N33" s="1398"/>
      <c r="O33" s="1398"/>
      <c r="S33" s="2098" t="s">
        <v>638</v>
      </c>
      <c r="T33" s="2098"/>
      <c r="U33" s="1402"/>
      <c r="V33" s="2100" t="str">
        <f>IF(TITLE_NUMBER_PR_CHANGE="",IF(TITLE_NUMBER_PR="","",TITLE_NUMBER_PR),TITLE_NUMBER_PR_CHANGE)</f>
        <v>36/2</v>
      </c>
      <c r="W33" s="2100"/>
      <c r="X33" s="2100"/>
      <c r="Y33" s="2100"/>
      <c r="Z33" s="2100"/>
      <c r="AA33" s="2100"/>
      <c r="AB33" s="322"/>
      <c r="AC33" s="2100" t="str">
        <f>IF(TITLE_NUMBER_PR_CHANGE="",IF(TITLE_NUMBER_PR="","",TITLE_NUMBER_PR),TITLE_NUMBER_PR_CHANGE)</f>
        <v>36/2</v>
      </c>
      <c r="AD33" s="2100"/>
      <c r="AE33" s="2100"/>
      <c r="AF33" s="2100"/>
      <c r="AG33" s="2100"/>
      <c r="AH33" s="2100"/>
      <c r="AI33" s="322"/>
      <c r="AJ33" s="322"/>
      <c r="AK33" s="268"/>
      <c r="AL33" s="368"/>
      <c r="AM33" s="368"/>
      <c r="AN33" s="368"/>
      <c r="AO33" s="368"/>
      <c r="AP33" s="368"/>
    </row>
    <row s="3345" customFormat="1" customHeight="1" ht="0.75">
      <c r="A34" s="1398"/>
      <c r="B34" s="1398"/>
      <c r="C34" s="1398"/>
      <c r="D34" s="1398"/>
      <c r="E34" s="1398"/>
      <c r="F34" s="1398"/>
      <c r="G34" s="1398"/>
      <c r="H34" s="1398"/>
      <c r="I34" s="1398"/>
      <c r="J34" s="1398"/>
      <c r="K34" s="1398"/>
      <c r="L34" s="1399"/>
      <c r="M34" s="1398"/>
      <c r="N34" s="1398"/>
      <c r="O34" s="1398"/>
      <c r="S34" s="318"/>
      <c r="T34" s="318"/>
      <c r="U34" s="1518"/>
      <c r="V34" s="322"/>
      <c r="W34" s="322"/>
      <c r="X34" s="322"/>
      <c r="Y34" s="322"/>
      <c r="Z34" s="322"/>
      <c r="AA34" s="322"/>
      <c r="AB34" s="266" t="s">
        <v>639</v>
      </c>
      <c r="AC34" s="322"/>
      <c r="AD34" s="322"/>
      <c r="AE34" s="322"/>
      <c r="AF34" s="322"/>
      <c r="AG34" s="322"/>
      <c r="AH34" s="322"/>
      <c r="AI34" s="266" t="s">
        <v>639</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513</v>
      </c>
      <c r="T36" s="1971"/>
      <c r="U36" s="1971"/>
      <c r="V36" s="1971"/>
      <c r="W36" s="1971"/>
      <c r="X36" s="1971"/>
      <c r="Y36" s="1971"/>
      <c r="Z36" s="1971"/>
      <c r="AA36" s="1971"/>
      <c r="AB36" s="1971"/>
      <c r="AC36" s="1971"/>
      <c r="AD36" s="1971"/>
      <c r="AE36" s="1971"/>
      <c r="AF36" s="1971"/>
      <c r="AG36" s="1971"/>
      <c r="AH36" s="1971"/>
      <c r="AI36" s="1971"/>
      <c r="AJ36" s="1971"/>
      <c r="AK36" s="1971" t="s">
        <v>514</v>
      </c>
    </row>
    <row customHeight="1" ht="14.25">
      <c r="Q37" s="377"/>
      <c r="R37" s="377"/>
      <c r="S37" s="2125" t="s">
        <v>89</v>
      </c>
      <c r="T37" s="2062" t="s">
        <v>640</v>
      </c>
      <c r="U37" s="289"/>
      <c r="V37" s="2126" t="s">
        <v>641</v>
      </c>
      <c r="W37" s="2127"/>
      <c r="X37" s="2127"/>
      <c r="Y37" s="2127"/>
      <c r="Z37" s="2127"/>
      <c r="AA37" s="2128"/>
      <c r="AB37" s="2129" t="s">
        <v>642</v>
      </c>
      <c r="AC37" s="2126" t="s">
        <v>641</v>
      </c>
      <c r="AD37" s="2127"/>
      <c r="AE37" s="2127"/>
      <c r="AF37" s="2127"/>
      <c r="AG37" s="2127"/>
      <c r="AH37" s="2128"/>
      <c r="AI37" s="2129" t="s">
        <v>643</v>
      </c>
      <c r="AJ37" s="2132" t="s">
        <v>644</v>
      </c>
      <c r="AK37" s="1971"/>
    </row>
    <row customHeight="1" ht="33.75">
      <c r="Q38" s="377"/>
      <c r="R38" s="377"/>
      <c r="S38" s="2125"/>
      <c r="T38" s="2062"/>
      <c r="U38" s="1038"/>
      <c r="V38" s="1513" t="s">
        <v>745</v>
      </c>
      <c r="W38" s="2118" t="s">
        <v>746</v>
      </c>
      <c r="X38" s="2120"/>
      <c r="Y38" s="2118" t="s">
        <v>648</v>
      </c>
      <c r="Z38" s="2119"/>
      <c r="AA38" s="2120"/>
      <c r="AB38" s="2130"/>
      <c r="AC38" s="1513" t="s">
        <v>745</v>
      </c>
      <c r="AD38" s="2118" t="s">
        <v>746</v>
      </c>
      <c r="AE38" s="2120"/>
      <c r="AF38" s="2118" t="s">
        <v>648</v>
      </c>
      <c r="AG38" s="2119"/>
      <c r="AH38" s="2120"/>
      <c r="AI38" s="2130"/>
      <c r="AJ38" s="2133"/>
      <c r="AK38" s="1971"/>
    </row>
    <row customHeight="1" ht="86.25">
      <c r="A39" s="1400"/>
      <c r="B39" s="1400" t="s">
        <v>216</v>
      </c>
      <c r="C39" s="1400" t="s">
        <v>217</v>
      </c>
      <c r="D39" s="1400" t="s">
        <v>218</v>
      </c>
      <c r="E39" s="1394" t="s">
        <v>649</v>
      </c>
      <c r="F39" s="1394" t="s">
        <v>650</v>
      </c>
      <c r="G39" s="1394" t="s">
        <v>651</v>
      </c>
      <c r="H39" s="1394"/>
      <c r="I39" s="1394" t="s">
        <v>705</v>
      </c>
      <c r="J39" s="1394" t="s">
        <v>654</v>
      </c>
      <c r="K39" s="1394" t="s">
        <v>706</v>
      </c>
      <c r="L39" s="1394" t="s">
        <v>630</v>
      </c>
      <c r="Q39" s="377"/>
      <c r="R39" s="377"/>
      <c r="S39" s="2125"/>
      <c r="T39" s="2062"/>
      <c r="U39" s="290"/>
      <c r="V39" s="1513" t="s">
        <v>747</v>
      </c>
      <c r="W39" s="1237" t="s">
        <v>748</v>
      </c>
      <c r="X39" s="1237" t="s">
        <v>749</v>
      </c>
      <c r="Y39" s="1519" t="s">
        <v>658</v>
      </c>
      <c r="Z39" s="2121" t="s">
        <v>659</v>
      </c>
      <c r="AA39" s="2122"/>
      <c r="AB39" s="2131"/>
      <c r="AC39" s="1513" t="s">
        <v>747</v>
      </c>
      <c r="AD39" s="1237" t="s">
        <v>748</v>
      </c>
      <c r="AE39" s="1237" t="s">
        <v>749</v>
      </c>
      <c r="AF39" s="1519" t="s">
        <v>658</v>
      </c>
      <c r="AG39" s="2121" t="s">
        <v>659</v>
      </c>
      <c r="AH39" s="2122"/>
      <c r="AI39" s="2131"/>
      <c r="AJ39" s="2134"/>
      <c r="AK39" s="1971"/>
    </row>
    <row s="2611" customFormat="1" customHeight="1" ht="11.25" hidden="1">
      <c r="A40" s="1400"/>
      <c r="B40" s="1400"/>
      <c r="C40" s="1400"/>
      <c r="D40" s="1400"/>
      <c r="E40" s="1400"/>
      <c r="F40" s="1400"/>
      <c r="G40" s="1400"/>
      <c r="H40" s="1400"/>
      <c r="I40" s="1400"/>
      <c r="J40" s="1400"/>
      <c r="K40" s="1400"/>
      <c r="L40" s="1394"/>
      <c r="M40" s="1392"/>
      <c r="N40" s="1392"/>
      <c r="O40" s="1392"/>
      <c r="P40" s="1264"/>
      <c r="Q40" s="1265"/>
      <c r="R40" s="1280">
        <v>1</v>
      </c>
      <c r="S40" s="1307" t="s">
        <v>193</v>
      </c>
      <c r="T40" s="1281" t="s">
        <v>104</v>
      </c>
      <c r="U40" s="1263" t="str">
        <f>OFFSET(U40,0,-1)</f>
        <v>2</v>
      </c>
      <c r="V40" s="1512">
        <f>OFFSET(V40,0,-1)+1</f>
        <v>3</v>
      </c>
      <c r="W40" s="1512">
        <f>OFFSET(W40,0,-1)+1</f>
        <v>4</v>
      </c>
      <c r="X40" s="1512">
        <f>OFFSET(X40,0,-1)+1</f>
        <v>5</v>
      </c>
      <c r="Y40" s="1512">
        <f>OFFSET(Y40,0,-1)+1</f>
        <v>6</v>
      </c>
      <c r="Z40" s="2123">
        <f>OFFSET(Z40,0,-1)+1</f>
        <v>7</v>
      </c>
      <c r="AA40" s="2123"/>
      <c r="AB40" s="1512">
        <f>OFFSET(AB40,0,-2)+1</f>
        <v>8</v>
      </c>
      <c r="AC40" s="1512">
        <f>OFFSET(AC40,0,-1)+1</f>
        <v>9</v>
      </c>
      <c r="AD40" s="1512">
        <f>OFFSET(AD40,0,-1)+1</f>
        <v>10</v>
      </c>
      <c r="AE40" s="1512">
        <f>OFFSET(AE40,0,-1)+1</f>
        <v>11</v>
      </c>
      <c r="AF40" s="1512">
        <f>OFFSET(AF40,0,-1)+1</f>
        <v>12</v>
      </c>
      <c r="AG40" s="2123">
        <f>OFFSET(AG40,0,-1)+1</f>
        <v>13</v>
      </c>
      <c r="AH40" s="2123"/>
      <c r="AI40" s="1512">
        <f>OFFSET(AI40,0,-2)+1</f>
        <v>14</v>
      </c>
      <c r="AJ40" s="1263">
        <f>OFFSET(AJ40,0,-1)</f>
        <v>14</v>
      </c>
      <c r="AK40" s="1512">
        <f>OFFSET(AK40,0,-1)+1</f>
        <v>15</v>
      </c>
      <c r="AL40" s="517"/>
      <c r="AM40" s="517"/>
      <c r="AN40" s="517"/>
      <c r="AO40" s="517"/>
      <c r="AP40" s="517"/>
    </row>
    <row customHeight="1" ht="23.25">
      <c r="A41" s="1393" t="s">
        <v>464</v>
      </c>
      <c r="B41" s="1393"/>
      <c r="C41" s="1393"/>
      <c r="D41" s="1393"/>
      <c r="E41" s="2107">
        <v>1</v>
      </c>
      <c r="F41" s="1393"/>
      <c r="G41" s="1393"/>
      <c r="H41" s="1393"/>
      <c r="I41" s="1393"/>
      <c r="J41" s="1393"/>
      <c r="K41" s="1393"/>
      <c r="L41" s="1394"/>
      <c r="M41" s="1395"/>
      <c r="N41" s="1395"/>
      <c r="O41" s="1395"/>
      <c r="P41" s="357"/>
      <c r="Q41" s="356"/>
      <c r="R41" s="351"/>
      <c r="S41" s="1523">
        <f>INDEX(PT_DIFFERENTIATION_NUM_NTAR,MATCH(A41,PT_DIFFERENTIATION_NTAR_ID,0))</f>
        <v>0</v>
      </c>
      <c r="T41" s="286" t="s">
        <v>204</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464</v>
      </c>
      <c r="B42" s="1393" t="s">
        <v>465</v>
      </c>
      <c r="C42" s="1393"/>
      <c r="D42" s="1393"/>
      <c r="E42" s="2108"/>
      <c r="F42" s="2107">
        <v>1</v>
      </c>
      <c r="G42" s="1393"/>
      <c r="H42" s="1393"/>
      <c r="I42" s="1393"/>
      <c r="J42" s="1393"/>
      <c r="K42" s="1393"/>
      <c r="L42" s="1394"/>
      <c r="M42" s="1395"/>
      <c r="N42" s="1395"/>
      <c r="O42" s="1395"/>
      <c r="P42" s="1517"/>
      <c r="Q42" s="348"/>
      <c r="R42" s="349"/>
      <c r="S42" s="1523" t="str">
        <f>INDEX(PT_DIFFERENTIATION_NUM_TER,MATCH(B42,PT_DIFFERENTIATION_TER_ID,0))</f>
        <v>.</v>
      </c>
      <c r="T42" s="298" t="s">
        <v>612</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613</v>
      </c>
      <c r="AM42" s="506"/>
      <c r="AN42" s="506" t="str">
        <f>IF(T42="","",T42)</f>
        <v>Территория действия тарифа</v>
      </c>
      <c r="AO42" s="506"/>
      <c r="AP42" s="506"/>
    </row>
    <row customHeight="1" ht="23.25">
      <c r="A43" s="1393" t="s">
        <v>464</v>
      </c>
      <c r="B43" s="1393" t="s">
        <v>465</v>
      </c>
      <c r="C43" s="1393" t="s">
        <v>466</v>
      </c>
      <c r="D43" s="1393"/>
      <c r="E43" s="2108"/>
      <c r="F43" s="2108"/>
      <c r="G43" s="2107">
        <v>1</v>
      </c>
      <c r="H43" s="1393"/>
      <c r="I43" s="1393"/>
      <c r="J43" s="1393"/>
      <c r="K43" s="1393"/>
      <c r="L43" s="1394"/>
      <c r="M43" s="1395"/>
      <c r="N43" s="1395"/>
      <c r="O43" s="1395"/>
      <c r="P43" s="350"/>
      <c r="Q43" s="348"/>
      <c r="R43" s="349"/>
      <c r="S43" s="1523" t="str">
        <f>INDEX(PT_DIFFERENTIATION_NUM_CS,MATCH(C43,PT_DIFFERENTIATION_CS_ID,0))</f>
        <v>..</v>
      </c>
      <c r="T43" s="299" t="s">
        <v>743</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744</v>
      </c>
      <c r="AM43" s="506"/>
      <c r="AN43" s="506" t="str">
        <f>IF(T43="","",T43)</f>
        <v>Наименование централизованной системы горячего водоснабжения</v>
      </c>
      <c r="AO43" s="506"/>
      <c r="AP43" s="506"/>
    </row>
    <row customHeight="1" ht="23.25">
      <c r="A44" s="1393" t="s">
        <v>464</v>
      </c>
      <c r="B44" s="1393" t="s">
        <v>465</v>
      </c>
      <c r="C44" s="1393" t="s">
        <v>466</v>
      </c>
      <c r="D44" s="1393" t="s">
        <v>750</v>
      </c>
      <c r="E44" s="2108"/>
      <c r="F44" s="2108"/>
      <c r="G44" s="2108"/>
      <c r="H44" s="2108"/>
      <c r="I44" s="2109" t="str">
        <f>S43&amp;".1"</f>
        <v>...1</v>
      </c>
      <c r="J44" s="1393"/>
      <c r="K44" s="1393"/>
      <c r="L44" s="1394"/>
      <c r="P44" s="2111">
        <v>1</v>
      </c>
      <c r="Q44" s="1511"/>
      <c r="R44" s="352"/>
      <c r="S44" s="1523" t="str">
        <f>$I44</f>
        <v>...1</v>
      </c>
      <c r="T44" s="273" t="s">
        <v>698</v>
      </c>
      <c r="U44" s="288"/>
      <c r="V44" s="2194"/>
      <c r="W44" s="2195"/>
      <c r="X44" s="2195"/>
      <c r="Y44" s="2195"/>
      <c r="Z44" s="2195"/>
      <c r="AA44" s="2195"/>
      <c r="AB44" s="2196"/>
      <c r="AC44" s="2197"/>
      <c r="AD44" s="2198"/>
      <c r="AE44" s="2198"/>
      <c r="AF44" s="2198"/>
      <c r="AG44" s="2198"/>
      <c r="AH44" s="2198"/>
      <c r="AI44" s="2198"/>
      <c r="AJ44" s="2199"/>
      <c r="AK44" s="1286" t="s">
        <v>699</v>
      </c>
      <c r="AM44" s="506"/>
      <c r="AN44" s="506" t="str">
        <f>IF(T44="","",T44)</f>
        <v>Наименование признака дифференциации</v>
      </c>
      <c r="AO44" s="506"/>
      <c r="AP44" s="506"/>
    </row>
    <row customHeight="1" ht="23.25">
      <c r="A45" s="1393" t="s">
        <v>464</v>
      </c>
      <c r="B45" s="1393" t="s">
        <v>465</v>
      </c>
      <c r="C45" s="1393" t="s">
        <v>466</v>
      </c>
      <c r="D45" s="1393" t="s">
        <v>750</v>
      </c>
      <c r="E45" s="2108"/>
      <c r="F45" s="2108"/>
      <c r="G45" s="2108"/>
      <c r="H45" s="2108"/>
      <c r="I45" s="2110"/>
      <c r="J45" s="2109" t="str">
        <f>I44&amp;".1"</f>
        <v>...1.1</v>
      </c>
      <c r="K45" s="1393"/>
      <c r="L45" s="1394" t="s">
        <v>621</v>
      </c>
      <c r="P45" s="2111"/>
      <c r="Q45" s="2111">
        <v>1</v>
      </c>
      <c r="R45" s="353"/>
      <c r="S45" s="1523" t="str">
        <f>$J45</f>
        <v>...1.1</v>
      </c>
      <c r="T45" s="274" t="s">
        <v>622</v>
      </c>
      <c r="U45" s="288"/>
      <c r="V45" s="2095"/>
      <c r="W45" s="2096"/>
      <c r="X45" s="2096"/>
      <c r="Y45" s="2096"/>
      <c r="Z45" s="2096"/>
      <c r="AA45" s="2096"/>
      <c r="AB45" s="2097"/>
      <c r="AC45" s="2095"/>
      <c r="AD45" s="2096"/>
      <c r="AE45" s="2096"/>
      <c r="AF45" s="2096"/>
      <c r="AG45" s="2096"/>
      <c r="AH45" s="2096"/>
      <c r="AI45" s="2096"/>
      <c r="AJ45" s="2097"/>
      <c r="AK45" s="1337" t="s">
        <v>700</v>
      </c>
      <c r="AM45" s="506"/>
      <c r="AN45" s="506" t="str">
        <f>IF(T45="","",T45)</f>
        <v>Группа потребителей</v>
      </c>
      <c r="AO45" s="506"/>
      <c r="AP45" s="506"/>
    </row>
    <row customHeight="1" ht="23.25">
      <c r="A46" s="1393" t="s">
        <v>464</v>
      </c>
      <c r="B46" s="1393" t="s">
        <v>465</v>
      </c>
      <c r="C46" s="1393" t="s">
        <v>466</v>
      </c>
      <c r="D46" s="1393" t="s">
        <v>750</v>
      </c>
      <c r="E46" s="2108"/>
      <c r="F46" s="2108"/>
      <c r="G46" s="2108"/>
      <c r="H46" s="2108"/>
      <c r="I46" s="2110"/>
      <c r="J46" s="2110"/>
      <c r="K46" s="2109" t="str">
        <f>J45&amp;".1"</f>
        <v>...1.1.1</v>
      </c>
      <c r="L46" s="1394"/>
      <c r="P46" s="2111"/>
      <c r="Q46" s="2111"/>
      <c r="R46" s="353">
        <v>1</v>
      </c>
      <c r="S46" s="1523" t="str">
        <f>$K46</f>
        <v>...1.1.1</v>
      </c>
      <c r="T46" s="1467"/>
      <c r="U46" s="288"/>
      <c r="V46" s="1390"/>
      <c r="W46" s="1390"/>
      <c r="X46" s="1391"/>
      <c r="Y46" s="2105"/>
      <c r="Z46" s="2104" t="s">
        <v>63</v>
      </c>
      <c r="AA46" s="2105"/>
      <c r="AB46" s="2104" t="s">
        <v>63</v>
      </c>
      <c r="AC46" s="757"/>
      <c r="AD46" s="757"/>
      <c r="AE46" s="1285"/>
      <c r="AF46" s="2112"/>
      <c r="AG46" s="1981" t="s">
        <v>63</v>
      </c>
      <c r="AH46" s="2114"/>
      <c r="AI46" s="1981" t="s">
        <v>58</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464</v>
      </c>
      <c r="B47" s="1393" t="s">
        <v>465</v>
      </c>
      <c r="C47" s="1393" t="s">
        <v>466</v>
      </c>
      <c r="D47" s="1393" t="s">
        <v>750</v>
      </c>
      <c r="E47" s="2108"/>
      <c r="F47" s="2108"/>
      <c r="G47" s="2108"/>
      <c r="H47" s="2108"/>
      <c r="I47" s="2110"/>
      <c r="J47" s="2110"/>
      <c r="K47" s="2109"/>
      <c r="L47" s="1394"/>
      <c r="P47" s="2111"/>
      <c r="Q47" s="2111"/>
      <c r="R47" s="353"/>
      <c r="S47" s="1520"/>
      <c r="T47" s="288"/>
      <c r="U47" s="288"/>
      <c r="V47" s="1390"/>
      <c r="W47" s="1390"/>
      <c r="X47" s="324" t="str">
        <f>Y46&amp;"-"&amp;AA46</f>
        <v>-</v>
      </c>
      <c r="Y47" s="2104"/>
      <c r="Z47" s="2104"/>
      <c r="AA47" s="2104"/>
      <c r="AB47" s="2104"/>
      <c r="AC47" s="320"/>
      <c r="AD47" s="320"/>
      <c r="AE47" s="324" t="str">
        <f>AF46&amp;"-"&amp;AH46</f>
        <v>-</v>
      </c>
      <c r="AF47" s="2113"/>
      <c r="AG47" s="1981"/>
      <c r="AH47" s="2115"/>
      <c r="AI47" s="1981"/>
      <c r="AJ47" s="1469"/>
      <c r="AK47" s="2200"/>
      <c r="AM47" s="506"/>
      <c r="AN47" s="506" t="str">
        <f>IF(T47="","",T47)</f>
        <v/>
      </c>
      <c r="AO47" s="506"/>
      <c r="AP47" s="506"/>
    </row>
    <row customHeight="1" ht="21">
      <c r="A48" s="1393" t="s">
        <v>464</v>
      </c>
      <c r="B48" s="1393" t="s">
        <v>465</v>
      </c>
      <c r="C48" s="1393" t="s">
        <v>466</v>
      </c>
      <c r="D48" s="1393" t="s">
        <v>750</v>
      </c>
      <c r="E48" s="2108"/>
      <c r="F48" s="2108"/>
      <c r="G48" s="2108"/>
      <c r="H48" s="2108"/>
      <c r="I48" s="2110"/>
      <c r="J48" s="2109"/>
      <c r="K48" s="1393"/>
      <c r="L48" s="1394"/>
      <c r="P48" s="2111"/>
      <c r="Q48" s="2111"/>
      <c r="R48" s="352"/>
      <c r="S48" s="1308"/>
      <c r="T48" s="275" t="s">
        <v>701</v>
      </c>
      <c r="U48" s="367"/>
      <c r="V48" s="367"/>
      <c r="W48" s="367"/>
      <c r="X48" s="367"/>
      <c r="Y48" s="367"/>
      <c r="Z48" s="367"/>
      <c r="AA48" s="367"/>
      <c r="AB48" s="367"/>
      <c r="AC48" s="367"/>
      <c r="AD48" s="367"/>
      <c r="AE48" s="367"/>
      <c r="AF48" s="367"/>
      <c r="AG48" s="367"/>
      <c r="AH48" s="367"/>
      <c r="AI48" s="367"/>
      <c r="AJ48" s="367"/>
      <c r="AK48" s="1286" t="s">
        <v>702</v>
      </c>
      <c r="AM48" s="506"/>
      <c r="AN48" s="506" t="str">
        <f>IF(T48="","",T48)</f>
        <v>Добавить значение признака дифференциации</v>
      </c>
      <c r="AO48" s="506"/>
      <c r="AP48" s="506"/>
    </row>
    <row customHeight="1" ht="21">
      <c r="A49" s="1393" t="s">
        <v>464</v>
      </c>
      <c r="B49" s="1393" t="s">
        <v>465</v>
      </c>
      <c r="C49" s="1393" t="s">
        <v>466</v>
      </c>
      <c r="D49" s="1393" t="s">
        <v>750</v>
      </c>
      <c r="E49" s="2108"/>
      <c r="F49" s="2108"/>
      <c r="G49" s="2108"/>
      <c r="H49" s="2108"/>
      <c r="I49" s="2109"/>
      <c r="J49" s="1393"/>
      <c r="K49" s="1393"/>
      <c r="L49" s="1394"/>
      <c r="P49" s="2111"/>
      <c r="Q49" s="1511"/>
      <c r="R49" s="352"/>
      <c r="S49" s="1308"/>
      <c r="T49" s="364" t="s">
        <v>627</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464</v>
      </c>
      <c r="B50" s="1393" t="s">
        <v>465</v>
      </c>
      <c r="C50" s="1393" t="s">
        <v>466</v>
      </c>
      <c r="D50" s="1393" t="s">
        <v>750</v>
      </c>
      <c r="E50" s="2108"/>
      <c r="F50" s="2108"/>
      <c r="G50" s="2108"/>
      <c r="H50" s="2107"/>
      <c r="I50" s="1393"/>
      <c r="J50" s="1393"/>
      <c r="K50" s="1393"/>
      <c r="L50" s="1394"/>
      <c r="M50" s="1395"/>
      <c r="N50" s="1395"/>
      <c r="O50" s="543"/>
      <c r="P50" s="356"/>
      <c r="Q50" s="376"/>
      <c r="R50" s="351"/>
      <c r="S50" s="1308"/>
      <c r="T50" s="372" t="s">
        <v>703</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4" customFormat="1" customHeight="1" ht="0">
      <c r="A51" s="1373" t="s">
        <v>464</v>
      </c>
      <c r="B51" s="1373" t="s">
        <v>465</v>
      </c>
      <c r="C51" s="1344"/>
      <c r="D51" s="1344"/>
      <c r="E51" s="2108"/>
      <c r="F51" s="2107"/>
      <c r="G51" s="1344"/>
      <c r="H51" s="1344"/>
      <c r="I51" s="1344"/>
      <c r="J51" s="1344"/>
      <c r="K51" s="1344"/>
      <c r="L51" s="1524"/>
      <c r="M51" s="1351"/>
      <c r="N51" s="1351"/>
      <c r="P51" s="1346"/>
      <c r="Q51" s="1347"/>
      <c r="R51" s="1346"/>
      <c r="S51" s="1352"/>
      <c r="T51" s="1355" t="s">
        <v>255</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2" customFormat="1" customHeight="1" ht="0">
      <c r="A52" s="1373" t="s">
        <v>464</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4" customFormat="1" customHeight="1" ht="0">
      <c r="A53" s="1344"/>
      <c r="B53" s="1344"/>
      <c r="C53" s="1344"/>
      <c r="D53" s="1344"/>
      <c r="E53" s="1373"/>
      <c r="F53" s="1344"/>
      <c r="G53" s="1344"/>
      <c r="H53" s="1344"/>
      <c r="I53" s="1344"/>
      <c r="J53" s="1344"/>
      <c r="K53" s="1344"/>
      <c r="L53" s="1524"/>
      <c r="M53" s="1351"/>
      <c r="N53" s="1351"/>
      <c r="P53" s="1346"/>
      <c r="Q53" s="1347"/>
      <c r="R53" s="1346"/>
      <c r="S53" s="1352"/>
      <c r="T53" s="1355" t="s">
        <v>398</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C256F3-DFCD-D1FD-49B1-CDAB59C0EEC9}"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2683" width="11.57421875" hidden="1" customWidth="1"/>
    <col min="2" max="2" style="2683" width="11.00390625" hidden="1" customWidth="1"/>
    <col min="3" max="3" style="2683" width="10.57421875" hidden="1"/>
    <col min="4" max="4" style="2683" width="12.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2.00390625" hidden="1" customWidth="1"/>
    <col min="10" max="10" style="2683" width="9.8515625" hidden="1" customWidth="1"/>
    <col min="11" max="11" style="2683" width="11.421875" hidden="1" customWidth="1"/>
    <col min="12" max="12" style="12312" width="19.140625" hidden="1" customWidth="1"/>
    <col min="13" max="14" style="3334" width="12.28125" hidden="1" customWidth="1"/>
    <col min="15" max="15" style="3334" width="23.421875" hidden="1" customWidth="1"/>
    <col min="16" max="16" style="3334" width="3.7109375" hidden="1" customWidth="1"/>
    <col min="17" max="17" style="3336" width="3.7109375" hidden="1" customWidth="1"/>
    <col min="18" max="18" style="3411" width="3.7109375" customWidth="1"/>
    <col min="19" max="19" style="3412" width="12.7109375" customWidth="1"/>
    <col min="20" max="20" style="2984" width="32.00390625" customWidth="1"/>
    <col min="21" max="21" style="2984" width="0.140625" customWidth="1"/>
    <col min="22" max="25" style="2984" width="21.7109375" hidden="1" customWidth="1"/>
    <col min="26" max="26" style="2984" width="11.7109375" hidden="1" customWidth="1"/>
    <col min="27" max="27" style="2984" width="3.7109375" hidden="1" customWidth="1"/>
    <col min="28" max="28" style="2984" width="11.7109375" hidden="1" customWidth="1"/>
    <col min="29" max="29" style="2984" width="8.57421875" hidden="1" customWidth="1"/>
    <col min="30" max="32" style="2984" width="3.7109375" customWidth="1"/>
    <col min="33" max="33" style="2984" width="24.7109375" customWidth="1"/>
    <col min="34" max="36" style="2984" width="3.7109375" customWidth="1"/>
    <col min="37" max="37" style="2984" width="24.7109375" customWidth="1"/>
    <col min="38" max="40" style="2984" width="3.7109375" customWidth="1"/>
    <col min="41" max="41" style="2984" width="18.8515625" customWidth="1"/>
    <col min="42" max="44" style="2984" width="3.7109375" customWidth="1"/>
    <col min="45" max="45" style="2984" width="18.8515625" customWidth="1"/>
    <col min="46" max="49" style="2984" width="21.7109375" customWidth="1"/>
    <col min="50" max="50" style="2984" width="11.7109375" customWidth="1"/>
    <col min="51" max="51" style="2984" width="3.7109375" customWidth="1"/>
    <col min="52" max="52" style="2984" width="11.7109375" customWidth="1"/>
    <col min="53" max="53" style="2984" width="8.57421875" hidden="1" customWidth="1"/>
    <col min="54" max="54" style="2984" width="4.7109375" customWidth="1"/>
    <col min="55" max="55" style="2984" width="115.7109375" customWidth="1"/>
    <col min="56" max="57" style="2612" width="10.57421875"/>
    <col min="58" max="58" style="2612" width="11.140625" customWidth="1"/>
    <col min="59" max="60" style="2612" width="10.57421875"/>
  </cols>
  <sheetData>
    <row customHeight="1" ht="14.25" hidden="1">
      <c r="W1" s="323"/>
      <c r="Y1" s="323"/>
      <c r="Z1" s="323"/>
      <c r="AW1" s="323"/>
      <c r="AX1" s="323"/>
    </row>
    <row customHeight="1" ht="21" hidden="1">
      <c r="A2" s="1393"/>
      <c r="B2" s="1393"/>
      <c r="C2" s="1393"/>
      <c r="D2" s="1393"/>
      <c r="E2" s="2107">
        <v>1</v>
      </c>
      <c r="F2" s="1393"/>
      <c r="G2" s="1393"/>
      <c r="H2" s="1393"/>
      <c r="I2" s="1393"/>
      <c r="J2" s="1393"/>
      <c r="K2" s="1393"/>
      <c r="L2" s="1394"/>
      <c r="M2" s="1395"/>
      <c r="N2" s="1395"/>
      <c r="O2" s="1395"/>
      <c r="P2" s="1439"/>
      <c r="Q2" s="879"/>
      <c r="R2" s="351"/>
      <c r="S2" s="1523">
        <f>INDEX(PT_DIFFERENTIATION_NUM_NTAR,MATCH(A2,PT_DIFFERENTIATION_NTAR_ID,0))</f>
      </c>
      <c r="T2" s="286" t="s">
        <v>204</v>
      </c>
      <c r="U2" s="288"/>
      <c r="V2" s="2102"/>
      <c r="W2" s="2102"/>
      <c r="X2" s="2102"/>
      <c r="Y2" s="2102"/>
      <c r="Z2" s="2102"/>
      <c r="AA2" s="2102"/>
      <c r="AB2" s="2102"/>
      <c r="AC2" s="2103"/>
      <c r="AD2" s="2101">
        <f>INDEX(PT_DIFFERENTIATION_NTAR,MATCH(A2,PT_DIFFERENTIATION_NTAR_ID,0))</f>
      </c>
      <c r="AE2" s="2102"/>
      <c r="AF2" s="2102"/>
      <c r="AG2" s="2102"/>
      <c r="AH2" s="2102"/>
      <c r="AI2" s="2102"/>
      <c r="AJ2" s="2102"/>
      <c r="AK2" s="2102"/>
      <c r="AL2" s="2102"/>
      <c r="AM2" s="2102"/>
      <c r="AN2" s="2102"/>
      <c r="AO2" s="2102"/>
      <c r="AP2" s="2102"/>
      <c r="AQ2" s="2102"/>
      <c r="AR2" s="2102"/>
      <c r="AS2" s="2102"/>
      <c r="AT2" s="2102"/>
      <c r="AU2" s="2102"/>
      <c r="AV2" s="2102"/>
      <c r="AW2" s="2102"/>
      <c r="AX2" s="2102"/>
      <c r="AY2" s="2102"/>
      <c r="AZ2" s="2102"/>
      <c r="BA2" s="2102"/>
      <c r="BB2" s="2103"/>
      <c r="BC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506"/>
      <c r="BF2" s="506" t="str">
        <f>IF(T2="","",T2)</f>
        <v>Наименование тарифа</v>
      </c>
      <c r="BG2" s="506"/>
      <c r="BH2" s="506"/>
    </row>
    <row customHeight="1" ht="21" hidden="1">
      <c r="A3" s="1393"/>
      <c r="B3" s="1393"/>
      <c r="C3" s="1393"/>
      <c r="D3" s="1393"/>
      <c r="E3" s="2108"/>
      <c r="F3" s="2107">
        <v>1</v>
      </c>
      <c r="G3" s="1393"/>
      <c r="H3" s="1393"/>
      <c r="I3" s="1393"/>
      <c r="J3" s="1393"/>
      <c r="K3" s="1393"/>
      <c r="L3" s="1394"/>
      <c r="M3" s="1395"/>
      <c r="N3" s="1395"/>
      <c r="O3" s="1395"/>
      <c r="P3" s="1440"/>
      <c r="Q3" s="1441"/>
      <c r="R3" s="349"/>
      <c r="S3" s="1523">
        <f>INDEX(PT_DIFFERENTIATION_NUM_TER,MATCH(B3,PT_DIFFERENTIATION_TER_ID,0))</f>
      </c>
      <c r="T3" s="298" t="s">
        <v>612</v>
      </c>
      <c r="U3" s="288"/>
      <c r="V3" s="2102"/>
      <c r="W3" s="2102"/>
      <c r="X3" s="2102"/>
      <c r="Y3" s="2102"/>
      <c r="Z3" s="2102"/>
      <c r="AA3" s="2102"/>
      <c r="AB3" s="2102"/>
      <c r="AC3" s="2103"/>
      <c r="AD3" s="2101">
        <f>INDEX(PT_DIFFERENTIATION_TER,MATCH(B3,PT_DIFFERENTIATION_TER_ID,0))</f>
      </c>
      <c r="AE3" s="2102"/>
      <c r="AF3" s="2102"/>
      <c r="AG3" s="2102"/>
      <c r="AH3" s="2102"/>
      <c r="AI3" s="2102"/>
      <c r="AJ3" s="2102"/>
      <c r="AK3" s="2102"/>
      <c r="AL3" s="2102"/>
      <c r="AM3" s="2102"/>
      <c r="AN3" s="2102"/>
      <c r="AO3" s="2102"/>
      <c r="AP3" s="2102"/>
      <c r="AQ3" s="2102"/>
      <c r="AR3" s="2102"/>
      <c r="AS3" s="2102"/>
      <c r="AT3" s="2102"/>
      <c r="AU3" s="2102"/>
      <c r="AV3" s="2102"/>
      <c r="AW3" s="2102"/>
      <c r="AX3" s="2102"/>
      <c r="AY3" s="2102"/>
      <c r="AZ3" s="2102"/>
      <c r="BA3" s="2102"/>
      <c r="BB3" s="2103"/>
      <c r="BC3" s="1286" t="s">
        <v>613</v>
      </c>
      <c r="BE3" s="506"/>
      <c r="BF3" s="506" t="str">
        <f>IF(T3="","",T3)</f>
        <v>Территория действия тарифа</v>
      </c>
      <c r="BG3" s="506"/>
      <c r="BH3" s="506"/>
    </row>
    <row customHeight="1" ht="33.75" hidden="1">
      <c r="A4" s="1393"/>
      <c r="B4" s="1393"/>
      <c r="C4" s="1393"/>
      <c r="D4" s="1393"/>
      <c r="E4" s="2108"/>
      <c r="F4" s="2108"/>
      <c r="G4" s="2107">
        <v>1</v>
      </c>
      <c r="H4" s="1393"/>
      <c r="I4" s="1393"/>
      <c r="J4" s="1393"/>
      <c r="K4" s="1393"/>
      <c r="L4" s="1394"/>
      <c r="M4" s="1395"/>
      <c r="N4" s="1395"/>
      <c r="O4" s="1395"/>
      <c r="P4" s="1442"/>
      <c r="Q4" s="1441"/>
      <c r="R4" s="349"/>
      <c r="S4" s="1523">
        <f>INDEX(PT_DIFFERENTIATION_NUM_CS,MATCH(C4,PT_DIFFERENTIATION_CS_ID,0))</f>
      </c>
      <c r="T4" s="299" t="s">
        <v>743</v>
      </c>
      <c r="U4" s="288"/>
      <c r="V4" s="2102"/>
      <c r="W4" s="2102"/>
      <c r="X4" s="2102"/>
      <c r="Y4" s="2102"/>
      <c r="Z4" s="2102"/>
      <c r="AA4" s="2102"/>
      <c r="AB4" s="2102"/>
      <c r="AC4" s="2103"/>
      <c r="AD4" s="2101">
        <f>INDEX(PT_DIFFERENTIATION_CS,MATCH(C4,PT_DIFFERENTIATION_CS_ID,0))</f>
      </c>
      <c r="AE4" s="2102"/>
      <c r="AF4" s="2102"/>
      <c r="AG4" s="2102"/>
      <c r="AH4" s="2102"/>
      <c r="AI4" s="2102"/>
      <c r="AJ4" s="2102"/>
      <c r="AK4" s="2102"/>
      <c r="AL4" s="2102"/>
      <c r="AM4" s="2102"/>
      <c r="AN4" s="2102"/>
      <c r="AO4" s="2102"/>
      <c r="AP4" s="2102"/>
      <c r="AQ4" s="2102"/>
      <c r="AR4" s="2102"/>
      <c r="AS4" s="2102"/>
      <c r="AT4" s="2102"/>
      <c r="AU4" s="2102"/>
      <c r="AV4" s="2102"/>
      <c r="AW4" s="2102"/>
      <c r="AX4" s="2102"/>
      <c r="AY4" s="2102"/>
      <c r="AZ4" s="2102"/>
      <c r="BA4" s="2102"/>
      <c r="BB4" s="2103"/>
      <c r="BC4" s="1286" t="s">
        <v>744</v>
      </c>
      <c r="BE4" s="506"/>
      <c r="BF4" s="506" t="str">
        <f>IF(T4="","",T4)</f>
        <v>Наименование централизованной системы горячего водоснабжения</v>
      </c>
      <c r="BG4" s="506"/>
      <c r="BH4" s="506"/>
    </row>
    <row s="2612" customFormat="1" customHeight="1" ht="14.25" hidden="1">
      <c r="A5" s="1373"/>
      <c r="B5" s="1373"/>
      <c r="C5" s="1373"/>
      <c r="D5" s="1373"/>
      <c r="E5" s="2108"/>
      <c r="F5" s="2108"/>
      <c r="G5" s="2108"/>
      <c r="H5" s="2107">
        <v>1</v>
      </c>
      <c r="I5" s="1373"/>
      <c r="J5" s="1373"/>
      <c r="K5" s="1373"/>
      <c r="L5" s="1376"/>
      <c r="M5" s="1345"/>
      <c r="N5" s="1345"/>
      <c r="O5" s="1345"/>
      <c r="P5" s="1527"/>
      <c r="Q5" s="1528"/>
      <c r="R5" s="353"/>
      <c r="S5" s="1049"/>
      <c r="T5" s="1529"/>
      <c r="U5" s="1414"/>
      <c r="V5" s="2148"/>
      <c r="W5" s="2148"/>
      <c r="X5" s="2148"/>
      <c r="Y5" s="2148"/>
      <c r="Z5" s="2148"/>
      <c r="AA5" s="2148"/>
      <c r="AB5" s="2148"/>
      <c r="AC5" s="2149"/>
      <c r="AD5" s="2147"/>
      <c r="AE5" s="2148"/>
      <c r="AF5" s="2148"/>
      <c r="AG5" s="2148"/>
      <c r="AH5" s="2148"/>
      <c r="AI5" s="2148"/>
      <c r="AJ5" s="2148"/>
      <c r="AK5" s="2148"/>
      <c r="AL5" s="2148"/>
      <c r="AM5" s="2148"/>
      <c r="AN5" s="2148"/>
      <c r="AO5" s="2148"/>
      <c r="AP5" s="2148"/>
      <c r="AQ5" s="2148"/>
      <c r="AR5" s="2148"/>
      <c r="AS5" s="2148"/>
      <c r="AT5" s="2148"/>
      <c r="AU5" s="2148"/>
      <c r="AV5" s="2148"/>
      <c r="AW5" s="2148"/>
      <c r="AX5" s="2148"/>
      <c r="AY5" s="2148"/>
      <c r="AZ5" s="2148"/>
      <c r="BA5" s="2148"/>
      <c r="BB5" s="2149"/>
      <c r="BC5" s="1415" t="s">
        <v>617</v>
      </c>
      <c r="BE5" s="506"/>
      <c r="BF5" s="506" t="str">
        <f>IF(T5="","",T5)</f>
        <v/>
      </c>
      <c r="BG5" s="506"/>
      <c r="BH5" s="506"/>
    </row>
    <row s="2612" customFormat="1" customHeight="1" ht="14.25" hidden="1">
      <c r="A6" s="1373"/>
      <c r="B6" s="1373"/>
      <c r="C6" s="1373"/>
      <c r="D6" s="1373"/>
      <c r="E6" s="2108"/>
      <c r="F6" s="2108"/>
      <c r="G6" s="2108"/>
      <c r="H6" s="2108"/>
      <c r="I6" s="2109" t="str">
        <f>S5&amp;".1"</f>
        <v>.1</v>
      </c>
      <c r="J6" s="1373"/>
      <c r="K6" s="1373"/>
      <c r="L6" s="1376" t="s">
        <v>618</v>
      </c>
      <c r="M6" s="516"/>
      <c r="N6" s="516"/>
      <c r="O6" s="516"/>
      <c r="P6" s="2111">
        <v>1</v>
      </c>
      <c r="Q6" s="1511"/>
      <c r="R6" s="352"/>
      <c r="S6" s="1049"/>
      <c r="T6" s="1413"/>
      <c r="U6" s="1414"/>
      <c r="V6" s="2148"/>
      <c r="W6" s="2148"/>
      <c r="X6" s="2148"/>
      <c r="Y6" s="2148"/>
      <c r="Z6" s="2148"/>
      <c r="AA6" s="2148"/>
      <c r="AB6" s="2148"/>
      <c r="AC6" s="2149"/>
      <c r="AD6" s="2147"/>
      <c r="AE6" s="2148"/>
      <c r="AF6" s="2148"/>
      <c r="AG6" s="2148"/>
      <c r="AH6" s="2148"/>
      <c r="AI6" s="2148"/>
      <c r="AJ6" s="2148"/>
      <c r="AK6" s="2148"/>
      <c r="AL6" s="2148"/>
      <c r="AM6" s="2148"/>
      <c r="AN6" s="2148"/>
      <c r="AO6" s="2148"/>
      <c r="AP6" s="2148"/>
      <c r="AQ6" s="2148"/>
      <c r="AR6" s="2148"/>
      <c r="AS6" s="2148"/>
      <c r="AT6" s="2148"/>
      <c r="AU6" s="2148"/>
      <c r="AV6" s="2148"/>
      <c r="AW6" s="2148"/>
      <c r="AX6" s="2148"/>
      <c r="AY6" s="2148"/>
      <c r="AZ6" s="2148"/>
      <c r="BA6" s="2148"/>
      <c r="BB6" s="2149"/>
      <c r="BC6" s="1415"/>
      <c r="BE6" s="506"/>
      <c r="BF6" s="506" t="str">
        <f>IF(T6="","",T6)</f>
        <v/>
      </c>
      <c r="BG6" s="506"/>
      <c r="BH6" s="506"/>
    </row>
    <row s="2612" customFormat="1" customHeight="1" ht="14.25" hidden="1">
      <c r="A7" s="1373"/>
      <c r="B7" s="1373"/>
      <c r="C7" s="1373"/>
      <c r="D7" s="1373"/>
      <c r="E7" s="2108"/>
      <c r="F7" s="2108"/>
      <c r="G7" s="2108"/>
      <c r="H7" s="2108"/>
      <c r="I7" s="2110"/>
      <c r="J7" s="2109" t="str">
        <f>S5&amp;".1"</f>
        <v>.1</v>
      </c>
      <c r="K7" s="1373"/>
      <c r="L7" s="1376"/>
      <c r="M7" s="516"/>
      <c r="N7" s="516"/>
      <c r="O7" s="516"/>
      <c r="P7" s="2111"/>
      <c r="Q7" s="2111">
        <v>1</v>
      </c>
      <c r="R7" s="353"/>
      <c r="S7" s="1049"/>
      <c r="T7" s="1429"/>
      <c r="U7" s="1414"/>
      <c r="V7" s="2148"/>
      <c r="W7" s="2148"/>
      <c r="X7" s="2148"/>
      <c r="Y7" s="2148"/>
      <c r="Z7" s="2148"/>
      <c r="AA7" s="2148"/>
      <c r="AB7" s="2148"/>
      <c r="AC7" s="2149"/>
      <c r="AD7" s="2147"/>
      <c r="AE7" s="2148"/>
      <c r="AF7" s="2148"/>
      <c r="AG7" s="2148"/>
      <c r="AH7" s="2148"/>
      <c r="AI7" s="2148"/>
      <c r="AJ7" s="2148"/>
      <c r="AK7" s="2148"/>
      <c r="AL7" s="2148"/>
      <c r="AM7" s="2148"/>
      <c r="AN7" s="2148"/>
      <c r="AO7" s="2148"/>
      <c r="AP7" s="2148"/>
      <c r="AQ7" s="2148"/>
      <c r="AR7" s="2148"/>
      <c r="AS7" s="2148"/>
      <c r="AT7" s="2148"/>
      <c r="AU7" s="2148"/>
      <c r="AV7" s="2148"/>
      <c r="AW7" s="2148"/>
      <c r="AX7" s="2148"/>
      <c r="AY7" s="2148"/>
      <c r="AZ7" s="2148"/>
      <c r="BA7" s="2148"/>
      <c r="BB7" s="2149"/>
      <c r="BC7" s="1415"/>
      <c r="BE7" s="506"/>
      <c r="BF7" s="506" t="str">
        <f>IF(T7="","",T7)</f>
        <v/>
      </c>
      <c r="BG7" s="506"/>
      <c r="BH7" s="506"/>
    </row>
    <row customHeight="1" ht="11.25" hidden="1">
      <c r="A8" s="1393"/>
      <c r="B8" s="1393"/>
      <c r="C8" s="1393"/>
      <c r="D8" s="1393"/>
      <c r="E8" s="2108"/>
      <c r="F8" s="2108"/>
      <c r="G8" s="2108"/>
      <c r="H8" s="2108"/>
      <c r="I8" s="2110"/>
      <c r="J8" s="2110"/>
      <c r="K8" s="2109">
        <f>S4&amp;".1"</f>
      </c>
      <c r="L8" s="1394"/>
      <c r="P8" s="2111"/>
      <c r="Q8" s="2111"/>
      <c r="R8" s="2187">
        <v>1</v>
      </c>
      <c r="S8" s="2184">
        <f>$K8</f>
      </c>
      <c r="T8" s="2203"/>
      <c r="U8" s="288"/>
      <c r="V8" s="757"/>
      <c r="W8" s="1285"/>
      <c r="X8" s="757"/>
      <c r="Y8" s="1285"/>
      <c r="Z8" s="1774"/>
      <c r="AA8" s="1499" t="s">
        <v>63</v>
      </c>
      <c r="AB8" s="1774"/>
      <c r="AC8" s="1499" t="s">
        <v>63</v>
      </c>
      <c r="AD8" s="2044" t="s">
        <v>63</v>
      </c>
      <c r="AE8" s="2180"/>
      <c r="AF8" s="2057">
        <v>1</v>
      </c>
      <c r="AG8" s="2202"/>
      <c r="AH8" s="1981" t="s">
        <v>63</v>
      </c>
      <c r="AI8" s="2180"/>
      <c r="AJ8" s="2057">
        <v>1</v>
      </c>
      <c r="AK8" s="2201" t="s">
        <v>24</v>
      </c>
      <c r="AL8" s="1981" t="s">
        <v>63</v>
      </c>
      <c r="AM8" s="2029"/>
      <c r="AN8" s="2057">
        <v>1</v>
      </c>
      <c r="AO8" s="2206"/>
      <c r="AP8" s="2207" t="s">
        <v>63</v>
      </c>
      <c r="AQ8" s="301"/>
      <c r="AR8" s="1516">
        <v>1</v>
      </c>
      <c r="AS8" s="1522" t="s">
        <v>24</v>
      </c>
      <c r="AT8" s="757"/>
      <c r="AU8" s="1285"/>
      <c r="AV8" s="757"/>
      <c r="AW8" s="1285"/>
      <c r="AX8" s="1774"/>
      <c r="AY8" s="1499" t="s">
        <v>63</v>
      </c>
      <c r="AZ8" s="1774"/>
      <c r="BA8" s="1499" t="s">
        <v>63</v>
      </c>
      <c r="BB8" s="1378"/>
      <c r="BC8" s="2137" t="s">
        <v>714</v>
      </c>
      <c r="BE8" s="506"/>
      <c r="BF8" s="506" t="str">
        <f>IF(T8="","",T8)</f>
        <v/>
      </c>
      <c r="BG8" s="506"/>
      <c r="BH8" s="506"/>
    </row>
    <row customHeight="1" ht="11.25" hidden="1">
      <c r="A9" s="1393"/>
      <c r="B9" s="1393"/>
      <c r="C9" s="1393"/>
      <c r="D9" s="1393"/>
      <c r="E9" s="2108"/>
      <c r="F9" s="2108"/>
      <c r="G9" s="2108"/>
      <c r="H9" s="2108"/>
      <c r="I9" s="2110"/>
      <c r="J9" s="2110"/>
      <c r="K9" s="2109"/>
      <c r="L9" s="1394"/>
      <c r="P9" s="2111"/>
      <c r="Q9" s="2111"/>
      <c r="R9" s="2187"/>
      <c r="S9" s="2185"/>
      <c r="T9" s="2204"/>
      <c r="U9" s="288"/>
      <c r="V9" s="1423"/>
      <c r="W9" s="1526"/>
      <c r="X9" s="1423"/>
      <c r="Y9" s="1526"/>
      <c r="Z9" s="1423"/>
      <c r="AA9" s="1423"/>
      <c r="AB9" s="1423"/>
      <c r="AC9" s="1423"/>
      <c r="AD9" s="2045"/>
      <c r="AE9" s="2180"/>
      <c r="AF9" s="2057"/>
      <c r="AG9" s="2202"/>
      <c r="AH9" s="1981"/>
      <c r="AI9" s="2180"/>
      <c r="AJ9" s="2057"/>
      <c r="AK9" s="2201"/>
      <c r="AL9" s="1981"/>
      <c r="AM9" s="2037"/>
      <c r="AN9" s="2057"/>
      <c r="AO9" s="2206"/>
      <c r="AP9" s="2208"/>
      <c r="AQ9" s="308"/>
      <c r="AR9" s="422"/>
      <c r="AS9" s="422" t="s">
        <v>715</v>
      </c>
      <c r="AT9" s="1423"/>
      <c r="AU9" s="1526"/>
      <c r="AV9" s="1423"/>
      <c r="AW9" s="1526"/>
      <c r="AX9" s="1423"/>
      <c r="AY9" s="1423"/>
      <c r="AZ9" s="1423"/>
      <c r="BA9" s="1423"/>
      <c r="BB9" s="1427"/>
      <c r="BC9" s="2138"/>
      <c r="BE9" s="506"/>
      <c r="BF9" s="506"/>
      <c r="BG9" s="506"/>
      <c r="BH9" s="506"/>
    </row>
    <row customHeight="1" ht="11.25" hidden="1">
      <c r="A10" s="1393"/>
      <c r="B10" s="1393"/>
      <c r="C10" s="1393"/>
      <c r="D10" s="1393"/>
      <c r="E10" s="2108"/>
      <c r="F10" s="2108"/>
      <c r="G10" s="2108"/>
      <c r="H10" s="2108"/>
      <c r="I10" s="2110"/>
      <c r="J10" s="2110"/>
      <c r="K10" s="2109"/>
      <c r="L10" s="1394"/>
      <c r="P10" s="2111"/>
      <c r="Q10" s="2111"/>
      <c r="R10" s="2187"/>
      <c r="S10" s="2185"/>
      <c r="T10" s="2204"/>
      <c r="U10" s="288"/>
      <c r="V10" s="1423"/>
      <c r="W10" s="1526"/>
      <c r="X10" s="1423"/>
      <c r="Y10" s="1526"/>
      <c r="Z10" s="1423"/>
      <c r="AA10" s="1423"/>
      <c r="AB10" s="1423"/>
      <c r="AC10" s="1423"/>
      <c r="AD10" s="2045"/>
      <c r="AE10" s="2180"/>
      <c r="AF10" s="2057"/>
      <c r="AG10" s="2202"/>
      <c r="AH10" s="1981"/>
      <c r="AI10" s="2180"/>
      <c r="AJ10" s="2057"/>
      <c r="AK10" s="2201"/>
      <c r="AL10" s="1981"/>
      <c r="AM10" s="308"/>
      <c r="AN10" s="1530"/>
      <c r="AO10" s="1530" t="s">
        <v>716</v>
      </c>
      <c r="AP10" s="422"/>
      <c r="AQ10" s="422"/>
      <c r="AR10" s="422"/>
      <c r="AS10" s="1423"/>
      <c r="AT10" s="1423"/>
      <c r="AU10" s="1526"/>
      <c r="AV10" s="1423"/>
      <c r="AW10" s="1526"/>
      <c r="AX10" s="1423"/>
      <c r="AY10" s="1423"/>
      <c r="AZ10" s="1423"/>
      <c r="BA10" s="1423"/>
      <c r="BB10" s="1427"/>
      <c r="BC10" s="2138"/>
      <c r="BE10" s="506"/>
      <c r="BF10" s="506"/>
      <c r="BG10" s="506"/>
      <c r="BH10" s="506"/>
    </row>
    <row customHeight="1" ht="11.25" hidden="1">
      <c r="A11" s="1393"/>
      <c r="B11" s="1393"/>
      <c r="C11" s="1393"/>
      <c r="D11" s="1393"/>
      <c r="E11" s="2108"/>
      <c r="F11" s="2108"/>
      <c r="G11" s="2108"/>
      <c r="H11" s="2108"/>
      <c r="I11" s="2110"/>
      <c r="J11" s="2110"/>
      <c r="K11" s="2109"/>
      <c r="L11" s="1394"/>
      <c r="P11" s="2111"/>
      <c r="Q11" s="2111"/>
      <c r="R11" s="2187"/>
      <c r="S11" s="2185"/>
      <c r="T11" s="2204"/>
      <c r="U11" s="288"/>
      <c r="V11" s="1423"/>
      <c r="W11" s="1526"/>
      <c r="X11" s="1423"/>
      <c r="Y11" s="1526"/>
      <c r="Z11" s="1423"/>
      <c r="AA11" s="1423"/>
      <c r="AB11" s="1423"/>
      <c r="AC11" s="1423"/>
      <c r="AD11" s="2045"/>
      <c r="AE11" s="2180"/>
      <c r="AF11" s="2057"/>
      <c r="AG11" s="2202"/>
      <c r="AH11" s="1981"/>
      <c r="AI11" s="282"/>
      <c r="AJ11" s="421"/>
      <c r="AK11" s="303" t="s">
        <v>717</v>
      </c>
      <c r="AL11" s="1423"/>
      <c r="AM11" s="1423"/>
      <c r="AN11" s="1423"/>
      <c r="AO11" s="1423"/>
      <c r="AP11" s="1423"/>
      <c r="AQ11" s="1423"/>
      <c r="AR11" s="1423"/>
      <c r="AS11" s="1423"/>
      <c r="AT11" s="1423"/>
      <c r="AU11" s="1526"/>
      <c r="AV11" s="1423"/>
      <c r="AW11" s="1526"/>
      <c r="AX11" s="1423"/>
      <c r="AY11" s="1423"/>
      <c r="AZ11" s="1423"/>
      <c r="BA11" s="1423"/>
      <c r="BB11" s="1427"/>
      <c r="BC11" s="2138"/>
      <c r="BE11" s="506"/>
      <c r="BF11" s="506"/>
      <c r="BG11" s="506"/>
      <c r="BH11" s="506"/>
    </row>
    <row customHeight="1" ht="11.25" hidden="1">
      <c r="A12" s="1393"/>
      <c r="B12" s="1393"/>
      <c r="C12" s="1393"/>
      <c r="D12" s="1393"/>
      <c r="E12" s="2108"/>
      <c r="F12" s="2108"/>
      <c r="G12" s="2108"/>
      <c r="H12" s="2108"/>
      <c r="I12" s="2110"/>
      <c r="J12" s="2110"/>
      <c r="K12" s="2109"/>
      <c r="L12" s="1394"/>
      <c r="P12" s="2111"/>
      <c r="Q12" s="2111"/>
      <c r="R12" s="2187"/>
      <c r="S12" s="2186"/>
      <c r="T12" s="2205"/>
      <c r="U12" s="288"/>
      <c r="V12" s="1423"/>
      <c r="W12" s="1424" t="str">
        <f>Z8&amp;"-"&amp;AB8</f>
        <v>-</v>
      </c>
      <c r="X12" s="1423"/>
      <c r="Y12" s="1424" t="str">
        <f>AB8&amp;"-"&amp;AD8</f>
        <v>-да</v>
      </c>
      <c r="Z12" s="1423"/>
      <c r="AA12" s="1423"/>
      <c r="AB12" s="1423"/>
      <c r="AC12" s="1423"/>
      <c r="AD12" s="1986"/>
      <c r="AE12" s="302"/>
      <c r="AF12" s="304"/>
      <c r="AG12" s="422" t="s">
        <v>718</v>
      </c>
      <c r="AH12" s="1423"/>
      <c r="AI12" s="1423"/>
      <c r="AJ12" s="1423"/>
      <c r="AK12" s="1423"/>
      <c r="AL12" s="1423"/>
      <c r="AM12" s="1423"/>
      <c r="AN12" s="1423"/>
      <c r="AO12" s="1423"/>
      <c r="AP12" s="1423"/>
      <c r="AQ12" s="1423"/>
      <c r="AR12" s="1423"/>
      <c r="AS12" s="1423"/>
      <c r="AT12" s="1423"/>
      <c r="AU12" s="1424" t="str">
        <f>AX8&amp;"-"&amp;AZ8</f>
        <v>-</v>
      </c>
      <c r="AV12" s="1423"/>
      <c r="AW12" s="1424" t="str">
        <f>AZ8&amp;"-"&amp;BB8</f>
        <v>-</v>
      </c>
      <c r="AX12" s="1423"/>
      <c r="AY12" s="1423"/>
      <c r="AZ12" s="1423"/>
      <c r="BA12" s="1423"/>
      <c r="BB12" s="1426" t="str">
        <f>BE8&amp;"-"&amp;BG8</f>
        <v>-</v>
      </c>
      <c r="BC12" s="2138"/>
      <c r="BE12" s="506"/>
      <c r="BF12" s="506" t="str">
        <f>IF(T12="","",T12)</f>
        <v/>
      </c>
      <c r="BG12" s="506"/>
      <c r="BH12" s="506"/>
    </row>
    <row customHeight="1" ht="11.25" hidden="1">
      <c r="A13" s="1393"/>
      <c r="B13" s="1393"/>
      <c r="C13" s="1393"/>
      <c r="D13" s="1393"/>
      <c r="E13" s="2108"/>
      <c r="F13" s="2108"/>
      <c r="G13" s="2108"/>
      <c r="H13" s="2108"/>
      <c r="I13" s="2110"/>
      <c r="J13" s="2109"/>
      <c r="K13" s="1393"/>
      <c r="L13" s="1394"/>
      <c r="P13" s="2111"/>
      <c r="Q13" s="2111"/>
      <c r="R13" s="352"/>
      <c r="S13" s="1308"/>
      <c r="T13" s="275" t="s">
        <v>682</v>
      </c>
      <c r="U13" s="367"/>
      <c r="V13" s="367"/>
      <c r="W13" s="367"/>
      <c r="X13" s="367"/>
      <c r="Y13" s="367"/>
      <c r="Z13" s="367"/>
      <c r="AA13" s="367"/>
      <c r="AB13" s="367"/>
      <c r="AC13" s="367"/>
      <c r="AD13" s="1535"/>
      <c r="AE13" s="367"/>
      <c r="AF13" s="367"/>
      <c r="AG13" s="367"/>
      <c r="AH13" s="367"/>
      <c r="AI13" s="367"/>
      <c r="AJ13" s="367"/>
      <c r="AK13" s="367"/>
      <c r="AL13" s="367"/>
      <c r="AM13" s="367"/>
      <c r="AN13" s="367"/>
      <c r="AO13" s="367"/>
      <c r="AP13" s="367"/>
      <c r="AQ13" s="367"/>
      <c r="AR13" s="367"/>
      <c r="AS13" s="367"/>
      <c r="AT13" s="367"/>
      <c r="AU13" s="367"/>
      <c r="AV13" s="367"/>
      <c r="AW13" s="367"/>
      <c r="AX13" s="367"/>
      <c r="AY13" s="367"/>
      <c r="AZ13" s="367"/>
      <c r="BA13" s="367"/>
      <c r="BB13" s="319"/>
      <c r="BC13" s="2139"/>
      <c r="BE13" s="506"/>
      <c r="BF13" s="506" t="str">
        <f>IF(T13="","",T13)</f>
        <v>Добавить строку</v>
      </c>
      <c r="BG13" s="506"/>
      <c r="BH13" s="506"/>
    </row>
    <row s="2612" customFormat="1" customHeight="1" ht="14.25" hidden="1">
      <c r="A14" s="1373"/>
      <c r="B14" s="1373"/>
      <c r="C14" s="1373"/>
      <c r="D14" s="1373"/>
      <c r="E14" s="2108"/>
      <c r="F14" s="2108"/>
      <c r="G14" s="2108"/>
      <c r="H14" s="2108"/>
      <c r="I14" s="2109"/>
      <c r="J14" s="1373"/>
      <c r="K14" s="1373"/>
      <c r="L14" s="1376"/>
      <c r="M14" s="516"/>
      <c r="N14" s="516"/>
      <c r="O14" s="516"/>
      <c r="P14" s="2111"/>
      <c r="Q14" s="1511"/>
      <c r="R14" s="352"/>
      <c r="S14" s="1416"/>
      <c r="T14" s="1417"/>
      <c r="U14" s="1418"/>
      <c r="V14" s="1418"/>
      <c r="W14" s="1418"/>
      <c r="X14" s="1418"/>
      <c r="Y14" s="1418"/>
      <c r="Z14" s="1418"/>
      <c r="AA14" s="1418"/>
      <c r="AB14" s="1418"/>
      <c r="AC14" s="1418"/>
      <c r="AD14" s="1418"/>
      <c r="AE14" s="1418"/>
      <c r="AF14" s="1418"/>
      <c r="AG14" s="1418"/>
      <c r="AH14" s="1418"/>
      <c r="AI14" s="1418"/>
      <c r="AJ14" s="1418"/>
      <c r="AK14" s="1418"/>
      <c r="AL14" s="1418"/>
      <c r="AM14" s="1418"/>
      <c r="AN14" s="1418"/>
      <c r="AO14" s="1418"/>
      <c r="AP14" s="1418"/>
      <c r="AQ14" s="1418"/>
      <c r="AR14" s="1418"/>
      <c r="AS14" s="1418"/>
      <c r="AT14" s="1418"/>
      <c r="AU14" s="1418"/>
      <c r="AV14" s="1418"/>
      <c r="AW14" s="1418"/>
      <c r="AX14" s="1418"/>
      <c r="AY14" s="1418"/>
      <c r="AZ14" s="1418"/>
      <c r="BA14" s="1418"/>
      <c r="BB14" s="1418"/>
      <c r="BC14" s="1419"/>
      <c r="BE14" s="506"/>
      <c r="BF14" s="506" t="str">
        <f>IF(T14="","",T14)</f>
        <v/>
      </c>
      <c r="BG14" s="506"/>
      <c r="BH14" s="506"/>
    </row>
    <row s="2612" customFormat="1" customHeight="1" ht="14.25" hidden="1">
      <c r="A15" s="1373"/>
      <c r="B15" s="1373"/>
      <c r="C15" s="1373"/>
      <c r="D15" s="1373"/>
      <c r="E15" s="2108"/>
      <c r="F15" s="2108"/>
      <c r="G15" s="2108"/>
      <c r="H15" s="2107"/>
      <c r="I15" s="1373"/>
      <c r="J15" s="1373"/>
      <c r="K15" s="1373"/>
      <c r="L15" s="1376"/>
      <c r="M15" s="1345"/>
      <c r="N15" s="1345"/>
      <c r="O15" s="524"/>
      <c r="P15" s="385"/>
      <c r="Q15" s="1374"/>
      <c r="R15" s="1431"/>
      <c r="S15" s="1416"/>
      <c r="T15" s="1417"/>
      <c r="U15" s="1418"/>
      <c r="V15" s="1418"/>
      <c r="W15" s="1418"/>
      <c r="X15" s="1418"/>
      <c r="Y15" s="1418"/>
      <c r="Z15" s="1418"/>
      <c r="AA15" s="1418"/>
      <c r="AB15" s="1418"/>
      <c r="AC15" s="1418"/>
      <c r="AD15" s="1418"/>
      <c r="AE15" s="1418"/>
      <c r="AF15" s="1418"/>
      <c r="AG15" s="1418"/>
      <c r="AH15" s="1418"/>
      <c r="AI15" s="1418"/>
      <c r="AJ15" s="1418"/>
      <c r="AK15" s="1418"/>
      <c r="AL15" s="1418"/>
      <c r="AM15" s="1418"/>
      <c r="AN15" s="1418"/>
      <c r="AO15" s="1418"/>
      <c r="AP15" s="1418"/>
      <c r="AQ15" s="1418"/>
      <c r="AR15" s="1418"/>
      <c r="AS15" s="1418"/>
      <c r="AT15" s="1418"/>
      <c r="AU15" s="1418"/>
      <c r="AV15" s="1418"/>
      <c r="AW15" s="1418"/>
      <c r="AX15" s="1418"/>
      <c r="AY15" s="1418"/>
      <c r="AZ15" s="1418"/>
      <c r="BA15" s="1418"/>
      <c r="BB15" s="1418"/>
      <c r="BC15" s="1419"/>
      <c r="BE15" s="506"/>
      <c r="BF15" s="506" t="str">
        <f>IF(T15="","",T15)</f>
        <v/>
      </c>
      <c r="BG15" s="506"/>
      <c r="BH15" s="506"/>
    </row>
    <row s="3314" customFormat="1" customHeight="1" ht="14.25" hidden="1">
      <c r="A16" s="1373"/>
      <c r="B16" s="1373"/>
      <c r="C16" s="1373"/>
      <c r="D16" s="1344"/>
      <c r="E16" s="2108"/>
      <c r="F16" s="2108"/>
      <c r="G16" s="2107"/>
      <c r="H16" s="1344"/>
      <c r="I16" s="1344"/>
      <c r="J16" s="1344"/>
      <c r="K16" s="1344"/>
      <c r="L16" s="1524"/>
      <c r="M16" s="1345"/>
      <c r="N16" s="1345"/>
      <c r="P16" s="1346"/>
      <c r="Q16" s="1347"/>
      <c r="R16" s="1346"/>
      <c r="S16" s="1352"/>
      <c r="T16" s="1355"/>
      <c r="U16" s="1354"/>
      <c r="V16" s="1354"/>
      <c r="W16" s="1354"/>
      <c r="X16" s="1354"/>
      <c r="Y16" s="1354"/>
      <c r="Z16" s="1354"/>
      <c r="AA16" s="1354"/>
      <c r="AB16" s="1354"/>
      <c r="AC16" s="1354"/>
      <c r="AD16" s="1354"/>
      <c r="AE16" s="1354"/>
      <c r="AF16" s="1354"/>
      <c r="AG16" s="1354"/>
      <c r="AH16" s="1354"/>
      <c r="AI16" s="1354"/>
      <c r="AJ16" s="1354"/>
      <c r="AK16" s="1354"/>
      <c r="AL16" s="1354"/>
      <c r="AM16" s="1354"/>
      <c r="AN16" s="1354"/>
      <c r="AO16" s="1354"/>
      <c r="AP16" s="1354"/>
      <c r="AQ16" s="1354"/>
      <c r="AR16" s="1354"/>
      <c r="AS16" s="1354"/>
      <c r="AT16" s="1354"/>
      <c r="AU16" s="1354"/>
      <c r="AV16" s="1354"/>
      <c r="AW16" s="1354"/>
      <c r="AX16" s="1354"/>
      <c r="AY16" s="1354"/>
      <c r="AZ16" s="1354"/>
      <c r="BA16" s="1354"/>
      <c r="BB16" s="1354"/>
      <c r="BC16" s="1354"/>
      <c r="BE16" s="795"/>
      <c r="BF16" s="795" t="str">
        <f>IF(T16="","",T16)</f>
        <v/>
      </c>
      <c r="BG16" s="795"/>
      <c r="BH16" s="795"/>
    </row>
    <row s="3314" customFormat="1" customHeight="1" ht="14.25" hidden="1">
      <c r="A17" s="1373"/>
      <c r="B17" s="1373"/>
      <c r="C17" s="1344"/>
      <c r="D17" s="1344"/>
      <c r="E17" s="2108"/>
      <c r="F17" s="2107"/>
      <c r="G17" s="1344"/>
      <c r="H17" s="1344"/>
      <c r="I17" s="1344"/>
      <c r="J17" s="1344"/>
      <c r="K17" s="1344"/>
      <c r="L17" s="1524"/>
      <c r="M17" s="1351"/>
      <c r="N17" s="1351"/>
      <c r="P17" s="1346"/>
      <c r="Q17" s="1347"/>
      <c r="R17" s="1346"/>
      <c r="S17" s="1352"/>
      <c r="T17" s="1355" t="s">
        <v>255</v>
      </c>
      <c r="U17" s="1354"/>
      <c r="V17" s="1354"/>
      <c r="W17" s="1354"/>
      <c r="X17" s="1354"/>
      <c r="Y17" s="1354"/>
      <c r="Z17" s="1354"/>
      <c r="AA17" s="1354"/>
      <c r="AB17" s="1354"/>
      <c r="AC17" s="1354"/>
      <c r="AD17" s="1354"/>
      <c r="AE17" s="1354"/>
      <c r="AF17" s="1354"/>
      <c r="AG17" s="1354"/>
      <c r="AH17" s="1354"/>
      <c r="AI17" s="1354"/>
      <c r="AJ17" s="1354"/>
      <c r="AK17" s="1354"/>
      <c r="AL17" s="1354"/>
      <c r="AM17" s="1354"/>
      <c r="AN17" s="1354"/>
      <c r="AO17" s="1354"/>
      <c r="AP17" s="1354"/>
      <c r="AQ17" s="1354"/>
      <c r="AR17" s="1354"/>
      <c r="AS17" s="1354"/>
      <c r="AT17" s="1354"/>
      <c r="AU17" s="1354"/>
      <c r="AV17" s="1354"/>
      <c r="AW17" s="1354"/>
      <c r="AX17" s="1354"/>
      <c r="AY17" s="1354"/>
      <c r="AZ17" s="1354"/>
      <c r="BA17" s="1354"/>
      <c r="BB17" s="1354"/>
      <c r="BC17" s="1354"/>
      <c r="BE17" s="795"/>
      <c r="BF17" s="795" t="str">
        <f>IF(T17="","",T17)</f>
        <v>Добавить централизованную систему для дифференциации</v>
      </c>
      <c r="BG17" s="795"/>
      <c r="BH17" s="795"/>
    </row>
    <row s="2612" customFormat="1" customHeight="1" ht="14.25" hidden="1">
      <c r="A18" s="1373"/>
      <c r="B18" s="1373"/>
      <c r="C18" s="1373"/>
      <c r="D18" s="1373"/>
      <c r="E18" s="2107"/>
      <c r="F18" s="1373"/>
      <c r="G18" s="1373"/>
      <c r="H18" s="1373"/>
      <c r="I18" s="1373"/>
      <c r="J18" s="1373"/>
      <c r="K18" s="1373"/>
      <c r="L18" s="1376"/>
      <c r="M18" s="1351"/>
      <c r="N18" s="1351"/>
      <c r="O18" s="524"/>
      <c r="P18" s="385"/>
      <c r="Q18" s="1374"/>
      <c r="R18" s="385"/>
      <c r="S18" s="1352"/>
      <c r="T18" s="1355" t="s">
        <v>329</v>
      </c>
      <c r="U18" s="1354"/>
      <c r="V18" s="1354"/>
      <c r="W18" s="1354"/>
      <c r="X18" s="1354"/>
      <c r="Y18" s="1354"/>
      <c r="Z18" s="1354"/>
      <c r="AA18" s="1354"/>
      <c r="AB18" s="1354"/>
      <c r="AC18" s="1354"/>
      <c r="AD18" s="1354"/>
      <c r="AE18" s="1354"/>
      <c r="AF18" s="1354"/>
      <c r="AG18" s="1354"/>
      <c r="AH18" s="1354"/>
      <c r="AI18" s="1354"/>
      <c r="AJ18" s="1354"/>
      <c r="AK18" s="1354"/>
      <c r="AL18" s="1354"/>
      <c r="AM18" s="1354"/>
      <c r="AN18" s="1354"/>
      <c r="AO18" s="1354"/>
      <c r="AP18" s="1354"/>
      <c r="AQ18" s="1354"/>
      <c r="AR18" s="1354"/>
      <c r="AS18" s="1354"/>
      <c r="AT18" s="1354"/>
      <c r="AU18" s="1354"/>
      <c r="AV18" s="1354"/>
      <c r="AW18" s="1354"/>
      <c r="AX18" s="1354"/>
      <c r="AY18" s="1354"/>
      <c r="AZ18" s="1354"/>
      <c r="BA18" s="1354"/>
      <c r="BB18" s="1354"/>
      <c r="BC18" s="1354"/>
      <c r="BE18" s="506"/>
      <c r="BF18" s="506" t="str">
        <f>IF(T18="","",T18)</f>
        <v>Добавить территорию для дифференциации</v>
      </c>
      <c r="BG18" s="506"/>
      <c r="BH18" s="506"/>
    </row>
    <row customHeight="1" ht="14.25" hidden="1">
      <c r="AC19" s="323"/>
      <c r="BA19" s="323"/>
    </row>
    <row customHeight="1" ht="14.25" hidden="1">
      <c r="AD20" s="1354" t="s">
        <v>58</v>
      </c>
      <c r="AE20" s="1531"/>
      <c r="AF20" s="554">
        <v>1</v>
      </c>
      <c r="AG20" s="1532"/>
      <c r="AH20" s="1354" t="s">
        <v>58</v>
      </c>
      <c r="AI20" s="1531"/>
      <c r="AJ20" s="554">
        <v>1</v>
      </c>
      <c r="AK20" s="1532"/>
      <c r="AL20" s="1354" t="s">
        <v>58</v>
      </c>
      <c r="AM20" s="1533"/>
      <c r="AN20" s="554">
        <v>1</v>
      </c>
      <c r="AO20" s="1534"/>
      <c r="AP20" s="1354" t="s">
        <v>58</v>
      </c>
      <c r="AQ20" s="1533"/>
      <c r="AR20" s="554">
        <v>1</v>
      </c>
      <c r="AS20" s="1534"/>
      <c r="AT20" s="320"/>
      <c r="AU20" s="390"/>
      <c r="AV20" s="320"/>
      <c r="AW20" s="390"/>
      <c r="AX20" s="1776"/>
      <c r="AY20" s="1515" t="s">
        <v>63</v>
      </c>
      <c r="AZ20" s="1776"/>
      <c r="BA20" s="1515" t="s">
        <v>63</v>
      </c>
    </row>
    <row customHeight="1" ht="14.25" hidden="1">
      <c r="BD21" s="502"/>
      <c r="BE21" s="502"/>
      <c r="BF21" s="502"/>
      <c r="BG21" s="502"/>
      <c r="BH21" s="502"/>
    </row>
    <row customHeight="1" ht="14.25" hidden="1">
      <c r="O22" s="1397" t="s">
        <v>629</v>
      </c>
      <c r="Z22" s="1375"/>
      <c r="AB22" s="1375"/>
      <c r="AC22" s="323"/>
      <c r="AX22" s="1375"/>
      <c r="AZ22" s="1375"/>
      <c r="BA22" s="323"/>
      <c r="BD22" s="502"/>
      <c r="BE22" s="502"/>
      <c r="BF22" s="502"/>
      <c r="BG22" s="502"/>
      <c r="BH22" s="502"/>
    </row>
    <row customHeight="1" ht="14.25" hidden="1">
      <c r="AC23" s="323"/>
      <c r="BA23" s="323"/>
      <c r="BD23" s="502"/>
      <c r="BE23" s="502"/>
      <c r="BF23" s="502"/>
      <c r="BG23" s="502"/>
      <c r="BH23" s="502"/>
    </row>
    <row s="12221" customFormat="1" customHeight="1" ht="14.25" hidden="1">
      <c r="M24" s="1538"/>
      <c r="N24" s="1538"/>
      <c r="O24" s="1539" t="s">
        <v>630</v>
      </c>
      <c r="P24" s="1538"/>
      <c r="Q24" s="1540"/>
      <c r="R24" s="1540"/>
      <c r="AA24" s="1537" t="s">
        <v>632</v>
      </c>
      <c r="AC24" s="1537" t="s">
        <v>633</v>
      </c>
      <c r="AD24" s="1537" t="s">
        <v>683</v>
      </c>
      <c r="AH24" s="1537" t="s">
        <v>683</v>
      </c>
      <c r="AK24" s="1537" t="s">
        <v>719</v>
      </c>
      <c r="AL24" s="1537" t="s">
        <v>683</v>
      </c>
      <c r="AP24" s="1537" t="s">
        <v>683</v>
      </c>
      <c r="AY24" s="1537" t="s">
        <v>632</v>
      </c>
      <c r="BA24" s="1537" t="s">
        <v>633</v>
      </c>
      <c r="BD24" s="1541"/>
      <c r="BE24" s="1541"/>
      <c r="BF24" s="1541"/>
      <c r="BG24" s="1541"/>
      <c r="BH24" s="1541"/>
    </row>
    <row customHeight="1" ht="14.25" hidden="1">
      <c r="O25" s="1394"/>
      <c r="BD25" s="502"/>
      <c r="BE25" s="502"/>
      <c r="BF25" s="502"/>
      <c r="BG25" s="502"/>
      <c r="BH25" s="502"/>
    </row>
    <row customHeight="1" ht="14.25" hidden="1">
      <c r="O26" s="1394"/>
      <c r="BD26" s="502"/>
      <c r="BE26" s="502"/>
      <c r="BF26" s="502"/>
      <c r="BG26" s="502"/>
      <c r="BH26" s="502"/>
    </row>
    <row customHeight="1" ht="14.25">
      <c r="Q27" s="279"/>
      <c r="R27" s="377"/>
      <c r="S27" s="1305"/>
      <c r="T27" s="361"/>
      <c r="U27" s="361"/>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row>
    <row customHeight="1" ht="14.25">
      <c r="Q28" s="279"/>
      <c r="R28" s="377"/>
      <c r="S28" s="2140"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140"/>
      <c r="U28" s="2140"/>
      <c r="V28" s="2140"/>
      <c r="W28" s="2140"/>
      <c r="X28" s="2140"/>
      <c r="Y28" s="2140"/>
      <c r="Z28" s="2140"/>
      <c r="AA28" s="2140"/>
      <c r="AB28" s="2140"/>
      <c r="AC28" s="2140"/>
      <c r="AD28" s="2140"/>
      <c r="AE28" s="2140"/>
      <c r="AF28" s="2140"/>
      <c r="AG28" s="2140"/>
      <c r="AH28" s="2140"/>
      <c r="AI28" s="2140"/>
      <c r="AJ28" s="2140"/>
      <c r="AK28" s="2140"/>
      <c r="AL28" s="2140"/>
      <c r="AM28" s="2140"/>
      <c r="AN28" s="2140"/>
      <c r="AO28" s="2140"/>
      <c r="AP28" s="2140"/>
      <c r="AQ28" s="2140"/>
      <c r="AR28" s="2140"/>
      <c r="AS28" s="2140"/>
      <c r="AT28" s="2140"/>
      <c r="AU28" s="2140"/>
      <c r="AV28" s="2140"/>
      <c r="AW28" s="2140"/>
      <c r="AX28" s="2140"/>
      <c r="AY28" s="2140"/>
      <c r="AZ28" s="2140"/>
      <c r="BA28" s="1261"/>
    </row>
    <row customHeight="1" ht="14.25">
      <c r="Q29" s="279"/>
      <c r="R29" s="377"/>
      <c r="S29" s="2141" t="str">
        <f>IF(org=0,"Не определено",org)</f>
        <v>АО "Мурманэнергосбыт"</v>
      </c>
      <c r="T29" s="2141"/>
      <c r="U29" s="2141"/>
      <c r="V29" s="2141"/>
      <c r="W29" s="2141"/>
      <c r="X29" s="2141"/>
      <c r="Y29" s="2141"/>
      <c r="Z29" s="2141"/>
      <c r="AA29" s="2141"/>
      <c r="AB29" s="2141"/>
      <c r="AC29" s="2141"/>
      <c r="AD29" s="2141"/>
      <c r="AE29" s="2141"/>
      <c r="AF29" s="2141"/>
      <c r="AG29" s="2141"/>
      <c r="AH29" s="2141"/>
      <c r="AI29" s="2141"/>
      <c r="AJ29" s="2141"/>
      <c r="AK29" s="2141"/>
      <c r="AL29" s="2141"/>
      <c r="AM29" s="2141"/>
      <c r="AN29" s="2141"/>
      <c r="AO29" s="2141"/>
      <c r="AP29" s="2141"/>
      <c r="AQ29" s="2141"/>
      <c r="AR29" s="2141"/>
      <c r="AS29" s="2141"/>
      <c r="AT29" s="2141"/>
      <c r="AU29" s="2141"/>
      <c r="AV29" s="2141"/>
      <c r="AW29" s="2141"/>
      <c r="AX29" s="2141"/>
      <c r="AY29" s="2141"/>
      <c r="AZ29" s="2141"/>
      <c r="BA29" s="1261"/>
    </row>
    <row customHeight="1" ht="14.25">
      <c r="Q30" s="279"/>
      <c r="R30" s="377"/>
      <c r="S30" s="1305"/>
      <c r="T30" s="361"/>
      <c r="U30" s="361"/>
      <c r="V30" s="316"/>
      <c r="W30" s="316"/>
      <c r="X30" s="316"/>
      <c r="Y30" s="316"/>
      <c r="Z30" s="316"/>
      <c r="AA30" s="316"/>
      <c r="AB30" s="316"/>
      <c r="AC30" s="316"/>
      <c r="AD30" s="316"/>
      <c r="AE30" s="316"/>
      <c r="AF30" s="316"/>
      <c r="AG30" s="316"/>
      <c r="AH30" s="316"/>
      <c r="AI30" s="316"/>
      <c r="AJ30" s="316"/>
      <c r="AK30" s="316"/>
      <c r="AL30" s="316"/>
      <c r="AM30" s="316"/>
      <c r="AN30" s="316"/>
      <c r="AO30" s="316"/>
      <c r="AP30" s="316"/>
      <c r="AQ30" s="316"/>
      <c r="AR30" s="316"/>
      <c r="AS30" s="316"/>
      <c r="AT30" s="316"/>
      <c r="AU30" s="316"/>
      <c r="AV30" s="316"/>
      <c r="AW30" s="316"/>
      <c r="AX30" s="316"/>
      <c r="AY30" s="316"/>
      <c r="AZ30" s="316"/>
      <c r="BA30" s="316"/>
      <c r="BB30" s="515"/>
    </row>
    <row s="3345" customFormat="1" customHeight="1" ht="25.5">
      <c r="A31" s="1398"/>
      <c r="B31" s="1398"/>
      <c r="C31" s="1398"/>
      <c r="D31" s="1398"/>
      <c r="E31" s="1398"/>
      <c r="F31" s="1398"/>
      <c r="G31" s="1398"/>
      <c r="H31" s="1398"/>
      <c r="I31" s="1398"/>
      <c r="J31" s="1398"/>
      <c r="K31" s="1398"/>
      <c r="L31" s="1399"/>
      <c r="M31" s="1398"/>
      <c r="N31" s="1398"/>
      <c r="O31" s="1398"/>
      <c r="P31" s="1398"/>
      <c r="Q31" s="1398"/>
      <c r="S31" s="2098" t="s">
        <v>38</v>
      </c>
      <c r="T31" s="2098"/>
      <c r="U31" s="1402"/>
      <c r="V31" s="2100" t="str">
        <f>IF(TITLE_NAME_OR_PR_CHANGE="",IF(TITLE_NAME_OR_PR="","",TITLE_NAME_OR_PR),TITLE_NAME_OR_PR_CHANGE)</f>
        <v>Комитет по тарифному регулированию Мурманской области</v>
      </c>
      <c r="W31" s="2100"/>
      <c r="X31" s="2100"/>
      <c r="Y31" s="2100"/>
      <c r="Z31" s="2100"/>
      <c r="AA31" s="2100"/>
      <c r="AB31" s="2100"/>
      <c r="AC31" s="322"/>
      <c r="AD31" s="2100" t="str">
        <f>IF(TITLE_NAME_OR_PR_CHANGE="",IF(TITLE_NAME_OR_PR="","",TITLE_NAME_OR_PR),TITLE_NAME_OR_PR_CHANGE)</f>
        <v>Комитет по тарифному регулированию Мурманской области</v>
      </c>
      <c r="AE31" s="2100"/>
      <c r="AF31" s="2100"/>
      <c r="AG31" s="2100"/>
      <c r="AH31" s="2100"/>
      <c r="AI31" s="2100"/>
      <c r="AJ31" s="2100"/>
      <c r="AK31" s="2100"/>
      <c r="AL31" s="2100"/>
      <c r="AM31" s="2100"/>
      <c r="AN31" s="2100"/>
      <c r="AO31" s="2100"/>
      <c r="AP31" s="2100"/>
      <c r="AQ31" s="2100"/>
      <c r="AR31" s="2100"/>
      <c r="AS31" s="2100"/>
      <c r="AT31" s="2100"/>
      <c r="AU31" s="2100"/>
      <c r="AV31" s="2100"/>
      <c r="AW31" s="2100"/>
      <c r="AX31" s="2100"/>
      <c r="AY31" s="2100"/>
      <c r="AZ31" s="2100"/>
      <c r="BA31" s="322"/>
      <c r="BB31" s="322"/>
      <c r="BC31" s="268"/>
      <c r="BD31" s="368"/>
      <c r="BE31" s="368"/>
      <c r="BF31" s="368"/>
      <c r="BG31" s="368"/>
      <c r="BH31" s="368"/>
    </row>
    <row s="3345" customFormat="1" customHeight="1" ht="18.75">
      <c r="A32" s="1398"/>
      <c r="B32" s="1398"/>
      <c r="C32" s="1398"/>
      <c r="D32" s="1398"/>
      <c r="E32" s="1398"/>
      <c r="F32" s="1398"/>
      <c r="G32" s="1398"/>
      <c r="H32" s="1398"/>
      <c r="I32" s="1398"/>
      <c r="J32" s="1398"/>
      <c r="K32" s="1398"/>
      <c r="L32" s="1399"/>
      <c r="M32" s="1398"/>
      <c r="N32" s="1398"/>
      <c r="O32" s="1398"/>
      <c r="P32" s="1398"/>
      <c r="Q32" s="1398"/>
      <c r="S32" s="2098" t="s">
        <v>635</v>
      </c>
      <c r="T32" s="2098"/>
      <c r="U32" s="1402"/>
      <c r="V32" s="2099" t="str">
        <f>IF(TITLE_DATE_PR_CHANGE="",IF(TITLE_DATE_PR="","",TITLE_DATE_PR),TITLE_DATE_PR_CHANGE)</f>
        <v>45205</v>
      </c>
      <c r="W32" s="2099"/>
      <c r="X32" s="2099"/>
      <c r="Y32" s="2099"/>
      <c r="Z32" s="2099"/>
      <c r="AA32" s="2099"/>
      <c r="AB32" s="2099"/>
      <c r="AC32" s="322"/>
      <c r="AD32" s="2099" t="str">
        <f>IF(TITLE_DATE_PR_CHANGE="",IF(TITLE_DATE_PR="","",TITLE_DATE_PR),TITLE_DATE_PR_CHANGE)</f>
        <v>45205</v>
      </c>
      <c r="AE32" s="2099"/>
      <c r="AF32" s="2099"/>
      <c r="AG32" s="2099"/>
      <c r="AH32" s="2099"/>
      <c r="AI32" s="2099"/>
      <c r="AJ32" s="2099"/>
      <c r="AK32" s="2099"/>
      <c r="AL32" s="2099"/>
      <c r="AM32" s="2099"/>
      <c r="AN32" s="2099"/>
      <c r="AO32" s="2099"/>
      <c r="AP32" s="2099"/>
      <c r="AQ32" s="2099"/>
      <c r="AR32" s="2099"/>
      <c r="AS32" s="2099"/>
      <c r="AT32" s="2099"/>
      <c r="AU32" s="2099"/>
      <c r="AV32" s="2099"/>
      <c r="AW32" s="2099"/>
      <c r="AX32" s="2099"/>
      <c r="AY32" s="2099"/>
      <c r="AZ32" s="2099"/>
      <c r="BA32" s="322"/>
      <c r="BB32" s="322"/>
      <c r="BC32" s="268"/>
      <c r="BD32" s="368"/>
      <c r="BE32" s="368"/>
      <c r="BF32" s="368"/>
      <c r="BG32" s="368"/>
      <c r="BH32" s="368"/>
    </row>
    <row s="3345" customFormat="1" customHeight="1" ht="18.75">
      <c r="A33" s="1398"/>
      <c r="B33" s="1398"/>
      <c r="C33" s="1398"/>
      <c r="D33" s="1398"/>
      <c r="E33" s="1398"/>
      <c r="F33" s="1398"/>
      <c r="G33" s="1398"/>
      <c r="H33" s="1398"/>
      <c r="I33" s="1398"/>
      <c r="J33" s="1398"/>
      <c r="K33" s="1398"/>
      <c r="L33" s="1399"/>
      <c r="M33" s="1398"/>
      <c r="N33" s="1398"/>
      <c r="O33" s="1398"/>
      <c r="P33" s="1398"/>
      <c r="Q33" s="1398"/>
      <c r="S33" s="2098" t="s">
        <v>636</v>
      </c>
      <c r="T33" s="2098"/>
      <c r="U33" s="1402"/>
      <c r="V33" s="2100" t="str">
        <f>IF(TITLE_NUMBER_PR_CHANGE="",IF(TITLE_NUMBER_PR="","",TITLE_NUMBER_PR),TITLE_NUMBER_PR_CHANGE)</f>
        <v>36/2</v>
      </c>
      <c r="W33" s="2100"/>
      <c r="X33" s="2100"/>
      <c r="Y33" s="2100"/>
      <c r="Z33" s="2100"/>
      <c r="AA33" s="2100"/>
      <c r="AB33" s="2100"/>
      <c r="AC33" s="322"/>
      <c r="AD33" s="2100" t="str">
        <f>IF(TITLE_NUMBER_PR_CHANGE="",IF(TITLE_NUMBER_PR="","",TITLE_NUMBER_PR),TITLE_NUMBER_PR_CHANGE)</f>
        <v>36/2</v>
      </c>
      <c r="AE33" s="2100"/>
      <c r="AF33" s="2100"/>
      <c r="AG33" s="2100"/>
      <c r="AH33" s="2100"/>
      <c r="AI33" s="2100"/>
      <c r="AJ33" s="2100"/>
      <c r="AK33" s="2100"/>
      <c r="AL33" s="2100"/>
      <c r="AM33" s="2100"/>
      <c r="AN33" s="2100"/>
      <c r="AO33" s="2100"/>
      <c r="AP33" s="2100"/>
      <c r="AQ33" s="2100"/>
      <c r="AR33" s="2100"/>
      <c r="AS33" s="2100"/>
      <c r="AT33" s="2100"/>
      <c r="AU33" s="2100"/>
      <c r="AV33" s="2100"/>
      <c r="AW33" s="2100"/>
      <c r="AX33" s="2100"/>
      <c r="AY33" s="2100"/>
      <c r="AZ33" s="2100"/>
      <c r="BA33" s="322"/>
      <c r="BB33" s="322"/>
      <c r="BC33" s="268"/>
      <c r="BD33" s="368"/>
      <c r="BE33" s="368"/>
      <c r="BF33" s="368"/>
      <c r="BG33" s="368"/>
      <c r="BH33" s="368"/>
    </row>
    <row s="3345" customFormat="1" customHeight="1" ht="18.75">
      <c r="A34" s="1398"/>
      <c r="B34" s="1398"/>
      <c r="C34" s="1398"/>
      <c r="D34" s="1398"/>
      <c r="E34" s="1398"/>
      <c r="F34" s="1398"/>
      <c r="G34" s="1398"/>
      <c r="H34" s="1398"/>
      <c r="I34" s="1398"/>
      <c r="J34" s="1398"/>
      <c r="K34" s="1398"/>
      <c r="L34" s="1399"/>
      <c r="M34" s="1398"/>
      <c r="N34" s="1398"/>
      <c r="O34" s="1398"/>
      <c r="P34" s="1398"/>
      <c r="Q34" s="1398"/>
      <c r="S34" s="2098" t="s">
        <v>40</v>
      </c>
      <c r="T34" s="2098"/>
      <c r="U34" s="1402"/>
      <c r="V34" s="2100" t="str">
        <f>IF(TITLE_IST_PUB_CHANGE="",IF(TITLE_IST_PUB="","",TITLE_IST_PUB),TITLE_IST_PUB_CHANGE)</f>
        <v>https://npa.gov-murman.ru/bitrix/components/b1team/govmurman.element.file/download.php?ID=495002&amp;FID=732763</v>
      </c>
      <c r="W34" s="2100"/>
      <c r="X34" s="2100"/>
      <c r="Y34" s="2100"/>
      <c r="Z34" s="2100"/>
      <c r="AA34" s="2100"/>
      <c r="AB34" s="2100"/>
      <c r="AC34" s="322"/>
      <c r="AD34" s="2100" t="str">
        <f>IF(TITLE_IST_PUB_CHANGE="",IF(TITLE_IST_PUB="","",TITLE_IST_PUB),TITLE_IST_PUB_CHANGE)</f>
        <v>https://npa.gov-murman.ru/bitrix/components/b1team/govmurman.element.file/download.php?ID=495002&amp;FID=732763</v>
      </c>
      <c r="AE34" s="2100"/>
      <c r="AF34" s="2100"/>
      <c r="AG34" s="2100"/>
      <c r="AH34" s="2100"/>
      <c r="AI34" s="2100"/>
      <c r="AJ34" s="2100"/>
      <c r="AK34" s="2100"/>
      <c r="AL34" s="2100"/>
      <c r="AM34" s="2100"/>
      <c r="AN34" s="2100"/>
      <c r="AO34" s="2100"/>
      <c r="AP34" s="2100"/>
      <c r="AQ34" s="2100"/>
      <c r="AR34" s="2100"/>
      <c r="AS34" s="2100"/>
      <c r="AT34" s="2100"/>
      <c r="AU34" s="2100"/>
      <c r="AV34" s="2100"/>
      <c r="AW34" s="2100"/>
      <c r="AX34" s="2100"/>
      <c r="AY34" s="2100"/>
      <c r="AZ34" s="2100"/>
      <c r="BA34" s="322"/>
      <c r="BB34" s="322"/>
      <c r="BC34" s="268"/>
      <c r="BD34" s="368"/>
      <c r="BE34" s="368"/>
      <c r="BF34" s="368"/>
      <c r="BG34" s="368"/>
      <c r="BH34" s="368"/>
    </row>
    <row customHeight="1" ht="14.25" hidden="1">
      <c r="Q35" s="279"/>
      <c r="R35" s="377"/>
      <c r="S35" s="1305"/>
      <c r="T35" s="361"/>
      <c r="U35" s="361"/>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c r="AU35" s="316"/>
      <c r="AV35" s="316"/>
      <c r="AW35" s="316"/>
      <c r="AX35" s="316"/>
      <c r="AY35" s="316"/>
      <c r="AZ35" s="316"/>
      <c r="BA35" s="316"/>
      <c r="BB35" s="515"/>
    </row>
    <row s="3345" customFormat="1" customHeight="1" ht="18.75" hidden="1">
      <c r="A36" s="1398"/>
      <c r="B36" s="1398"/>
      <c r="C36" s="1398"/>
      <c r="D36" s="1398"/>
      <c r="E36" s="1398"/>
      <c r="F36" s="1398"/>
      <c r="G36" s="1398"/>
      <c r="H36" s="1398"/>
      <c r="I36" s="1398"/>
      <c r="J36" s="1398"/>
      <c r="K36" s="1398"/>
      <c r="L36" s="1399"/>
      <c r="M36" s="1398"/>
      <c r="N36" s="1398"/>
      <c r="O36" s="1398"/>
      <c r="P36" s="1398"/>
      <c r="Q36" s="1398"/>
      <c r="S36" s="2098" t="s">
        <v>635</v>
      </c>
      <c r="T36" s="2098"/>
      <c r="U36" s="1402"/>
      <c r="V36" s="2099" t="str">
        <f>IF(TITLE_DATE_PR_CHANGE="",IF(TITLE_DATE_PR="","",TITLE_DATE_PR),TITLE_DATE_PR_CHANGE)</f>
        <v>45205</v>
      </c>
      <c r="W36" s="2099"/>
      <c r="X36" s="2099"/>
      <c r="Y36" s="2099"/>
      <c r="Z36" s="2099"/>
      <c r="AA36" s="2099"/>
      <c r="AB36" s="2099"/>
      <c r="AC36" s="322"/>
      <c r="AD36" s="2099" t="str">
        <f>IF(TITLE_DATE_PR_CHANGE="",IF(TITLE_DATE_PR="","",TITLE_DATE_PR),TITLE_DATE_PR_CHANGE)</f>
        <v>45205</v>
      </c>
      <c r="AE36" s="2099"/>
      <c r="AF36" s="2099"/>
      <c r="AG36" s="2099"/>
      <c r="AH36" s="2099"/>
      <c r="AI36" s="2099"/>
      <c r="AJ36" s="2099"/>
      <c r="AK36" s="2099"/>
      <c r="AL36" s="2099"/>
      <c r="AM36" s="2099"/>
      <c r="AN36" s="2099"/>
      <c r="AO36" s="2099"/>
      <c r="AP36" s="2099"/>
      <c r="AQ36" s="2099"/>
      <c r="AR36" s="2099"/>
      <c r="AS36" s="2099"/>
      <c r="AT36" s="2099"/>
      <c r="AU36" s="2099"/>
      <c r="AV36" s="2099"/>
      <c r="AW36" s="2099"/>
      <c r="AX36" s="2099"/>
      <c r="AY36" s="2099"/>
      <c r="AZ36" s="2099"/>
      <c r="BA36" s="322"/>
      <c r="BB36" s="322"/>
      <c r="BC36" s="268"/>
      <c r="BD36" s="368"/>
      <c r="BE36" s="368"/>
      <c r="BF36" s="368"/>
      <c r="BG36" s="368"/>
      <c r="BH36" s="368"/>
    </row>
    <row s="3345" customFormat="1" customHeight="1" ht="18.75" hidden="1">
      <c r="A37" s="1398"/>
      <c r="B37" s="1398"/>
      <c r="C37" s="1398"/>
      <c r="D37" s="1398"/>
      <c r="E37" s="1398"/>
      <c r="F37" s="1398"/>
      <c r="G37" s="1398"/>
      <c r="H37" s="1398"/>
      <c r="I37" s="1398"/>
      <c r="J37" s="1398"/>
      <c r="K37" s="1398"/>
      <c r="L37" s="1399"/>
      <c r="M37" s="1398"/>
      <c r="N37" s="1398"/>
      <c r="O37" s="1398"/>
      <c r="P37" s="1398"/>
      <c r="Q37" s="1398"/>
      <c r="S37" s="2098" t="s">
        <v>636</v>
      </c>
      <c r="T37" s="2098"/>
      <c r="U37" s="1402"/>
      <c r="V37" s="2100" t="str">
        <f>IF(TITLE_NUMBER_PR_CHANGE="",IF(TITLE_NUMBER_PR="","",TITLE_NUMBER_PR),TITLE_NUMBER_PR_CHANGE)</f>
        <v>36/2</v>
      </c>
      <c r="W37" s="2100"/>
      <c r="X37" s="2100"/>
      <c r="Y37" s="2100"/>
      <c r="Z37" s="2100"/>
      <c r="AA37" s="2100"/>
      <c r="AB37" s="2100"/>
      <c r="AC37" s="322"/>
      <c r="AD37" s="2100" t="str">
        <f>IF(TITLE_NUMBER_PR_CHANGE="",IF(TITLE_NUMBER_PR="","",TITLE_NUMBER_PR),TITLE_NUMBER_PR_CHANGE)</f>
        <v>36/2</v>
      </c>
      <c r="AE37" s="2100"/>
      <c r="AF37" s="2100"/>
      <c r="AG37" s="2100"/>
      <c r="AH37" s="2100"/>
      <c r="AI37" s="2100"/>
      <c r="AJ37" s="2100"/>
      <c r="AK37" s="2100"/>
      <c r="AL37" s="2100"/>
      <c r="AM37" s="2100"/>
      <c r="AN37" s="2100"/>
      <c r="AO37" s="2100"/>
      <c r="AP37" s="2100"/>
      <c r="AQ37" s="2100"/>
      <c r="AR37" s="2100"/>
      <c r="AS37" s="2100"/>
      <c r="AT37" s="2100"/>
      <c r="AU37" s="2100"/>
      <c r="AV37" s="2100"/>
      <c r="AW37" s="2100"/>
      <c r="AX37" s="2100"/>
      <c r="AY37" s="2100"/>
      <c r="AZ37" s="2100"/>
      <c r="BA37" s="322"/>
      <c r="BB37" s="322"/>
      <c r="BC37" s="268"/>
      <c r="BD37" s="368"/>
      <c r="BE37" s="368"/>
      <c r="BF37" s="368"/>
      <c r="BG37" s="368"/>
      <c r="BH37" s="368"/>
    </row>
    <row s="3345" customFormat="1" customHeight="1" ht="0">
      <c r="A38" s="1398"/>
      <c r="B38" s="1398"/>
      <c r="C38" s="1398"/>
      <c r="D38" s="1398"/>
      <c r="E38" s="1398"/>
      <c r="F38" s="1398"/>
      <c r="G38" s="1398"/>
      <c r="H38" s="1398"/>
      <c r="I38" s="1398"/>
      <c r="J38" s="1398"/>
      <c r="K38" s="1398"/>
      <c r="L38" s="1399"/>
      <c r="M38" s="1398"/>
      <c r="N38" s="1398"/>
      <c r="O38" s="1398"/>
      <c r="P38" s="1398"/>
      <c r="Q38" s="1398"/>
      <c r="S38" s="318"/>
      <c r="T38" s="318"/>
      <c r="U38" s="1518"/>
      <c r="V38" s="322"/>
      <c r="W38" s="322"/>
      <c r="X38" s="322"/>
      <c r="Y38" s="322"/>
      <c r="Z38" s="322"/>
      <c r="AA38" s="322"/>
      <c r="AB38" s="322"/>
      <c r="AC38" s="266" t="s">
        <v>639</v>
      </c>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266" t="s">
        <v>639</v>
      </c>
      <c r="BD38" s="368"/>
      <c r="BE38" s="368"/>
      <c r="BF38" s="368"/>
      <c r="BG38" s="368"/>
      <c r="BH38" s="368"/>
    </row>
    <row customHeight="1" ht="14.25">
      <c r="Q39" s="279"/>
      <c r="R39" s="377"/>
      <c r="S39" s="1305"/>
      <c r="T39" s="361"/>
      <c r="U39" s="1262"/>
      <c r="V39" s="2124"/>
      <c r="W39" s="2124"/>
      <c r="X39" s="2124"/>
      <c r="Y39" s="2124"/>
      <c r="Z39" s="2124"/>
      <c r="AA39" s="2124"/>
      <c r="AB39" s="2124"/>
      <c r="AC39" s="2124"/>
      <c r="AD39" s="2124"/>
      <c r="AE39" s="2124"/>
      <c r="AF39" s="2124"/>
      <c r="AG39" s="2124"/>
      <c r="AH39" s="2124"/>
      <c r="AI39" s="2124"/>
      <c r="AJ39" s="2124"/>
      <c r="AK39" s="2124"/>
      <c r="AL39" s="2124"/>
      <c r="AM39" s="2124"/>
      <c r="AN39" s="2124"/>
      <c r="AO39" s="2124"/>
      <c r="AP39" s="2124"/>
      <c r="AQ39" s="2124"/>
      <c r="AR39" s="2124"/>
      <c r="AS39" s="2124"/>
      <c r="AT39" s="2124"/>
      <c r="AU39" s="2124"/>
      <c r="AV39" s="2124"/>
      <c r="AW39" s="2124"/>
      <c r="AX39" s="2124"/>
      <c r="AY39" s="2124"/>
      <c r="AZ39" s="2124"/>
      <c r="BA39" s="2124"/>
    </row>
    <row customHeight="1" ht="14.25">
      <c r="Q40" s="279"/>
      <c r="R40" s="377"/>
      <c r="S40" s="1971" t="s">
        <v>513</v>
      </c>
      <c r="T40" s="1971"/>
      <c r="U40" s="1971"/>
      <c r="V40" s="1971"/>
      <c r="W40" s="1971"/>
      <c r="X40" s="1971"/>
      <c r="Y40" s="1971"/>
      <c r="Z40" s="1971"/>
      <c r="AA40" s="1971"/>
      <c r="AB40" s="1971"/>
      <c r="AC40" s="1971"/>
      <c r="AD40" s="1971"/>
      <c r="AE40" s="1971"/>
      <c r="AF40" s="1971"/>
      <c r="AG40" s="1971"/>
      <c r="AH40" s="1971"/>
      <c r="AI40" s="1971"/>
      <c r="AJ40" s="1971"/>
      <c r="AK40" s="1971"/>
      <c r="AL40" s="1971"/>
      <c r="AM40" s="1971"/>
      <c r="AN40" s="1971"/>
      <c r="AO40" s="1971"/>
      <c r="AP40" s="1971"/>
      <c r="AQ40" s="1971"/>
      <c r="AR40" s="1971"/>
      <c r="AS40" s="1971"/>
      <c r="AT40" s="1971"/>
      <c r="AU40" s="1971"/>
      <c r="AV40" s="1971"/>
      <c r="AW40" s="1971"/>
      <c r="AX40" s="1971"/>
      <c r="AY40" s="1971"/>
      <c r="AZ40" s="1971"/>
      <c r="BA40" s="1971"/>
      <c r="BB40" s="1971"/>
      <c r="BC40" s="1971" t="s">
        <v>514</v>
      </c>
    </row>
    <row customHeight="1" ht="14.25">
      <c r="Q41" s="279"/>
      <c r="R41" s="377"/>
      <c r="S41" s="2125" t="s">
        <v>89</v>
      </c>
      <c r="T41" s="2062" t="s">
        <v>720</v>
      </c>
      <c r="U41" s="289"/>
      <c r="V41" s="2126" t="s">
        <v>641</v>
      </c>
      <c r="W41" s="2127"/>
      <c r="X41" s="2127"/>
      <c r="Y41" s="2127"/>
      <c r="Z41" s="2127"/>
      <c r="AA41" s="2127"/>
      <c r="AB41" s="2128"/>
      <c r="AC41" s="2129" t="s">
        <v>642</v>
      </c>
      <c r="AD41" s="2173" t="s">
        <v>721</v>
      </c>
      <c r="AE41" s="2146"/>
      <c r="AF41" s="2146"/>
      <c r="AG41" s="2174"/>
      <c r="AH41" s="2173" t="s">
        <v>722</v>
      </c>
      <c r="AI41" s="2146"/>
      <c r="AJ41" s="2146"/>
      <c r="AK41" s="2174"/>
      <c r="AL41" s="2173" t="s">
        <v>723</v>
      </c>
      <c r="AM41" s="2146"/>
      <c r="AN41" s="2146"/>
      <c r="AO41" s="2174"/>
      <c r="AP41" s="2173" t="s">
        <v>724</v>
      </c>
      <c r="AQ41" s="2146"/>
      <c r="AR41" s="2146"/>
      <c r="AS41" s="2174"/>
      <c r="AT41" s="2126" t="s">
        <v>641</v>
      </c>
      <c r="AU41" s="2127"/>
      <c r="AV41" s="2127"/>
      <c r="AW41" s="2127"/>
      <c r="AX41" s="2127"/>
      <c r="AY41" s="2127"/>
      <c r="AZ41" s="2128"/>
      <c r="BA41" s="2129" t="s">
        <v>642</v>
      </c>
      <c r="BB41" s="2132" t="s">
        <v>644</v>
      </c>
      <c r="BC41" s="1971"/>
    </row>
    <row customHeight="1" ht="33.75">
      <c r="Q42" s="279"/>
      <c r="R42" s="377"/>
      <c r="S42" s="2125"/>
      <c r="T42" s="2062"/>
      <c r="U42" s="1038"/>
      <c r="V42" s="2029" t="s">
        <v>725</v>
      </c>
      <c r="W42" s="2030"/>
      <c r="X42" s="2029" t="s">
        <v>726</v>
      </c>
      <c r="Y42" s="2030"/>
      <c r="Z42" s="2144" t="s">
        <v>727</v>
      </c>
      <c r="AA42" s="2162"/>
      <c r="AB42" s="2163"/>
      <c r="AC42" s="2130"/>
      <c r="AD42" s="2175"/>
      <c r="AE42" s="2176"/>
      <c r="AF42" s="2176"/>
      <c r="AG42" s="2188"/>
      <c r="AH42" s="2175"/>
      <c r="AI42" s="2176"/>
      <c r="AJ42" s="2176"/>
      <c r="AK42" s="2188"/>
      <c r="AL42" s="2175"/>
      <c r="AM42" s="2176"/>
      <c r="AN42" s="2176"/>
      <c r="AO42" s="2188"/>
      <c r="AP42" s="2175"/>
      <c r="AQ42" s="2176"/>
      <c r="AR42" s="2176"/>
      <c r="AS42" s="2188"/>
      <c r="AT42" s="2029" t="s">
        <v>725</v>
      </c>
      <c r="AU42" s="2030"/>
      <c r="AV42" s="2029" t="s">
        <v>726</v>
      </c>
      <c r="AW42" s="2030"/>
      <c r="AX42" s="2144" t="s">
        <v>727</v>
      </c>
      <c r="AY42" s="2162"/>
      <c r="AZ42" s="2163"/>
      <c r="BA42" s="2130"/>
      <c r="BB42" s="2133"/>
      <c r="BC42" s="1971"/>
    </row>
    <row customHeight="1" ht="14.25">
      <c r="Q43" s="279"/>
      <c r="R43" s="377"/>
      <c r="S43" s="2125"/>
      <c r="T43" s="2062"/>
      <c r="U43" s="1038"/>
      <c r="V43" s="2037"/>
      <c r="W43" s="2038"/>
      <c r="X43" s="2037"/>
      <c r="Y43" s="2038"/>
      <c r="Z43" s="2145"/>
      <c r="AA43" s="2164"/>
      <c r="AB43" s="2165"/>
      <c r="AC43" s="2130"/>
      <c r="AD43" s="2175"/>
      <c r="AE43" s="2176"/>
      <c r="AF43" s="2176"/>
      <c r="AG43" s="2188"/>
      <c r="AH43" s="2175"/>
      <c r="AI43" s="2176"/>
      <c r="AJ43" s="2176"/>
      <c r="AK43" s="2188"/>
      <c r="AL43" s="2175"/>
      <c r="AM43" s="2176"/>
      <c r="AN43" s="2176"/>
      <c r="AO43" s="2188"/>
      <c r="AP43" s="2175"/>
      <c r="AQ43" s="2176"/>
      <c r="AR43" s="2176"/>
      <c r="AS43" s="2188"/>
      <c r="AT43" s="2037"/>
      <c r="AU43" s="2038"/>
      <c r="AV43" s="2037"/>
      <c r="AW43" s="2038"/>
      <c r="AX43" s="2145"/>
      <c r="AY43" s="2164"/>
      <c r="AZ43" s="2165"/>
      <c r="BA43" s="2130"/>
      <c r="BB43" s="2133"/>
      <c r="BC43" s="1971"/>
    </row>
    <row customHeight="1" ht="14.25">
      <c r="A44" s="1400"/>
      <c r="B44" s="1400" t="s">
        <v>216</v>
      </c>
      <c r="C44" s="1400" t="s">
        <v>217</v>
      </c>
      <c r="D44" s="1400" t="s">
        <v>218</v>
      </c>
      <c r="E44" s="1394" t="s">
        <v>649</v>
      </c>
      <c r="F44" s="1394" t="s">
        <v>650</v>
      </c>
      <c r="G44" s="1394" t="s">
        <v>651</v>
      </c>
      <c r="H44" s="1394" t="s">
        <v>652</v>
      </c>
      <c r="I44" s="1394" t="s">
        <v>653</v>
      </c>
      <c r="J44" s="1394" t="s">
        <v>654</v>
      </c>
      <c r="K44" s="1394" t="s">
        <v>655</v>
      </c>
      <c r="L44" s="1394" t="s">
        <v>630</v>
      </c>
      <c r="Q44" s="279"/>
      <c r="R44" s="377"/>
      <c r="S44" s="2125"/>
      <c r="T44" s="2062"/>
      <c r="U44" s="290"/>
      <c r="V44" s="1509" t="s">
        <v>693</v>
      </c>
      <c r="W44" s="1509" t="s">
        <v>694</v>
      </c>
      <c r="X44" s="1509" t="s">
        <v>693</v>
      </c>
      <c r="Y44" s="1509" t="s">
        <v>694</v>
      </c>
      <c r="Z44" s="1519" t="s">
        <v>658</v>
      </c>
      <c r="AA44" s="2121" t="s">
        <v>659</v>
      </c>
      <c r="AB44" s="2122"/>
      <c r="AC44" s="2131"/>
      <c r="AD44" s="2177"/>
      <c r="AE44" s="2178"/>
      <c r="AF44" s="2178"/>
      <c r="AG44" s="2179"/>
      <c r="AH44" s="2177"/>
      <c r="AI44" s="2178"/>
      <c r="AJ44" s="2178"/>
      <c r="AK44" s="2179"/>
      <c r="AL44" s="2177"/>
      <c r="AM44" s="2178"/>
      <c r="AN44" s="2178"/>
      <c r="AO44" s="2179"/>
      <c r="AP44" s="2177"/>
      <c r="AQ44" s="2178"/>
      <c r="AR44" s="2178"/>
      <c r="AS44" s="2179"/>
      <c r="AT44" s="1509" t="s">
        <v>693</v>
      </c>
      <c r="AU44" s="1509" t="s">
        <v>694</v>
      </c>
      <c r="AV44" s="1509" t="s">
        <v>693</v>
      </c>
      <c r="AW44" s="1509" t="s">
        <v>694</v>
      </c>
      <c r="AX44" s="1519" t="s">
        <v>658</v>
      </c>
      <c r="AY44" s="2121" t="s">
        <v>659</v>
      </c>
      <c r="AZ44" s="2122"/>
      <c r="BA44" s="2131"/>
      <c r="BB44" s="2134"/>
      <c r="BC44" s="1971"/>
    </row>
    <row s="2611" customFormat="1" customHeight="1" ht="0">
      <c r="A45" s="1400"/>
      <c r="B45" s="1400"/>
      <c r="C45" s="1400"/>
      <c r="D45" s="1400"/>
      <c r="E45" s="1400"/>
      <c r="F45" s="1400"/>
      <c r="G45" s="1400"/>
      <c r="H45" s="1400"/>
      <c r="I45" s="1400"/>
      <c r="J45" s="1400"/>
      <c r="K45" s="1400"/>
      <c r="L45" s="1394"/>
      <c r="M45" s="1392"/>
      <c r="N45" s="1392"/>
      <c r="O45" s="1392"/>
      <c r="P45" s="516"/>
      <c r="Q45" s="1280"/>
      <c r="R45" s="1280">
        <v>1</v>
      </c>
      <c r="S45" s="1307" t="s">
        <v>193</v>
      </c>
      <c r="T45" s="1281" t="s">
        <v>104</v>
      </c>
      <c r="U45" s="1263" t="str">
        <f>OFFSET(U45,0,-1)</f>
        <v>2</v>
      </c>
      <c r="V45" s="1512">
        <f>OFFSET(V45,0,-1)+1</f>
        <v>3</v>
      </c>
      <c r="W45" s="1512">
        <f>OFFSET(W45,0,-1)+1</f>
        <v>4</v>
      </c>
      <c r="X45" s="1512">
        <f>OFFSET(X45,0,-1)+1</f>
        <v>5</v>
      </c>
      <c r="Y45" s="1512">
        <f>OFFSET(Y45,0,-1)+1</f>
        <v>6</v>
      </c>
      <c r="Z45" s="1512">
        <f>OFFSET(Z45,0,-1)+1</f>
        <v>7</v>
      </c>
      <c r="AA45" s="2123">
        <f>OFFSET(AA45,0,-1)+1</f>
        <v>8</v>
      </c>
      <c r="AB45" s="2123"/>
      <c r="AC45" s="1512">
        <f>OFFSET(AC45,0,-2)+1</f>
        <v>9</v>
      </c>
      <c r="AD45" s="1512">
        <f>OFFSET(AD45,0,-1)+1</f>
        <v>10</v>
      </c>
      <c r="AE45" s="1512"/>
      <c r="AF45" s="1512"/>
      <c r="AG45" s="1512"/>
      <c r="AH45" s="1512"/>
      <c r="AI45" s="1512"/>
      <c r="AJ45" s="1512"/>
      <c r="AK45" s="1512"/>
      <c r="AL45" s="1512"/>
      <c r="AM45" s="1512"/>
      <c r="AN45" s="1512"/>
      <c r="AO45" s="1512"/>
      <c r="AP45" s="1512"/>
      <c r="AQ45" s="1512"/>
      <c r="AR45" s="1512"/>
      <c r="AS45" s="1512"/>
      <c r="AT45" s="1512"/>
      <c r="AU45" s="1512"/>
      <c r="AV45" s="1512"/>
      <c r="AW45" s="1512">
        <f>OFFSET(AW45,0,-1)+1</f>
        <v>1</v>
      </c>
      <c r="AX45" s="1512">
        <f>OFFSET(AX45,0,-1)+1</f>
        <v>2</v>
      </c>
      <c r="AY45" s="2123">
        <f>OFFSET(AY45,0,-1)+1</f>
        <v>3</v>
      </c>
      <c r="AZ45" s="2123"/>
      <c r="BA45" s="1512">
        <f>OFFSET(BA45,0,-2)+1</f>
        <v>4</v>
      </c>
      <c r="BB45" s="1263">
        <f>OFFSET(BB45,0,-1)</f>
        <v>4</v>
      </c>
      <c r="BC45" s="1512">
        <f>OFFSET(BC45,0,-1)+1</f>
        <v>5</v>
      </c>
      <c r="BD45" s="517"/>
      <c r="BE45" s="517"/>
      <c r="BF45" s="517"/>
      <c r="BG45" s="517"/>
      <c r="BH45" s="517"/>
    </row>
    <row customHeight="1" ht="21">
      <c r="A46" s="1393" t="s">
        <v>474</v>
      </c>
      <c r="B46" s="1393"/>
      <c r="C46" s="1393"/>
      <c r="D46" s="1393"/>
      <c r="E46" s="2107">
        <v>1</v>
      </c>
      <c r="F46" s="1393"/>
      <c r="G46" s="1393"/>
      <c r="H46" s="1393"/>
      <c r="I46" s="1393"/>
      <c r="J46" s="1393"/>
      <c r="K46" s="1393"/>
      <c r="L46" s="1394"/>
      <c r="M46" s="1395"/>
      <c r="N46" s="1395"/>
      <c r="O46" s="1395"/>
      <c r="P46" s="1439"/>
      <c r="Q46" s="879"/>
      <c r="R46" s="351"/>
      <c r="S46" s="1523">
        <f>INDEX(PT_DIFFERENTIATION_NUM_NTAR,MATCH(A46,PT_DIFFERENTIATION_NTAR_ID,0))</f>
        <v>0</v>
      </c>
      <c r="T46" s="286" t="s">
        <v>204</v>
      </c>
      <c r="U46" s="288"/>
      <c r="V46" s="2102"/>
      <c r="W46" s="2102"/>
      <c r="X46" s="2102"/>
      <c r="Y46" s="2102"/>
      <c r="Z46" s="2102"/>
      <c r="AA46" s="2102"/>
      <c r="AB46" s="2102"/>
      <c r="AC46" s="2103"/>
      <c r="AD46" s="2101" t="str">
        <f>INDEX(PT_DIFFERENTIATION_NTAR,MATCH(A46,PT_DIFFERENTIATION_NTAR_ID,0))</f>
        <v/>
      </c>
      <c r="AE46" s="2102"/>
      <c r="AF46" s="2102"/>
      <c r="AG46" s="2102"/>
      <c r="AH46" s="2102"/>
      <c r="AI46" s="2102"/>
      <c r="AJ46" s="2102"/>
      <c r="AK46" s="2102"/>
      <c r="AL46" s="2102"/>
      <c r="AM46" s="2102"/>
      <c r="AN46" s="2102"/>
      <c r="AO46" s="2102"/>
      <c r="AP46" s="2102"/>
      <c r="AQ46" s="2102"/>
      <c r="AR46" s="2102"/>
      <c r="AS46" s="2102"/>
      <c r="AT46" s="2102"/>
      <c r="AU46" s="2102"/>
      <c r="AV46" s="2102"/>
      <c r="AW46" s="2102"/>
      <c r="AX46" s="2102"/>
      <c r="AY46" s="2102"/>
      <c r="AZ46" s="2102"/>
      <c r="BA46" s="2102"/>
      <c r="BB46" s="2103"/>
      <c r="BC46"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506"/>
      <c r="BF46" s="506" t="str">
        <f>IF(T46="","",T46)</f>
        <v>Наименование тарифа</v>
      </c>
      <c r="BG46" s="506"/>
      <c r="BH46" s="506"/>
    </row>
    <row customHeight="1" ht="21">
      <c r="A47" s="1393" t="s">
        <v>474</v>
      </c>
      <c r="B47" s="1393" t="s">
        <v>475</v>
      </c>
      <c r="C47" s="1393"/>
      <c r="D47" s="1393"/>
      <c r="E47" s="2108"/>
      <c r="F47" s="2107">
        <v>1</v>
      </c>
      <c r="G47" s="1393"/>
      <c r="H47" s="1393"/>
      <c r="I47" s="1393"/>
      <c r="J47" s="1393"/>
      <c r="K47" s="1393"/>
      <c r="L47" s="1394"/>
      <c r="M47" s="1395"/>
      <c r="N47" s="1395"/>
      <c r="O47" s="1395"/>
      <c r="P47" s="1440"/>
      <c r="Q47" s="1441"/>
      <c r="R47" s="349"/>
      <c r="S47" s="1523" t="str">
        <f>INDEX(PT_DIFFERENTIATION_NUM_TER,MATCH(B47,PT_DIFFERENTIATION_TER_ID,0))</f>
        <v>.</v>
      </c>
      <c r="T47" s="298" t="s">
        <v>612</v>
      </c>
      <c r="U47" s="288"/>
      <c r="V47" s="2102"/>
      <c r="W47" s="2102"/>
      <c r="X47" s="2102"/>
      <c r="Y47" s="2102"/>
      <c r="Z47" s="2102"/>
      <c r="AA47" s="2102"/>
      <c r="AB47" s="2102"/>
      <c r="AC47" s="2103"/>
      <c r="AD47" s="2101" t="str">
        <f>INDEX(PT_DIFFERENTIATION_TER,MATCH(B47,PT_DIFFERENTIATION_TER_ID,0))</f>
        <v/>
      </c>
      <c r="AE47" s="2102"/>
      <c r="AF47" s="2102"/>
      <c r="AG47" s="2102"/>
      <c r="AH47" s="2102"/>
      <c r="AI47" s="2102"/>
      <c r="AJ47" s="2102"/>
      <c r="AK47" s="2102"/>
      <c r="AL47" s="2102"/>
      <c r="AM47" s="2102"/>
      <c r="AN47" s="2102"/>
      <c r="AO47" s="2102"/>
      <c r="AP47" s="2102"/>
      <c r="AQ47" s="2102"/>
      <c r="AR47" s="2102"/>
      <c r="AS47" s="2102"/>
      <c r="AT47" s="2102"/>
      <c r="AU47" s="2102"/>
      <c r="AV47" s="2102"/>
      <c r="AW47" s="2102"/>
      <c r="AX47" s="2102"/>
      <c r="AY47" s="2102"/>
      <c r="AZ47" s="2102"/>
      <c r="BA47" s="2102"/>
      <c r="BB47" s="2103"/>
      <c r="BC47" s="1286" t="s">
        <v>613</v>
      </c>
      <c r="BE47" s="506"/>
      <c r="BF47" s="506" t="str">
        <f>IF(T47="","",T47)</f>
        <v>Территория действия тарифа</v>
      </c>
      <c r="BG47" s="506"/>
      <c r="BH47" s="506"/>
    </row>
    <row customHeight="1" ht="33.75">
      <c r="A48" s="1393" t="s">
        <v>474</v>
      </c>
      <c r="B48" s="1393" t="s">
        <v>475</v>
      </c>
      <c r="C48" s="1393" t="s">
        <v>476</v>
      </c>
      <c r="D48" s="1393"/>
      <c r="E48" s="2108"/>
      <c r="F48" s="2108"/>
      <c r="G48" s="2107">
        <v>1</v>
      </c>
      <c r="H48" s="1393"/>
      <c r="I48" s="1393"/>
      <c r="J48" s="1393"/>
      <c r="K48" s="1393"/>
      <c r="L48" s="1394"/>
      <c r="M48" s="1395"/>
      <c r="N48" s="1395"/>
      <c r="O48" s="1395"/>
      <c r="P48" s="1442"/>
      <c r="Q48" s="1441"/>
      <c r="R48" s="349"/>
      <c r="S48" s="1523" t="str">
        <f>INDEX(PT_DIFFERENTIATION_NUM_CS,MATCH(C48,PT_DIFFERENTIATION_CS_ID,0))</f>
        <v>..</v>
      </c>
      <c r="T48" s="299" t="s">
        <v>743</v>
      </c>
      <c r="U48" s="288"/>
      <c r="V48" s="2102"/>
      <c r="W48" s="2102"/>
      <c r="X48" s="2102"/>
      <c r="Y48" s="2102"/>
      <c r="Z48" s="2102"/>
      <c r="AA48" s="2102"/>
      <c r="AB48" s="2102"/>
      <c r="AC48" s="2103"/>
      <c r="AD48" s="2101" t="str">
        <f>INDEX(PT_DIFFERENTIATION_CS,MATCH(C48,PT_DIFFERENTIATION_CS_ID,0))</f>
        <v/>
      </c>
      <c r="AE48" s="2102"/>
      <c r="AF48" s="2102"/>
      <c r="AG48" s="2102"/>
      <c r="AH48" s="2102"/>
      <c r="AI48" s="2102"/>
      <c r="AJ48" s="2102"/>
      <c r="AK48" s="2102"/>
      <c r="AL48" s="2102"/>
      <c r="AM48" s="2102"/>
      <c r="AN48" s="2102"/>
      <c r="AO48" s="2102"/>
      <c r="AP48" s="2102"/>
      <c r="AQ48" s="2102"/>
      <c r="AR48" s="2102"/>
      <c r="AS48" s="2102"/>
      <c r="AT48" s="2102"/>
      <c r="AU48" s="2102"/>
      <c r="AV48" s="2102"/>
      <c r="AW48" s="2102"/>
      <c r="AX48" s="2102"/>
      <c r="AY48" s="2102"/>
      <c r="AZ48" s="2102"/>
      <c r="BA48" s="2102"/>
      <c r="BB48" s="2103"/>
      <c r="BC48" s="1286" t="s">
        <v>744</v>
      </c>
      <c r="BE48" s="506"/>
      <c r="BF48" s="506" t="str">
        <f>IF(T48="","",T48)</f>
        <v>Наименование централизованной системы горячего водоснабжения</v>
      </c>
      <c r="BG48" s="506"/>
      <c r="BH48" s="506"/>
    </row>
    <row s="2612" customFormat="1" customHeight="1" ht="0">
      <c r="A49" s="1373" t="s">
        <v>474</v>
      </c>
      <c r="B49" s="1373" t="s">
        <v>475</v>
      </c>
      <c r="C49" s="1373" t="s">
        <v>476</v>
      </c>
      <c r="D49" s="1373" t="s">
        <v>751</v>
      </c>
      <c r="E49" s="2108"/>
      <c r="F49" s="2108"/>
      <c r="G49" s="2108"/>
      <c r="H49" s="2107">
        <v>1</v>
      </c>
      <c r="I49" s="1373"/>
      <c r="J49" s="1373"/>
      <c r="K49" s="1373"/>
      <c r="L49" s="1376"/>
      <c r="M49" s="1345"/>
      <c r="N49" s="1345"/>
      <c r="O49" s="1345"/>
      <c r="P49" s="1527"/>
      <c r="Q49" s="1528"/>
      <c r="R49" s="353"/>
      <c r="S49" s="1049"/>
      <c r="T49" s="1529"/>
      <c r="U49" s="1414"/>
      <c r="V49" s="2148"/>
      <c r="W49" s="2148"/>
      <c r="X49" s="2148"/>
      <c r="Y49" s="2148"/>
      <c r="Z49" s="2148"/>
      <c r="AA49" s="2148"/>
      <c r="AB49" s="2148"/>
      <c r="AC49" s="2149"/>
      <c r="AD49" s="2147"/>
      <c r="AE49" s="2148"/>
      <c r="AF49" s="2148"/>
      <c r="AG49" s="2148"/>
      <c r="AH49" s="2148"/>
      <c r="AI49" s="2148"/>
      <c r="AJ49" s="2148"/>
      <c r="AK49" s="2148"/>
      <c r="AL49" s="2148"/>
      <c r="AM49" s="2148"/>
      <c r="AN49" s="2148"/>
      <c r="AO49" s="2148"/>
      <c r="AP49" s="2148"/>
      <c r="AQ49" s="2148"/>
      <c r="AR49" s="2148"/>
      <c r="AS49" s="2148"/>
      <c r="AT49" s="2148"/>
      <c r="AU49" s="2148"/>
      <c r="AV49" s="2148"/>
      <c r="AW49" s="2148"/>
      <c r="AX49" s="2148"/>
      <c r="AY49" s="2148"/>
      <c r="AZ49" s="2148"/>
      <c r="BA49" s="2148"/>
      <c r="BB49" s="2149"/>
      <c r="BC49" s="1415" t="s">
        <v>617</v>
      </c>
      <c r="BE49" s="506"/>
      <c r="BF49" s="506" t="str">
        <f>IF(T49="","",T49)</f>
        <v/>
      </c>
      <c r="BG49" s="506"/>
      <c r="BH49" s="506"/>
    </row>
    <row s="2612" customFormat="1" customHeight="1" ht="0">
      <c r="A50" s="1373" t="s">
        <v>474</v>
      </c>
      <c r="B50" s="1373" t="s">
        <v>475</v>
      </c>
      <c r="C50" s="1373" t="s">
        <v>476</v>
      </c>
      <c r="D50" s="1373" t="s">
        <v>751</v>
      </c>
      <c r="E50" s="2108"/>
      <c r="F50" s="2108"/>
      <c r="G50" s="2108"/>
      <c r="H50" s="2108"/>
      <c r="I50" s="2109" t="str">
        <f>S49&amp;".1"</f>
        <v>.1</v>
      </c>
      <c r="J50" s="1373"/>
      <c r="K50" s="1373"/>
      <c r="L50" s="1376" t="s">
        <v>618</v>
      </c>
      <c r="M50" s="516"/>
      <c r="N50" s="516"/>
      <c r="O50" s="516"/>
      <c r="P50" s="2111">
        <v>1</v>
      </c>
      <c r="Q50" s="1511"/>
      <c r="R50" s="352"/>
      <c r="S50" s="1049"/>
      <c r="T50" s="1413"/>
      <c r="U50" s="1414"/>
      <c r="V50" s="2148"/>
      <c r="W50" s="2148"/>
      <c r="X50" s="2148"/>
      <c r="Y50" s="2148"/>
      <c r="Z50" s="2148"/>
      <c r="AA50" s="2148"/>
      <c r="AB50" s="2148"/>
      <c r="AC50" s="2149"/>
      <c r="AD50" s="2147"/>
      <c r="AE50" s="2148"/>
      <c r="AF50" s="2148"/>
      <c r="AG50" s="2148"/>
      <c r="AH50" s="2148"/>
      <c r="AI50" s="2148"/>
      <c r="AJ50" s="2148"/>
      <c r="AK50" s="2148"/>
      <c r="AL50" s="2148"/>
      <c r="AM50" s="2148"/>
      <c r="AN50" s="2148"/>
      <c r="AO50" s="2148"/>
      <c r="AP50" s="2148"/>
      <c r="AQ50" s="2148"/>
      <c r="AR50" s="2148"/>
      <c r="AS50" s="2148"/>
      <c r="AT50" s="2148"/>
      <c r="AU50" s="2148"/>
      <c r="AV50" s="2148"/>
      <c r="AW50" s="2148"/>
      <c r="AX50" s="2148"/>
      <c r="AY50" s="2148"/>
      <c r="AZ50" s="2148"/>
      <c r="BA50" s="2148"/>
      <c r="BB50" s="2149"/>
      <c r="BC50" s="1415"/>
      <c r="BE50" s="506"/>
      <c r="BF50" s="506" t="str">
        <f>IF(T50="","",T50)</f>
        <v/>
      </c>
      <c r="BG50" s="506"/>
      <c r="BH50" s="506"/>
    </row>
    <row s="2612" customFormat="1" customHeight="1" ht="0">
      <c r="A51" s="1373" t="s">
        <v>474</v>
      </c>
      <c r="B51" s="1373" t="s">
        <v>475</v>
      </c>
      <c r="C51" s="1373" t="s">
        <v>476</v>
      </c>
      <c r="D51" s="1373" t="s">
        <v>751</v>
      </c>
      <c r="E51" s="2108"/>
      <c r="F51" s="2108"/>
      <c r="G51" s="2108"/>
      <c r="H51" s="2108"/>
      <c r="I51" s="2110"/>
      <c r="J51" s="2109" t="str">
        <f>S49&amp;".1"</f>
        <v>.1</v>
      </c>
      <c r="K51" s="1373"/>
      <c r="L51" s="1376"/>
      <c r="M51" s="516"/>
      <c r="N51" s="516"/>
      <c r="O51" s="516"/>
      <c r="P51" s="2111"/>
      <c r="Q51" s="2111">
        <v>1</v>
      </c>
      <c r="R51" s="353"/>
      <c r="S51" s="1049"/>
      <c r="T51" s="1429"/>
      <c r="U51" s="1414"/>
      <c r="V51" s="2148"/>
      <c r="W51" s="2148"/>
      <c r="X51" s="2148"/>
      <c r="Y51" s="2148"/>
      <c r="Z51" s="2148"/>
      <c r="AA51" s="2148"/>
      <c r="AB51" s="2148"/>
      <c r="AC51" s="2149"/>
      <c r="AD51" s="2147"/>
      <c r="AE51" s="2148"/>
      <c r="AF51" s="2148"/>
      <c r="AG51" s="2148"/>
      <c r="AH51" s="2148"/>
      <c r="AI51" s="2148"/>
      <c r="AJ51" s="2148"/>
      <c r="AK51" s="2148"/>
      <c r="AL51" s="2148"/>
      <c r="AM51" s="2148"/>
      <c r="AN51" s="2209"/>
      <c r="AO51" s="2209"/>
      <c r="AP51" s="2148"/>
      <c r="AQ51" s="2148"/>
      <c r="AR51" s="2148"/>
      <c r="AS51" s="2148"/>
      <c r="AT51" s="2148"/>
      <c r="AU51" s="2148"/>
      <c r="AV51" s="2148"/>
      <c r="AW51" s="2148"/>
      <c r="AX51" s="2148"/>
      <c r="AY51" s="2148"/>
      <c r="AZ51" s="2148"/>
      <c r="BA51" s="2148"/>
      <c r="BB51" s="2149"/>
      <c r="BC51" s="1415"/>
      <c r="BE51" s="506"/>
      <c r="BF51" s="506" t="str">
        <f>IF(T51="","",T51)</f>
        <v/>
      </c>
      <c r="BG51" s="506"/>
      <c r="BH51" s="506"/>
    </row>
    <row customHeight="1" ht="11.25">
      <c r="A52" s="1393" t="s">
        <v>474</v>
      </c>
      <c r="B52" s="1393" t="s">
        <v>475</v>
      </c>
      <c r="C52" s="1393" t="s">
        <v>476</v>
      </c>
      <c r="D52" s="1393" t="s">
        <v>751</v>
      </c>
      <c r="E52" s="2108"/>
      <c r="F52" s="2108"/>
      <c r="G52" s="2108"/>
      <c r="H52" s="2108"/>
      <c r="I52" s="2110"/>
      <c r="J52" s="2110"/>
      <c r="K52" s="2109" t="str">
        <f>S48&amp;".1"</f>
        <v>...1</v>
      </c>
      <c r="L52" s="1394"/>
      <c r="P52" s="2111"/>
      <c r="Q52" s="2111"/>
      <c r="R52" s="353">
        <v>1</v>
      </c>
      <c r="S52" s="2184" t="str">
        <f>$K52</f>
        <v>...1</v>
      </c>
      <c r="T52" s="2203"/>
      <c r="U52" s="288"/>
      <c r="V52" s="757"/>
      <c r="W52" s="1285"/>
      <c r="X52" s="757"/>
      <c r="Y52" s="1285"/>
      <c r="Z52" s="1774"/>
      <c r="AA52" s="1499" t="s">
        <v>63</v>
      </c>
      <c r="AB52" s="1774"/>
      <c r="AC52" s="1499" t="s">
        <v>63</v>
      </c>
      <c r="AD52" s="2044" t="s">
        <v>63</v>
      </c>
      <c r="AE52" s="2180"/>
      <c r="AF52" s="2057">
        <v>1</v>
      </c>
      <c r="AG52" s="2202"/>
      <c r="AH52" s="1981" t="s">
        <v>63</v>
      </c>
      <c r="AI52" s="2180"/>
      <c r="AJ52" s="2057">
        <v>1</v>
      </c>
      <c r="AK52" s="2201" t="s">
        <v>24</v>
      </c>
      <c r="AL52" s="1981" t="s">
        <v>63</v>
      </c>
      <c r="AM52" s="2029"/>
      <c r="AN52" s="2057">
        <v>1</v>
      </c>
      <c r="AO52" s="2206"/>
      <c r="AP52" s="2207" t="s">
        <v>63</v>
      </c>
      <c r="AQ52" s="301"/>
      <c r="AR52" s="1516">
        <v>1</v>
      </c>
      <c r="AS52" s="1522" t="s">
        <v>24</v>
      </c>
      <c r="AT52" s="757"/>
      <c r="AU52" s="1285"/>
      <c r="AV52" s="757"/>
      <c r="AW52" s="1285"/>
      <c r="AX52" s="1774"/>
      <c r="AY52" s="1499" t="s">
        <v>63</v>
      </c>
      <c r="AZ52" s="1774"/>
      <c r="BA52" s="1499" t="s">
        <v>63</v>
      </c>
      <c r="BB52" s="1378"/>
      <c r="BC52" s="2137" t="s">
        <v>714</v>
      </c>
      <c r="BE52" s="506"/>
      <c r="BF52" s="506" t="str">
        <f>IF(T52="","",T52)</f>
        <v/>
      </c>
      <c r="BG52" s="506"/>
      <c r="BH52" s="506"/>
    </row>
    <row customHeight="1" ht="11.25">
      <c r="A53" s="1393"/>
      <c r="B53" s="1393"/>
      <c r="C53" s="1393"/>
      <c r="D53" s="1393"/>
      <c r="E53" s="2108"/>
      <c r="F53" s="2108"/>
      <c r="G53" s="2108"/>
      <c r="H53" s="2108"/>
      <c r="I53" s="2110"/>
      <c r="J53" s="2110"/>
      <c r="K53" s="2109"/>
      <c r="L53" s="1394"/>
      <c r="P53" s="2111"/>
      <c r="Q53" s="2111"/>
      <c r="R53" s="353"/>
      <c r="S53" s="2185"/>
      <c r="T53" s="2204"/>
      <c r="U53" s="288"/>
      <c r="V53" s="1423"/>
      <c r="W53" s="1526"/>
      <c r="X53" s="1423"/>
      <c r="Y53" s="1526"/>
      <c r="Z53" s="1423"/>
      <c r="AA53" s="1423"/>
      <c r="AB53" s="1423"/>
      <c r="AC53" s="1423"/>
      <c r="AD53" s="2045"/>
      <c r="AE53" s="2180"/>
      <c r="AF53" s="2057"/>
      <c r="AG53" s="2202"/>
      <c r="AH53" s="1981"/>
      <c r="AI53" s="2180"/>
      <c r="AJ53" s="2057"/>
      <c r="AK53" s="2201"/>
      <c r="AL53" s="1981"/>
      <c r="AM53" s="2037"/>
      <c r="AN53" s="2057"/>
      <c r="AO53" s="2206"/>
      <c r="AP53" s="2208"/>
      <c r="AQ53" s="308"/>
      <c r="AR53" s="422"/>
      <c r="AS53" s="422" t="s">
        <v>715</v>
      </c>
      <c r="AT53" s="1423"/>
      <c r="AU53" s="1526"/>
      <c r="AV53" s="1423"/>
      <c r="AW53" s="1526"/>
      <c r="AX53" s="1423"/>
      <c r="AY53" s="1423"/>
      <c r="AZ53" s="1423"/>
      <c r="BA53" s="1423"/>
      <c r="BB53" s="1427"/>
      <c r="BC53" s="2138"/>
      <c r="BE53" s="506"/>
      <c r="BF53" s="506"/>
      <c r="BG53" s="506"/>
      <c r="BH53" s="506"/>
    </row>
    <row customHeight="1" ht="11.25">
      <c r="A54" s="1393" t="s">
        <v>474</v>
      </c>
      <c r="B54" s="1393"/>
      <c r="C54" s="1393"/>
      <c r="D54" s="1393"/>
      <c r="E54" s="2108"/>
      <c r="F54" s="2108"/>
      <c r="G54" s="2108"/>
      <c r="H54" s="2108"/>
      <c r="I54" s="2110"/>
      <c r="J54" s="2110"/>
      <c r="K54" s="2109"/>
      <c r="L54" s="1394"/>
      <c r="P54" s="2111"/>
      <c r="Q54" s="2111"/>
      <c r="R54" s="353"/>
      <c r="S54" s="2185"/>
      <c r="T54" s="2204"/>
      <c r="U54" s="288"/>
      <c r="V54" s="1423"/>
      <c r="W54" s="1526"/>
      <c r="X54" s="1423"/>
      <c r="Y54" s="1526"/>
      <c r="Z54" s="1423"/>
      <c r="AA54" s="1423"/>
      <c r="AB54" s="1423"/>
      <c r="AC54" s="1423"/>
      <c r="AD54" s="2045"/>
      <c r="AE54" s="2180"/>
      <c r="AF54" s="2057"/>
      <c r="AG54" s="2202"/>
      <c r="AH54" s="1981"/>
      <c r="AI54" s="2180"/>
      <c r="AJ54" s="2057"/>
      <c r="AK54" s="2201"/>
      <c r="AL54" s="1981"/>
      <c r="AM54" s="308"/>
      <c r="AN54" s="1530"/>
      <c r="AO54" s="1530" t="s">
        <v>716</v>
      </c>
      <c r="AP54" s="422"/>
      <c r="AQ54" s="422"/>
      <c r="AR54" s="422"/>
      <c r="AS54" s="1423"/>
      <c r="AT54" s="1423"/>
      <c r="AU54" s="1526"/>
      <c r="AV54" s="1423"/>
      <c r="AW54" s="1526"/>
      <c r="AX54" s="1423"/>
      <c r="AY54" s="1423"/>
      <c r="AZ54" s="1423"/>
      <c r="BA54" s="1423"/>
      <c r="BB54" s="1427"/>
      <c r="BC54" s="2138"/>
      <c r="BE54" s="506"/>
      <c r="BF54" s="506"/>
      <c r="BG54" s="506"/>
      <c r="BH54" s="506"/>
    </row>
    <row customHeight="1" ht="11.25">
      <c r="A55" s="1393" t="s">
        <v>474</v>
      </c>
      <c r="B55" s="1393"/>
      <c r="C55" s="1393"/>
      <c r="D55" s="1393"/>
      <c r="E55" s="2108"/>
      <c r="F55" s="2108"/>
      <c r="G55" s="2108"/>
      <c r="H55" s="2108"/>
      <c r="I55" s="2110"/>
      <c r="J55" s="2110"/>
      <c r="K55" s="2109"/>
      <c r="L55" s="1394"/>
      <c r="P55" s="2111"/>
      <c r="Q55" s="2111"/>
      <c r="R55" s="353"/>
      <c r="S55" s="2185"/>
      <c r="T55" s="2204"/>
      <c r="U55" s="288"/>
      <c r="V55" s="1423"/>
      <c r="W55" s="1526"/>
      <c r="X55" s="1423"/>
      <c r="Y55" s="1526"/>
      <c r="Z55" s="1423"/>
      <c r="AA55" s="1423"/>
      <c r="AB55" s="1423"/>
      <c r="AC55" s="1423"/>
      <c r="AD55" s="2045"/>
      <c r="AE55" s="2180"/>
      <c r="AF55" s="2057"/>
      <c r="AG55" s="2202"/>
      <c r="AH55" s="1981"/>
      <c r="AI55" s="282"/>
      <c r="AJ55" s="421"/>
      <c r="AK55" s="303" t="s">
        <v>717</v>
      </c>
      <c r="AL55" s="1423"/>
      <c r="AM55" s="1423"/>
      <c r="AN55" s="1423"/>
      <c r="AO55" s="1423"/>
      <c r="AP55" s="1423"/>
      <c r="AQ55" s="1423"/>
      <c r="AR55" s="1423"/>
      <c r="AS55" s="1423"/>
      <c r="AT55" s="1423"/>
      <c r="AU55" s="1526"/>
      <c r="AV55" s="1423"/>
      <c r="AW55" s="1526"/>
      <c r="AX55" s="1423"/>
      <c r="AY55" s="1423"/>
      <c r="AZ55" s="1423"/>
      <c r="BA55" s="1423"/>
      <c r="BB55" s="1427"/>
      <c r="BC55" s="2138"/>
      <c r="BE55" s="506"/>
      <c r="BF55" s="506"/>
      <c r="BG55" s="506"/>
      <c r="BH55" s="506"/>
    </row>
    <row customHeight="1" ht="11.25">
      <c r="A56" s="1393" t="s">
        <v>474</v>
      </c>
      <c r="B56" s="1393" t="s">
        <v>475</v>
      </c>
      <c r="C56" s="1393" t="s">
        <v>476</v>
      </c>
      <c r="D56" s="1393" t="s">
        <v>751</v>
      </c>
      <c r="E56" s="2108"/>
      <c r="F56" s="2108"/>
      <c r="G56" s="2108"/>
      <c r="H56" s="2108"/>
      <c r="I56" s="2110"/>
      <c r="J56" s="2110"/>
      <c r="K56" s="2109"/>
      <c r="L56" s="1394"/>
      <c r="P56" s="2111"/>
      <c r="Q56" s="2111"/>
      <c r="R56" s="353"/>
      <c r="S56" s="2186"/>
      <c r="T56" s="2205"/>
      <c r="U56" s="288"/>
      <c r="V56" s="1423"/>
      <c r="W56" s="1424" t="str">
        <f>Z52&amp;"-"&amp;AB52</f>
        <v>-</v>
      </c>
      <c r="X56" s="1423"/>
      <c r="Y56" s="1424" t="str">
        <f>AB52&amp;"-"&amp;AD52</f>
        <v>-да</v>
      </c>
      <c r="Z56" s="1423"/>
      <c r="AA56" s="1423"/>
      <c r="AB56" s="1423"/>
      <c r="AC56" s="1423"/>
      <c r="AD56" s="1986"/>
      <c r="AE56" s="302"/>
      <c r="AF56" s="304"/>
      <c r="AG56" s="422" t="s">
        <v>718</v>
      </c>
      <c r="AH56" s="1423"/>
      <c r="AI56" s="1423"/>
      <c r="AJ56" s="1423"/>
      <c r="AK56" s="1423"/>
      <c r="AL56" s="1423"/>
      <c r="AM56" s="1423"/>
      <c r="AN56" s="1423"/>
      <c r="AO56" s="1423"/>
      <c r="AP56" s="1423"/>
      <c r="AQ56" s="1423"/>
      <c r="AR56" s="1423"/>
      <c r="AS56" s="1423"/>
      <c r="AT56" s="1423"/>
      <c r="AU56" s="1424" t="str">
        <f>AX52&amp;"-"&amp;AZ52</f>
        <v>-</v>
      </c>
      <c r="AV56" s="1423"/>
      <c r="AW56" s="1424" t="str">
        <f>AZ52&amp;"-"&amp;BB52</f>
        <v>-</v>
      </c>
      <c r="AX56" s="1423"/>
      <c r="AY56" s="1423"/>
      <c r="AZ56" s="1423"/>
      <c r="BA56" s="1423"/>
      <c r="BB56" s="1426" t="str">
        <f>BE52&amp;"-"&amp;BG52</f>
        <v>-</v>
      </c>
      <c r="BC56" s="2138"/>
      <c r="BE56" s="506"/>
      <c r="BF56" s="506" t="str">
        <f>IF(T56="","",T56)</f>
        <v/>
      </c>
      <c r="BG56" s="506"/>
      <c r="BH56" s="506"/>
    </row>
    <row customHeight="1" ht="11.25">
      <c r="A57" s="1393" t="s">
        <v>474</v>
      </c>
      <c r="B57" s="1393" t="s">
        <v>475</v>
      </c>
      <c r="C57" s="1393" t="s">
        <v>476</v>
      </c>
      <c r="D57" s="1393" t="s">
        <v>751</v>
      </c>
      <c r="E57" s="2108"/>
      <c r="F57" s="2108"/>
      <c r="G57" s="2108"/>
      <c r="H57" s="2108"/>
      <c r="I57" s="2110"/>
      <c r="J57" s="2109"/>
      <c r="K57" s="1393"/>
      <c r="L57" s="1394"/>
      <c r="P57" s="2111"/>
      <c r="Q57" s="2111"/>
      <c r="R57" s="352"/>
      <c r="S57" s="1308"/>
      <c r="T57" s="275" t="s">
        <v>682</v>
      </c>
      <c r="U57" s="367"/>
      <c r="V57" s="367"/>
      <c r="W57" s="367"/>
      <c r="X57" s="367"/>
      <c r="Y57" s="367"/>
      <c r="Z57" s="367"/>
      <c r="AA57" s="367"/>
      <c r="AB57" s="367"/>
      <c r="AC57" s="319"/>
      <c r="AD57" s="1535"/>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19"/>
      <c r="BC57" s="2139"/>
      <c r="BE57" s="506"/>
      <c r="BF57" s="506" t="str">
        <f>IF(T57="","",T57)</f>
        <v>Добавить строку</v>
      </c>
      <c r="BG57" s="506"/>
      <c r="BH57" s="506"/>
    </row>
    <row s="2612" customFormat="1" customHeight="1" ht="0">
      <c r="A58" s="1373" t="s">
        <v>474</v>
      </c>
      <c r="B58" s="1373" t="s">
        <v>475</v>
      </c>
      <c r="C58" s="1373" t="s">
        <v>476</v>
      </c>
      <c r="D58" s="1373" t="s">
        <v>751</v>
      </c>
      <c r="E58" s="2108"/>
      <c r="F58" s="2108"/>
      <c r="G58" s="2108"/>
      <c r="H58" s="2108"/>
      <c r="I58" s="2109"/>
      <c r="J58" s="1373"/>
      <c r="K58" s="1373"/>
      <c r="L58" s="1376"/>
      <c r="M58" s="516"/>
      <c r="N58" s="516"/>
      <c r="O58" s="516"/>
      <c r="P58" s="2111"/>
      <c r="Q58" s="1511"/>
      <c r="R58" s="352"/>
      <c r="S58" s="1416"/>
      <c r="T58" s="1417"/>
      <c r="U58" s="1418"/>
      <c r="V58" s="1418"/>
      <c r="W58" s="1418"/>
      <c r="X58" s="1418"/>
      <c r="Y58" s="1418"/>
      <c r="Z58" s="1418"/>
      <c r="AA58" s="1418"/>
      <c r="AB58" s="1418"/>
      <c r="AC58" s="1418"/>
      <c r="AD58" s="1418"/>
      <c r="AE58" s="1418"/>
      <c r="AF58" s="1418"/>
      <c r="AG58" s="1418"/>
      <c r="AH58" s="1418"/>
      <c r="AI58" s="1418"/>
      <c r="AJ58" s="1418"/>
      <c r="AK58" s="1418"/>
      <c r="AL58" s="1418"/>
      <c r="AM58" s="1418"/>
      <c r="AN58" s="1418"/>
      <c r="AO58" s="1418"/>
      <c r="AP58" s="1418"/>
      <c r="AQ58" s="1418"/>
      <c r="AR58" s="1418"/>
      <c r="AS58" s="1418"/>
      <c r="AT58" s="1418"/>
      <c r="AU58" s="1418"/>
      <c r="AV58" s="1418"/>
      <c r="AW58" s="1418"/>
      <c r="AX58" s="1418"/>
      <c r="AY58" s="1418"/>
      <c r="AZ58" s="1418"/>
      <c r="BA58" s="1418"/>
      <c r="BB58" s="1418"/>
      <c r="BC58" s="1419"/>
      <c r="BE58" s="506"/>
      <c r="BF58" s="506" t="str">
        <f>IF(T58="","",T58)</f>
        <v/>
      </c>
      <c r="BG58" s="506"/>
      <c r="BH58" s="506"/>
    </row>
    <row s="2612" customFormat="1" customHeight="1" ht="0">
      <c r="A59" s="1373" t="s">
        <v>474</v>
      </c>
      <c r="B59" s="1373" t="s">
        <v>475</v>
      </c>
      <c r="C59" s="1373" t="s">
        <v>476</v>
      </c>
      <c r="D59" s="1373" t="s">
        <v>751</v>
      </c>
      <c r="E59" s="2108"/>
      <c r="F59" s="2108"/>
      <c r="G59" s="2108"/>
      <c r="H59" s="2107"/>
      <c r="I59" s="1373"/>
      <c r="J59" s="1373"/>
      <c r="K59" s="1373"/>
      <c r="L59" s="1376"/>
      <c r="M59" s="1345"/>
      <c r="N59" s="1345"/>
      <c r="O59" s="524"/>
      <c r="P59" s="385"/>
      <c r="Q59" s="1374"/>
      <c r="R59" s="1431"/>
      <c r="S59" s="1416"/>
      <c r="T59" s="1417"/>
      <c r="U59" s="1418"/>
      <c r="V59" s="1418"/>
      <c r="W59" s="1418"/>
      <c r="X59" s="1418"/>
      <c r="Y59" s="1418"/>
      <c r="Z59" s="1418"/>
      <c r="AA59" s="1418"/>
      <c r="AB59" s="1418"/>
      <c r="AC59" s="1418"/>
      <c r="AD59" s="1418"/>
      <c r="AE59" s="1418"/>
      <c r="AF59" s="1418"/>
      <c r="AG59" s="1418"/>
      <c r="AH59" s="1418"/>
      <c r="AI59" s="1418"/>
      <c r="AJ59" s="1418"/>
      <c r="AK59" s="1418"/>
      <c r="AL59" s="1418"/>
      <c r="AM59" s="1418"/>
      <c r="AN59" s="1418"/>
      <c r="AO59" s="1418"/>
      <c r="AP59" s="1418"/>
      <c r="AQ59" s="1418"/>
      <c r="AR59" s="1418"/>
      <c r="AS59" s="1418"/>
      <c r="AT59" s="1418"/>
      <c r="AU59" s="1418"/>
      <c r="AV59" s="1418"/>
      <c r="AW59" s="1418"/>
      <c r="AX59" s="1418"/>
      <c r="AY59" s="1418"/>
      <c r="AZ59" s="1418"/>
      <c r="BA59" s="1418"/>
      <c r="BB59" s="1418"/>
      <c r="BC59" s="1419"/>
      <c r="BE59" s="506"/>
      <c r="BF59" s="506" t="str">
        <f>IF(T59="","",T59)</f>
        <v/>
      </c>
      <c r="BG59" s="506"/>
      <c r="BH59" s="506"/>
    </row>
    <row s="3314" customFormat="1" customHeight="1" ht="0">
      <c r="A60" s="1373" t="s">
        <v>474</v>
      </c>
      <c r="B60" s="1373" t="s">
        <v>475</v>
      </c>
      <c r="C60" s="1373" t="s">
        <v>476</v>
      </c>
      <c r="D60" s="1344"/>
      <c r="E60" s="2108"/>
      <c r="F60" s="2108"/>
      <c r="G60" s="2107"/>
      <c r="H60" s="1344"/>
      <c r="I60" s="1344"/>
      <c r="J60" s="1344"/>
      <c r="K60" s="1344"/>
      <c r="L60" s="1524"/>
      <c r="M60" s="1345"/>
      <c r="N60" s="1345"/>
      <c r="P60" s="1346"/>
      <c r="Q60" s="1347"/>
      <c r="R60" s="1346"/>
      <c r="S60" s="1352"/>
      <c r="T60" s="1355"/>
      <c r="U60" s="1354"/>
      <c r="V60" s="1354"/>
      <c r="W60" s="1354"/>
      <c r="X60" s="1354"/>
      <c r="Y60" s="1354"/>
      <c r="Z60" s="1354"/>
      <c r="AA60" s="1354"/>
      <c r="AB60" s="1354"/>
      <c r="AC60" s="1354"/>
      <c r="AD60" s="1354"/>
      <c r="AE60" s="1354"/>
      <c r="AF60" s="1354"/>
      <c r="AG60" s="1354"/>
      <c r="AH60" s="1354"/>
      <c r="AI60" s="1354"/>
      <c r="AJ60" s="1354"/>
      <c r="AK60" s="1354"/>
      <c r="AL60" s="1354"/>
      <c r="AM60" s="1354"/>
      <c r="AN60" s="1354"/>
      <c r="AO60" s="1354"/>
      <c r="AP60" s="1354"/>
      <c r="AQ60" s="1354"/>
      <c r="AR60" s="1354"/>
      <c r="AS60" s="1354"/>
      <c r="AT60" s="1354"/>
      <c r="AU60" s="1354"/>
      <c r="AV60" s="1354"/>
      <c r="AW60" s="1354"/>
      <c r="AX60" s="1354"/>
      <c r="AY60" s="1354"/>
      <c r="AZ60" s="1354"/>
      <c r="BA60" s="1354"/>
      <c r="BB60" s="1354"/>
      <c r="BC60" s="1354"/>
      <c r="BE60" s="795"/>
      <c r="BF60" s="795" t="str">
        <f>IF(T60="","",T60)</f>
        <v/>
      </c>
      <c r="BG60" s="795"/>
      <c r="BH60" s="795"/>
    </row>
    <row s="3314" customFormat="1" customHeight="1" ht="0">
      <c r="A61" s="1373" t="s">
        <v>474</v>
      </c>
      <c r="B61" s="1373" t="s">
        <v>475</v>
      </c>
      <c r="C61" s="1344"/>
      <c r="D61" s="1344"/>
      <c r="E61" s="2108"/>
      <c r="F61" s="2107"/>
      <c r="G61" s="1344"/>
      <c r="H61" s="1344"/>
      <c r="I61" s="1344"/>
      <c r="J61" s="1344"/>
      <c r="K61" s="1344"/>
      <c r="L61" s="1524"/>
      <c r="M61" s="1351"/>
      <c r="N61" s="1351"/>
      <c r="P61" s="1346"/>
      <c r="Q61" s="1347"/>
      <c r="R61" s="1346"/>
      <c r="S61" s="1352"/>
      <c r="T61" s="1355" t="s">
        <v>255</v>
      </c>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E61" s="795"/>
      <c r="BF61" s="795" t="str">
        <f>IF(T61="","",T61)</f>
        <v>Добавить централизованную систему для дифференциации</v>
      </c>
      <c r="BG61" s="795"/>
      <c r="BH61" s="795"/>
    </row>
    <row s="2612" customFormat="1" customHeight="1" ht="0">
      <c r="A62" s="1373" t="s">
        <v>474</v>
      </c>
      <c r="B62" s="1373"/>
      <c r="C62" s="1373"/>
      <c r="D62" s="1373"/>
      <c r="E62" s="2107"/>
      <c r="F62" s="1373"/>
      <c r="G62" s="1373"/>
      <c r="H62" s="1373"/>
      <c r="I62" s="1373"/>
      <c r="J62" s="1373"/>
      <c r="K62" s="1373"/>
      <c r="L62" s="1376"/>
      <c r="M62" s="1351"/>
      <c r="N62" s="1351"/>
      <c r="O62" s="524"/>
      <c r="P62" s="385"/>
      <c r="Q62" s="1374"/>
      <c r="R62" s="385"/>
      <c r="S62" s="1352"/>
      <c r="T62" s="1355" t="s">
        <v>329</v>
      </c>
      <c r="U62" s="1354"/>
      <c r="V62" s="1354"/>
      <c r="W62" s="1354"/>
      <c r="X62" s="1354"/>
      <c r="Y62" s="1354"/>
      <c r="Z62" s="1354"/>
      <c r="AA62" s="1354"/>
      <c r="AB62" s="1354"/>
      <c r="AC62" s="1354"/>
      <c r="AD62" s="1354"/>
      <c r="AE62" s="1354"/>
      <c r="AF62" s="1354"/>
      <c r="AG62" s="1354"/>
      <c r="AH62" s="1354"/>
      <c r="AI62" s="1354"/>
      <c r="AJ62" s="1354"/>
      <c r="AK62" s="1354"/>
      <c r="AL62" s="1354"/>
      <c r="AM62" s="1354"/>
      <c r="AN62" s="1354"/>
      <c r="AO62" s="1354"/>
      <c r="AP62" s="1354"/>
      <c r="AQ62" s="1354"/>
      <c r="AR62" s="1354"/>
      <c r="AS62" s="1354"/>
      <c r="AT62" s="1354"/>
      <c r="AU62" s="1354"/>
      <c r="AV62" s="1354"/>
      <c r="AW62" s="1354"/>
      <c r="AX62" s="1354"/>
      <c r="AY62" s="1354"/>
      <c r="AZ62" s="1354"/>
      <c r="BA62" s="1354"/>
      <c r="BB62" s="1354"/>
      <c r="BC62" s="1354"/>
      <c r="BE62" s="506"/>
      <c r="BF62" s="506" t="str">
        <f>IF(T62="","",T62)</f>
        <v>Добавить территорию для дифференциации</v>
      </c>
      <c r="BG62" s="506"/>
      <c r="BH62" s="506"/>
    </row>
    <row s="3314" customFormat="1" customHeight="1" ht="0">
      <c r="A63" s="1344"/>
      <c r="B63" s="1344"/>
      <c r="C63" s="1344"/>
      <c r="D63" s="1344"/>
      <c r="E63" s="1373"/>
      <c r="F63" s="1344"/>
      <c r="G63" s="1344"/>
      <c r="H63" s="1344"/>
      <c r="I63" s="1344"/>
      <c r="J63" s="1344"/>
      <c r="K63" s="1344"/>
      <c r="L63" s="1524"/>
      <c r="M63" s="1351"/>
      <c r="N63" s="1351"/>
      <c r="P63" s="1346"/>
      <c r="Q63" s="1347"/>
      <c r="R63" s="1346"/>
      <c r="S63" s="1352"/>
      <c r="T63" s="1355" t="s">
        <v>398</v>
      </c>
      <c r="U63" s="1354"/>
      <c r="V63" s="1354"/>
      <c r="W63" s="1354"/>
      <c r="X63" s="1354"/>
      <c r="Y63" s="1354"/>
      <c r="Z63" s="1354"/>
      <c r="AA63" s="1354"/>
      <c r="AB63" s="1354"/>
      <c r="AC63" s="1354"/>
      <c r="AD63" s="1354"/>
      <c r="AE63" s="1354"/>
      <c r="AF63" s="1354"/>
      <c r="AG63" s="1354"/>
      <c r="AH63" s="1354"/>
      <c r="AI63" s="1354"/>
      <c r="AJ63" s="1354"/>
      <c r="AK63" s="1354"/>
      <c r="AL63" s="1354"/>
      <c r="AM63" s="1354"/>
      <c r="AN63" s="1354"/>
      <c r="AO63" s="1354"/>
      <c r="AP63" s="1354"/>
      <c r="AQ63" s="1354"/>
      <c r="AR63" s="1354"/>
      <c r="AS63" s="1354"/>
      <c r="AT63" s="1354"/>
      <c r="AU63" s="1354"/>
      <c r="AV63" s="1354"/>
      <c r="AW63" s="1354"/>
      <c r="AX63" s="1354"/>
      <c r="AY63" s="1354"/>
      <c r="AZ63" s="1354"/>
      <c r="BA63" s="1354"/>
      <c r="BB63" s="1354"/>
      <c r="BC63" s="1354"/>
      <c r="BE63" s="795"/>
      <c r="BF63" s="795" t="str">
        <f>IF(T63="","",T63)</f>
        <v>Добавить наименование тарифа</v>
      </c>
      <c r="BG63" s="795"/>
      <c r="BH63" s="795"/>
    </row>
    <row customHeight="1" ht="11.25">
      <c r="M64" s="1168"/>
      <c r="N64" s="1168"/>
      <c r="O64" s="543"/>
      <c r="P64" s="1168"/>
      <c r="Q64" s="1168"/>
      <c r="R64" s="1163"/>
      <c r="S64" s="1163"/>
      <c r="BD64" s="1163"/>
      <c r="BE64" s="1163"/>
      <c r="BF64" s="1163"/>
      <c r="BG64" s="1163"/>
      <c r="BH64" s="1163"/>
    </row>
    <row customHeight="1" ht="18.75">
      <c r="O65" s="543"/>
      <c r="S65" s="1273"/>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c r="AS65" s="2106"/>
      <c r="AT65" s="2106"/>
      <c r="AU65" s="2106"/>
      <c r="AV65" s="2106"/>
      <c r="AW65" s="2106"/>
      <c r="AX65" s="2106"/>
      <c r="AY65" s="2106"/>
      <c r="AZ65" s="2106"/>
      <c r="BA65" s="2106"/>
      <c r="BB65" s="2106"/>
      <c r="BC65" s="2106"/>
    </row>
    <row customHeight="1" ht="14.25">
      <c r="O66" s="543"/>
      <c r="T66" s="1510"/>
      <c r="U66" s="1510"/>
      <c r="V66" s="1510"/>
      <c r="W66" s="1510"/>
      <c r="X66" s="1510"/>
      <c r="Y66" s="1510"/>
      <c r="Z66" s="1510"/>
      <c r="AA66" s="1510"/>
      <c r="AB66" s="1510"/>
      <c r="AC66" s="1510"/>
      <c r="AD66" s="1510"/>
      <c r="AE66" s="1510"/>
      <c r="AF66" s="1510"/>
      <c r="AG66" s="1510"/>
      <c r="AH66" s="1510"/>
      <c r="AI66" s="1510"/>
      <c r="AJ66" s="1510"/>
      <c r="AK66" s="1510"/>
      <c r="AL66" s="1510"/>
      <c r="AM66" s="1510"/>
      <c r="AN66" s="1510"/>
      <c r="AO66" s="1510"/>
      <c r="AP66" s="1510"/>
      <c r="AQ66" s="1510"/>
      <c r="AR66" s="1510"/>
      <c r="AS66" s="1510"/>
      <c r="AT66" s="1510"/>
      <c r="AU66" s="1510"/>
      <c r="AV66" s="1510"/>
      <c r="AW66" s="1510"/>
      <c r="AX66" s="1510"/>
      <c r="AY66" s="1510"/>
      <c r="AZ66" s="1510"/>
      <c r="BA66" s="1510"/>
      <c r="BB66" s="1510"/>
      <c r="BC66" s="1510"/>
    </row>
    <row customHeight="1" ht="18.75">
      <c r="O67" s="543"/>
      <c r="S67" s="1273"/>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c r="AS67" s="2106"/>
      <c r="AT67" s="2106"/>
      <c r="AU67" s="2106"/>
      <c r="AV67" s="2106"/>
      <c r="AW67" s="2106"/>
      <c r="AX67" s="2106"/>
      <c r="AY67" s="2106"/>
      <c r="AZ67" s="2106"/>
      <c r="BA67" s="2106"/>
      <c r="BB67" s="2106"/>
      <c r="BC67" s="2106"/>
    </row>
    <row customHeight="1" ht="14.25">
      <c r="O68" s="543"/>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C17F47-D0AC-65FD-488E-F4301C99A919}" mc:Ignorable="x14ac xr xr2 xr3">
  <sheetPr>
    <tabColor rgb="FFCCCCFF"/>
    <pageSetUpPr fitToPage="1"/>
  </sheetPr>
  <dimension ref="A1:AB85"/>
  <sheetViews>
    <sheetView topLeftCell="A1" showGridLines="0" zoomScale="90" workbookViewId="0">
      <selection activeCell="AB51" sqref="AB51"/>
    </sheetView>
  </sheetViews>
  <sheetFormatPr defaultColWidth="9.140625" customHeight="1" defaultRowHeight="14.25"/>
  <cols>
    <col min="1" max="1" style="2624" width="8.00390625" hidden="1" customWidth="1"/>
    <col min="2" max="2" style="2625" width="6.00390625" hidden="1" customWidth="1"/>
    <col min="3" max="3" style="2624" width="3.7109375" customWidth="1"/>
    <col min="4" max="4" style="2696" width="3.7109375" customWidth="1"/>
    <col min="5" max="5" style="2698" width="6.28125" customWidth="1"/>
    <col min="6" max="6" style="2624" width="2.7109375" hidden="1" customWidth="1"/>
    <col min="7" max="7" style="2698" width="46.7109375" customWidth="1"/>
    <col min="8" max="8" style="2698" width="43.140625" customWidth="1"/>
    <col min="9" max="9" style="2698" width="14.8515625" customWidth="1"/>
    <col min="10" max="10" style="2630" width="3.7109375" customWidth="1"/>
    <col min="11" max="13" style="2630" width="9.140625" hidden="1"/>
    <col min="14" max="14" style="2631" width="25.7109375" hidden="1" customWidth="1"/>
    <col min="15" max="15" style="2630" width="14.421875" hidden="1" customWidth="1"/>
    <col min="16" max="19" style="2632" width="9.140625" hidden="1"/>
    <col min="20" max="27" style="2698" width="9.140625" hidden="1"/>
    <col min="28" max="28" style="2698" width="9.140625"/>
  </cols>
  <sheetData>
    <row s="2610" customFormat="1" customHeight="1" ht="5.25" hidden="1">
      <c r="A1" s="502"/>
      <c r="B1" s="517"/>
      <c r="C1" s="517"/>
      <c r="D1" s="207"/>
      <c r="F1" s="517"/>
      <c r="G1" s="233" t="s">
        <v>84</v>
      </c>
      <c r="H1" s="500" t="s">
        <v>85</v>
      </c>
      <c r="I1" s="213" t="s">
        <v>86</v>
      </c>
      <c r="J1" s="233" t="s">
        <v>84</v>
      </c>
      <c r="K1" s="233"/>
      <c r="L1" s="233"/>
      <c r="M1" s="233"/>
      <c r="N1" s="234"/>
      <c r="O1" s="233"/>
      <c r="P1" s="233"/>
      <c r="Q1" s="233"/>
      <c r="R1" s="233"/>
      <c r="S1" s="233"/>
      <c r="T1" s="213"/>
      <c r="U1" s="213"/>
      <c r="V1" s="213"/>
      <c r="W1" s="213"/>
      <c r="X1" s="213"/>
      <c r="Y1" s="213"/>
      <c r="Z1" s="213"/>
      <c r="AA1" s="213"/>
      <c r="AB1" s="213"/>
    </row>
    <row s="2618" customFormat="1" customHeight="1" ht="11.25">
      <c r="A2" s="837"/>
      <c r="B2" s="214"/>
      <c r="C2" s="214"/>
      <c r="D2" s="215"/>
      <c r="E2" s="214"/>
      <c r="F2" s="214"/>
      <c r="G2" s="214"/>
      <c r="H2" s="214"/>
      <c r="I2" s="214"/>
      <c r="J2" s="233"/>
      <c r="K2" s="233"/>
      <c r="L2" s="233"/>
      <c r="M2" s="233"/>
      <c r="N2" s="234"/>
      <c r="O2" s="233"/>
      <c r="P2" s="216"/>
      <c r="Q2" s="216"/>
      <c r="R2" s="216"/>
      <c r="S2" s="216"/>
      <c r="T2" s="215"/>
      <c r="U2" s="215"/>
      <c r="V2" s="215"/>
      <c r="W2" s="215"/>
      <c r="X2" s="215"/>
      <c r="Y2" s="215"/>
      <c r="Z2" s="215"/>
      <c r="AA2" s="215"/>
      <c r="AB2" s="215"/>
    </row>
    <row s="2623" customFormat="1" customHeight="1" ht="3">
      <c r="A3" s="764"/>
      <c r="B3" s="423"/>
      <c r="C3" s="764"/>
      <c r="D3" s="150"/>
      <c r="E3" s="89"/>
      <c r="F3" s="515"/>
      <c r="G3" s="89"/>
      <c r="H3" s="89"/>
      <c r="I3" s="152"/>
      <c r="J3" s="233"/>
      <c r="K3" s="141"/>
      <c r="L3" s="141"/>
      <c r="M3" s="141"/>
      <c r="N3" s="212"/>
      <c r="O3" s="141"/>
      <c r="P3" s="211"/>
      <c r="Q3" s="211"/>
      <c r="R3" s="211"/>
      <c r="S3" s="211"/>
    </row>
    <row s="2623" customFormat="1" customHeight="1" ht="25.5">
      <c r="A4" s="764"/>
      <c r="B4" s="423"/>
      <c r="C4" s="764"/>
      <c r="D4" s="150"/>
      <c r="E4" s="1954" t="str">
        <f>NameTemplatesInListMO</f>
        <v>Перечень муниципальных районов и муниципальных образований (территорий действия тарифа)</v>
      </c>
      <c r="F4" s="1954"/>
      <c r="G4" s="1954"/>
      <c r="H4" s="1954"/>
      <c r="I4" s="1954"/>
      <c r="J4" s="233"/>
      <c r="K4" s="141"/>
      <c r="L4" s="141"/>
      <c r="M4" s="141"/>
      <c r="N4" s="212"/>
      <c r="O4" s="141"/>
      <c r="P4" s="211"/>
      <c r="Q4" s="211"/>
      <c r="R4" s="211"/>
      <c r="S4" s="211"/>
    </row>
    <row s="2623" customFormat="1" customHeight="1" ht="3">
      <c r="A5" s="764"/>
      <c r="B5" s="423"/>
      <c r="C5" s="764"/>
      <c r="D5" s="150"/>
      <c r="E5" s="89"/>
      <c r="F5" s="515"/>
      <c r="G5" s="153"/>
      <c r="H5" s="153"/>
      <c r="I5" s="154"/>
      <c r="J5" s="141"/>
      <c r="K5" s="141"/>
      <c r="L5" s="141"/>
      <c r="M5" s="141"/>
      <c r="N5" s="212"/>
      <c r="O5" s="141"/>
      <c r="P5" s="211"/>
      <c r="Q5" s="211"/>
      <c r="R5" s="211"/>
      <c r="S5" s="211"/>
    </row>
    <row s="2623" customFormat="1" customHeight="1" ht="20.25" hidden="1">
      <c r="A6" s="843"/>
      <c r="B6" s="839"/>
      <c r="C6" s="155"/>
      <c r="D6" s="150"/>
      <c r="E6" s="785"/>
      <c r="F6" s="785"/>
      <c r="G6" s="153"/>
      <c r="H6" s="156"/>
      <c r="I6" s="156"/>
      <c r="J6" s="141"/>
      <c r="K6" s="141"/>
      <c r="L6" s="141"/>
      <c r="M6" s="141"/>
      <c r="N6" s="212"/>
      <c r="O6" s="141"/>
      <c r="P6" s="211"/>
      <c r="Q6" s="211"/>
      <c r="R6" s="211"/>
      <c r="S6" s="211"/>
    </row>
    <row customHeight="1" ht="25.5" hidden="1"/>
    <row s="2623" customFormat="1" customHeight="1" ht="14.25">
      <c r="A8" s="764"/>
      <c r="B8" s="423"/>
      <c r="C8" s="764"/>
      <c r="D8" s="150"/>
      <c r="E8" s="1955" t="s">
        <v>87</v>
      </c>
      <c r="F8" s="1956"/>
      <c r="G8" s="1957"/>
      <c r="H8" s="1958" t="s">
        <v>88</v>
      </c>
      <c r="I8" s="1958"/>
      <c r="J8" s="141"/>
      <c r="K8" s="141"/>
      <c r="L8" s="141"/>
      <c r="M8" s="141"/>
      <c r="N8" s="212"/>
      <c r="O8" s="141"/>
      <c r="P8" s="211"/>
      <c r="Q8" s="211"/>
      <c r="R8" s="211"/>
      <c r="S8" s="211"/>
    </row>
    <row s="2623" customFormat="1" customHeight="1" ht="20.25">
      <c r="A9" s="764"/>
      <c r="B9" s="423"/>
      <c r="C9" s="764"/>
      <c r="D9" s="150"/>
      <c r="E9" s="783" t="s">
        <v>89</v>
      </c>
      <c r="F9" s="783"/>
      <c r="G9" s="158" t="s">
        <v>90</v>
      </c>
      <c r="H9" s="158" t="s">
        <v>90</v>
      </c>
      <c r="I9" s="158" t="s">
        <v>86</v>
      </c>
      <c r="J9" s="141"/>
      <c r="K9" s="141"/>
      <c r="L9" s="141"/>
      <c r="M9" s="141"/>
      <c r="N9" s="212"/>
      <c r="O9" s="141"/>
      <c r="P9" s="211"/>
      <c r="Q9" s="211"/>
      <c r="R9" s="211"/>
      <c r="S9" s="211"/>
    </row>
    <row customHeight="1" ht="11.25">
      <c r="D10" s="162"/>
      <c r="E10" s="784" t="s">
        <v>91</v>
      </c>
      <c r="F10" s="784"/>
      <c r="G10" s="209" t="s">
        <v>92</v>
      </c>
      <c r="H10" s="209" t="s">
        <v>93</v>
      </c>
      <c r="I10" s="209" t="s">
        <v>94</v>
      </c>
      <c r="J10" s="172"/>
      <c r="K10" s="172"/>
      <c r="L10" s="172"/>
      <c r="M10" s="172"/>
      <c r="N10" s="157"/>
      <c r="O10" s="172"/>
      <c r="P10" s="210"/>
      <c r="Q10" s="210"/>
      <c r="R10" s="210"/>
      <c r="S10" s="210"/>
    </row>
    <row s="2623" customFormat="1" customHeight="1" ht="0.75">
      <c r="A11" s="764"/>
      <c r="B11" s="423"/>
      <c r="C11" s="764"/>
      <c r="D11" s="150"/>
      <c r="E11" s="796"/>
      <c r="F11" s="796"/>
      <c r="G11" s="159"/>
      <c r="H11" s="159"/>
      <c r="I11" s="161"/>
      <c r="J11" s="235" t="s">
        <v>95</v>
      </c>
      <c r="K11" s="141"/>
      <c r="L11" s="141"/>
      <c r="M11" s="141" t="s">
        <v>96</v>
      </c>
      <c r="N11" s="212" t="s">
        <v>97</v>
      </c>
      <c r="O11" s="141" t="s">
        <v>98</v>
      </c>
      <c r="P11" s="211"/>
      <c r="Q11" s="211"/>
      <c r="R11" s="211"/>
      <c r="S11" s="211"/>
    </row>
    <row s="2657" customFormat="1" customHeight="1" ht="14.25">
      <c r="A12" s="1953">
        <v>1</v>
      </c>
      <c r="B12" s="423"/>
      <c r="C12" s="764"/>
      <c r="D12" s="788"/>
      <c r="E12" s="205">
        <f>A12</f>
        <v>1</v>
      </c>
      <c r="F12" s="808" t="s">
        <v>99</v>
      </c>
      <c r="G12" s="546" t="str">
        <f>"Территория "&amp;E12</f>
        <v>Территория 1</v>
      </c>
      <c r="H12" s="798"/>
      <c r="I12" s="798"/>
      <c r="J12" s="795"/>
      <c r="K12" s="506"/>
      <c r="L12" s="506"/>
      <c r="M12" s="506"/>
      <c r="N12" s="212"/>
      <c r="O12" s="506"/>
      <c r="P12" s="211"/>
      <c r="Q12" s="211"/>
      <c r="R12" s="211"/>
      <c r="S12" s="211"/>
    </row>
    <row s="2666" customFormat="1" customHeight="1" ht="15">
      <c r="A13" s="1953"/>
      <c r="B13" s="423">
        <v>1</v>
      </c>
      <c r="C13" s="423"/>
      <c r="D13" s="806"/>
      <c r="E13" s="786" t="str">
        <f>A12&amp;"."&amp;B13</f>
        <v>1.1</v>
      </c>
      <c r="F13" s="801" t="s">
        <v>100</v>
      </c>
      <c r="G13" s="799" t="s">
        <v>101</v>
      </c>
      <c r="H13" s="799" t="s">
        <v>101</v>
      </c>
      <c r="I13" s="797" t="s">
        <v>102</v>
      </c>
      <c r="J13" s="506">
        <f>MERGEVALUE(G13)</f>
      </c>
      <c r="K13" s="517"/>
      <c r="L13" s="517"/>
      <c r="M13" s="506" t="str">
        <f t="array" ref="M13:M13">IF(ISERROR(MATCH(MID(N13,1,250),MID(note_ter,1,250),0)),"n","y")</f>
        <v>n</v>
      </c>
      <c r="N13" s="517"/>
      <c r="O13" s="506" t="str">
        <f>H13&amp;"("&amp;I13&amp;")"</f>
        <v>город-герой Мурманск(47701000)</v>
      </c>
      <c r="P13" s="423"/>
      <c r="Q13" s="423"/>
      <c r="R13" s="426"/>
      <c r="S13" s="423"/>
      <c r="T13" s="423"/>
      <c r="U13" s="423"/>
      <c r="V13" s="428"/>
      <c r="W13" s="428"/>
      <c r="X13" s="425"/>
      <c r="Y13" s="425"/>
      <c r="Z13" s="425"/>
      <c r="AA13" s="425"/>
      <c r="AB13" s="425"/>
    </row>
    <row s="2666" customFormat="1" customHeight="1" ht="15">
      <c r="A14" s="1953"/>
      <c r="B14" s="423"/>
      <c r="C14" s="418"/>
      <c r="D14" s="807"/>
      <c r="E14" s="427"/>
      <c r="F14" s="163"/>
      <c r="G14" s="421" t="s">
        <v>103</v>
      </c>
      <c r="H14" s="173"/>
      <c r="I14" s="430"/>
      <c r="J14" s="517"/>
      <c r="K14" s="517"/>
      <c r="L14" s="517"/>
      <c r="M14" s="517"/>
      <c r="N14" s="506"/>
      <c r="O14" s="517"/>
      <c r="P14" s="423"/>
      <c r="Q14" s="423"/>
      <c r="R14" s="426"/>
      <c r="S14" s="423"/>
      <c r="T14" s="423"/>
      <c r="U14" s="423"/>
      <c r="V14" s="428"/>
      <c r="W14" s="428"/>
      <c r="X14" s="425"/>
      <c r="Y14" s="425"/>
      <c r="Z14" s="425"/>
      <c r="AA14" s="425"/>
      <c r="AB14" s="425"/>
    </row>
    <row customHeight="1" ht="15">
      <c r="A15" s="2082" t="s">
        <v>104</v>
      </c>
      <c r="B15" s="1168"/>
      <c r="C15" s="807" t="s">
        <v>105</v>
      </c>
      <c r="D15" s="1859"/>
      <c r="E15" s="1846" t="str">
        <f>A15</f>
        <v>2</v>
      </c>
      <c r="F15" s="810" t="s">
        <v>106</v>
      </c>
      <c r="G15" s="546" t="str">
        <f>"Территория "&amp;E15</f>
        <v>Территория 2</v>
      </c>
      <c r="H15" s="798"/>
      <c r="I15" s="798"/>
      <c r="J15" s="795"/>
      <c r="K15" s="1664"/>
      <c r="L15" s="1664"/>
      <c r="M15" s="1664"/>
      <c r="N15" s="212"/>
      <c r="O15" s="1664"/>
      <c r="P15" s="211"/>
      <c r="Q15" s="211"/>
      <c r="R15" s="211"/>
      <c r="S15" s="211"/>
      <c r="T15" s="2688"/>
      <c r="U15" s="2688"/>
      <c r="V15" s="2688"/>
      <c r="W15" s="2688"/>
      <c r="X15" s="2688"/>
      <c r="Y15" s="2688"/>
      <c r="Z15" s="2688"/>
      <c r="AA15" s="2688"/>
      <c r="AB15" s="2688"/>
    </row>
    <row customHeight="1" ht="15">
      <c r="A16" s="2082"/>
      <c r="B16" s="1168">
        <v>1</v>
      </c>
      <c r="C16" s="1168"/>
      <c r="D16" s="806"/>
      <c r="E16" s="1854" t="str">
        <f>A15&amp;"."&amp;B16</f>
        <v>2.1</v>
      </c>
      <c r="F16" s="809" t="s">
        <v>107</v>
      </c>
      <c r="G16" s="799" t="s">
        <v>108</v>
      </c>
      <c r="H16" s="799" t="s">
        <v>109</v>
      </c>
      <c r="I16" s="797" t="s">
        <v>110</v>
      </c>
      <c r="J16" s="1664"/>
      <c r="K16" s="1676"/>
      <c r="L16" s="1676"/>
      <c r="M16" s="1664" t="str">
        <f t="array" ref="M16:M16">IF(ISERROR(MATCH(MID(N16,1,250),MID(note_ter,1,250),0)),"n","y")</f>
        <v>n</v>
      </c>
      <c r="N16" s="1676"/>
      <c r="O16" s="1664" t="str">
        <f>H16&amp;"("&amp;I16&amp;")"</f>
        <v>Поселок Мурмаши(47605163)</v>
      </c>
      <c r="P16" s="1168"/>
      <c r="Q16" s="1168"/>
      <c r="R16" s="426"/>
      <c r="S16" s="1168"/>
      <c r="T16" s="1168"/>
      <c r="U16" s="1168"/>
      <c r="V16" s="428"/>
      <c r="W16" s="428"/>
      <c r="X16" s="425"/>
      <c r="Y16" s="425"/>
      <c r="Z16" s="425"/>
      <c r="AA16" s="425"/>
      <c r="AB16" s="425"/>
    </row>
    <row customHeight="1" ht="15">
      <c r="A17" s="2082"/>
      <c r="B17" s="1168"/>
      <c r="C17" s="418"/>
      <c r="D17" s="807"/>
      <c r="E17" s="427"/>
      <c r="F17" s="163"/>
      <c r="G17" s="421" t="s">
        <v>103</v>
      </c>
      <c r="H17" s="173"/>
      <c r="I17" s="430"/>
      <c r="J17" s="1676"/>
      <c r="K17" s="1676"/>
      <c r="L17" s="1676"/>
      <c r="M17" s="1676"/>
      <c r="N17" s="1664"/>
      <c r="O17" s="1676"/>
      <c r="P17" s="1168"/>
      <c r="Q17" s="1168"/>
      <c r="R17" s="426"/>
      <c r="S17" s="1168"/>
      <c r="T17" s="1168"/>
      <c r="U17" s="1168"/>
      <c r="V17" s="428"/>
      <c r="W17" s="428"/>
      <c r="X17" s="425"/>
      <c r="Y17" s="425"/>
      <c r="Z17" s="425"/>
      <c r="AA17" s="425"/>
      <c r="AB17" s="425"/>
    </row>
    <row customHeight="1" ht="15">
      <c r="A18" s="2082" t="s">
        <v>91</v>
      </c>
      <c r="B18" s="1168"/>
      <c r="C18" s="807" t="s">
        <v>105</v>
      </c>
      <c r="D18" s="1859"/>
      <c r="E18" s="1846" t="str">
        <f>A18</f>
        <v>3</v>
      </c>
      <c r="F18" s="810" t="s">
        <v>111</v>
      </c>
      <c r="G18" s="546" t="str">
        <f>"Территория "&amp;E18</f>
        <v>Территория 3</v>
      </c>
      <c r="H18" s="798"/>
      <c r="I18" s="798"/>
      <c r="J18" s="795"/>
      <c r="K18" s="1664"/>
      <c r="L18" s="1664"/>
      <c r="M18" s="1664"/>
      <c r="N18" s="212"/>
      <c r="O18" s="1664"/>
      <c r="P18" s="211"/>
      <c r="Q18" s="211"/>
      <c r="R18" s="211"/>
      <c r="S18" s="211"/>
      <c r="T18" s="2688"/>
      <c r="U18" s="2688"/>
      <c r="V18" s="2688"/>
      <c r="W18" s="2688"/>
      <c r="X18" s="2688"/>
      <c r="Y18" s="2688"/>
      <c r="Z18" s="2688"/>
      <c r="AA18" s="2688"/>
      <c r="AB18" s="2688"/>
    </row>
    <row customHeight="1" ht="15">
      <c r="A19" s="2082"/>
      <c r="B19" s="1168">
        <v>1</v>
      </c>
      <c r="C19" s="1168"/>
      <c r="D19" s="806"/>
      <c r="E19" s="1854" t="str">
        <f>A18&amp;"."&amp;B19</f>
        <v>3.1</v>
      </c>
      <c r="F19" s="809" t="s">
        <v>112</v>
      </c>
      <c r="G19" s="799" t="s">
        <v>108</v>
      </c>
      <c r="H19" s="799" t="s">
        <v>113</v>
      </c>
      <c r="I19" s="797" t="s">
        <v>114</v>
      </c>
      <c r="J19" s="1664"/>
      <c r="K19" s="1676"/>
      <c r="L19" s="1676"/>
      <c r="M19" s="1664" t="str">
        <f t="array" ref="M19:M19">IF(ISERROR(MATCH(MID(N19,1,250),MID(note_ter,1,250),0)),"n","y")</f>
        <v>n</v>
      </c>
      <c r="N19" s="1676"/>
      <c r="O19" s="1664" t="str">
        <f>H19&amp;"("&amp;I19&amp;")"</f>
        <v>городское поселение Молочный(47605161)</v>
      </c>
      <c r="P19" s="1168"/>
      <c r="Q19" s="1168"/>
      <c r="R19" s="426"/>
      <c r="S19" s="1168"/>
      <c r="T19" s="1168"/>
      <c r="U19" s="1168"/>
      <c r="V19" s="428"/>
      <c r="W19" s="428"/>
      <c r="X19" s="425"/>
      <c r="Y19" s="425"/>
      <c r="Z19" s="425"/>
      <c r="AA19" s="425"/>
      <c r="AB19" s="425"/>
    </row>
    <row customHeight="1" ht="15">
      <c r="A20" s="2082"/>
      <c r="B20" s="1168"/>
      <c r="C20" s="418"/>
      <c r="D20" s="807"/>
      <c r="E20" s="427"/>
      <c r="F20" s="163"/>
      <c r="G20" s="421" t="s">
        <v>103</v>
      </c>
      <c r="H20" s="173"/>
      <c r="I20" s="430"/>
      <c r="J20" s="1676"/>
      <c r="K20" s="1676"/>
      <c r="L20" s="1676"/>
      <c r="M20" s="1676"/>
      <c r="N20" s="1664"/>
      <c r="O20" s="1676"/>
      <c r="P20" s="1168"/>
      <c r="Q20" s="1168"/>
      <c r="R20" s="426"/>
      <c r="S20" s="1168"/>
      <c r="T20" s="1168"/>
      <c r="U20" s="1168"/>
      <c r="V20" s="428"/>
      <c r="W20" s="428"/>
      <c r="X20" s="425"/>
      <c r="Y20" s="425"/>
      <c r="Z20" s="425"/>
      <c r="AA20" s="425"/>
      <c r="AB20" s="425"/>
    </row>
    <row customHeight="1" ht="15">
      <c r="A21" s="2082" t="s">
        <v>92</v>
      </c>
      <c r="B21" s="1168"/>
      <c r="C21" s="807" t="s">
        <v>105</v>
      </c>
      <c r="D21" s="1859"/>
      <c r="E21" s="1846" t="str">
        <f>A21</f>
        <v>4</v>
      </c>
      <c r="F21" s="810" t="s">
        <v>115</v>
      </c>
      <c r="G21" s="546" t="str">
        <f>"Территория "&amp;E21</f>
        <v>Территория 4</v>
      </c>
      <c r="H21" s="798"/>
      <c r="I21" s="798"/>
      <c r="J21" s="795"/>
      <c r="K21" s="1664"/>
      <c r="L21" s="1664"/>
      <c r="M21" s="1664"/>
      <c r="N21" s="212"/>
      <c r="O21" s="1664"/>
      <c r="P21" s="211"/>
      <c r="Q21" s="211"/>
      <c r="R21" s="211"/>
      <c r="S21" s="211"/>
      <c r="T21" s="2688"/>
      <c r="U21" s="2688"/>
      <c r="V21" s="2688"/>
      <c r="W21" s="2688"/>
      <c r="X21" s="2688"/>
      <c r="Y21" s="2688"/>
      <c r="Z21" s="2688"/>
      <c r="AA21" s="2688"/>
      <c r="AB21" s="2688"/>
    </row>
    <row customHeight="1" ht="15">
      <c r="A22" s="2082"/>
      <c r="B22" s="1168">
        <v>1</v>
      </c>
      <c r="C22" s="1168"/>
      <c r="D22" s="806"/>
      <c r="E22" s="1854" t="str">
        <f>A21&amp;"."&amp;B22</f>
        <v>4.1</v>
      </c>
      <c r="F22" s="809" t="s">
        <v>107</v>
      </c>
      <c r="G22" s="799" t="s">
        <v>108</v>
      </c>
      <c r="H22" s="799" t="s">
        <v>109</v>
      </c>
      <c r="I22" s="797" t="s">
        <v>110</v>
      </c>
      <c r="J22" s="1664"/>
      <c r="K22" s="1676"/>
      <c r="L22" s="1676"/>
      <c r="M22" s="1664" t="str">
        <f t="array" ref="M22:M22">IF(ISERROR(MATCH(MID(N22,1,250),MID(note_ter,1,250),0)),"n","y")</f>
        <v>n</v>
      </c>
      <c r="N22" s="1676"/>
      <c r="O22" s="1664" t="str">
        <f>H22&amp;"("&amp;I22&amp;")"</f>
        <v>Поселок Мурмаши(47605163)</v>
      </c>
      <c r="P22" s="1168"/>
      <c r="Q22" s="1168"/>
      <c r="R22" s="426"/>
      <c r="S22" s="1168"/>
      <c r="T22" s="1168"/>
      <c r="U22" s="1168"/>
      <c r="V22" s="428"/>
      <c r="W22" s="428"/>
      <c r="X22" s="425"/>
      <c r="Y22" s="425"/>
      <c r="Z22" s="425"/>
      <c r="AA22" s="425"/>
      <c r="AB22" s="425"/>
    </row>
    <row customHeight="1" ht="15">
      <c r="A23" s="2082"/>
      <c r="B23" s="1168"/>
      <c r="C23" s="418"/>
      <c r="D23" s="807"/>
      <c r="E23" s="427"/>
      <c r="F23" s="163"/>
      <c r="G23" s="421" t="s">
        <v>103</v>
      </c>
      <c r="H23" s="173"/>
      <c r="I23" s="430"/>
      <c r="J23" s="1676"/>
      <c r="K23" s="1676"/>
      <c r="L23" s="1676"/>
      <c r="M23" s="1676"/>
      <c r="N23" s="1664"/>
      <c r="O23" s="1676"/>
      <c r="P23" s="1168"/>
      <c r="Q23" s="1168"/>
      <c r="R23" s="426"/>
      <c r="S23" s="1168"/>
      <c r="T23" s="1168"/>
      <c r="U23" s="1168"/>
      <c r="V23" s="428"/>
      <c r="W23" s="428"/>
      <c r="X23" s="425"/>
      <c r="Y23" s="425"/>
      <c r="Z23" s="425"/>
      <c r="AA23" s="425"/>
      <c r="AB23" s="425"/>
    </row>
    <row customHeight="1" ht="15">
      <c r="A24" s="2082" t="s">
        <v>116</v>
      </c>
      <c r="B24" s="1168"/>
      <c r="C24" s="807" t="s">
        <v>105</v>
      </c>
      <c r="D24" s="1859"/>
      <c r="E24" s="1846" t="str">
        <f>A24</f>
        <v>5</v>
      </c>
      <c r="F24" s="810" t="s">
        <v>117</v>
      </c>
      <c r="G24" s="546" t="str">
        <f>"Территория "&amp;E24</f>
        <v>Территория 5</v>
      </c>
      <c r="H24" s="798"/>
      <c r="I24" s="798"/>
      <c r="J24" s="795"/>
      <c r="K24" s="1664"/>
      <c r="L24" s="1664"/>
      <c r="M24" s="1664"/>
      <c r="N24" s="212"/>
      <c r="O24" s="1664"/>
      <c r="P24" s="211"/>
      <c r="Q24" s="211"/>
      <c r="R24" s="211"/>
      <c r="S24" s="211"/>
      <c r="T24" s="2688"/>
      <c r="U24" s="2688"/>
      <c r="V24" s="2688"/>
      <c r="W24" s="2688"/>
      <c r="X24" s="2688"/>
      <c r="Y24" s="2688"/>
      <c r="Z24" s="2688"/>
      <c r="AA24" s="2688"/>
      <c r="AB24" s="2688"/>
    </row>
    <row customHeight="1" ht="15">
      <c r="A25" s="2082"/>
      <c r="B25" s="1168">
        <v>1</v>
      </c>
      <c r="C25" s="1168"/>
      <c r="D25" s="806"/>
      <c r="E25" s="1854" t="str">
        <f>A24&amp;"."&amp;B25</f>
        <v>5.1</v>
      </c>
      <c r="F25" s="809" t="s">
        <v>118</v>
      </c>
      <c r="G25" s="799" t="s">
        <v>108</v>
      </c>
      <c r="H25" s="799" t="s">
        <v>119</v>
      </c>
      <c r="I25" s="797" t="s">
        <v>120</v>
      </c>
      <c r="J25" s="1664"/>
      <c r="K25" s="1676"/>
      <c r="L25" s="1676"/>
      <c r="M25" s="1664" t="str">
        <f t="array" ref="M25:M25">IF(ISERROR(MATCH(MID(N25,1,250),MID(note_ter,1,250),0)),"n","y")</f>
        <v>n</v>
      </c>
      <c r="N25" s="1676"/>
      <c r="O25" s="1664" t="str">
        <f>H25&amp;"("&amp;I25&amp;")"</f>
        <v>Поселок Верхнетуломский(47605154)</v>
      </c>
      <c r="P25" s="1168"/>
      <c r="Q25" s="1168"/>
      <c r="R25" s="426"/>
      <c r="S25" s="1168"/>
      <c r="T25" s="1168"/>
      <c r="U25" s="1168"/>
      <c r="V25" s="428"/>
      <c r="W25" s="428"/>
      <c r="X25" s="425"/>
      <c r="Y25" s="425"/>
      <c r="Z25" s="425"/>
      <c r="AA25" s="425"/>
      <c r="AB25" s="425"/>
    </row>
    <row customHeight="1" ht="15">
      <c r="A26" s="2082"/>
      <c r="B26" s="1168"/>
      <c r="C26" s="418"/>
      <c r="D26" s="807"/>
      <c r="E26" s="427"/>
      <c r="F26" s="163"/>
      <c r="G26" s="421" t="s">
        <v>103</v>
      </c>
      <c r="H26" s="173"/>
      <c r="I26" s="430"/>
      <c r="J26" s="1676"/>
      <c r="K26" s="1676"/>
      <c r="L26" s="1676"/>
      <c r="M26" s="1676"/>
      <c r="N26" s="1664"/>
      <c r="O26" s="1676"/>
      <c r="P26" s="1168"/>
      <c r="Q26" s="1168"/>
      <c r="R26" s="426"/>
      <c r="S26" s="1168"/>
      <c r="T26" s="1168"/>
      <c r="U26" s="1168"/>
      <c r="V26" s="428"/>
      <c r="W26" s="428"/>
      <c r="X26" s="425"/>
      <c r="Y26" s="425"/>
      <c r="Z26" s="425"/>
      <c r="AA26" s="425"/>
      <c r="AB26" s="425"/>
    </row>
    <row customHeight="1" ht="15">
      <c r="A27" s="2082" t="s">
        <v>93</v>
      </c>
      <c r="B27" s="1168"/>
      <c r="C27" s="807" t="s">
        <v>105</v>
      </c>
      <c r="D27" s="1859"/>
      <c r="E27" s="1846" t="str">
        <f>A27</f>
        <v>6</v>
      </c>
      <c r="F27" s="810" t="s">
        <v>121</v>
      </c>
      <c r="G27" s="546" t="str">
        <f>"Территория "&amp;E27</f>
        <v>Территория 6</v>
      </c>
      <c r="H27" s="798"/>
      <c r="I27" s="798"/>
      <c r="J27" s="795"/>
      <c r="K27" s="1664"/>
      <c r="L27" s="1664"/>
      <c r="M27" s="1664"/>
      <c r="N27" s="212"/>
      <c r="O27" s="1664"/>
      <c r="P27" s="211"/>
      <c r="Q27" s="211"/>
      <c r="R27" s="211"/>
      <c r="S27" s="211"/>
      <c r="T27" s="2688"/>
      <c r="U27" s="2688"/>
      <c r="V27" s="2688"/>
      <c r="W27" s="2688"/>
      <c r="X27" s="2688"/>
      <c r="Y27" s="2688"/>
      <c r="Z27" s="2688"/>
      <c r="AA27" s="2688"/>
      <c r="AB27" s="2688"/>
    </row>
    <row customHeight="1" ht="15">
      <c r="A28" s="2082"/>
      <c r="B28" s="1168">
        <v>1</v>
      </c>
      <c r="C28" s="1168"/>
      <c r="D28" s="806"/>
      <c r="E28" s="1854" t="str">
        <f>A27&amp;"."&amp;B28</f>
        <v>6.1</v>
      </c>
      <c r="F28" s="809" t="s">
        <v>122</v>
      </c>
      <c r="G28" s="799" t="s">
        <v>108</v>
      </c>
      <c r="H28" s="799" t="s">
        <v>123</v>
      </c>
      <c r="I28" s="797" t="s">
        <v>124</v>
      </c>
      <c r="J28" s="1664"/>
      <c r="K28" s="1676"/>
      <c r="L28" s="1676"/>
      <c r="M28" s="1664" t="str">
        <f t="array" ref="M28:M28">IF(ISERROR(MATCH(MID(N28,1,250),MID(note_ter,1,250),0)),"n","y")</f>
        <v>n</v>
      </c>
      <c r="N28" s="1676"/>
      <c r="O28" s="1664" t="str">
        <f>H28&amp;"("&amp;I28&amp;")"</f>
        <v>Поселок Кильдинстрой(47605158)</v>
      </c>
      <c r="P28" s="1168"/>
      <c r="Q28" s="1168"/>
      <c r="R28" s="426"/>
      <c r="S28" s="1168"/>
      <c r="T28" s="1168"/>
      <c r="U28" s="1168"/>
      <c r="V28" s="428"/>
      <c r="W28" s="428"/>
      <c r="X28" s="425"/>
      <c r="Y28" s="425"/>
      <c r="Z28" s="425"/>
      <c r="AA28" s="425"/>
      <c r="AB28" s="425"/>
    </row>
    <row customHeight="1" ht="15">
      <c r="A29" s="2082"/>
      <c r="B29" s="1168"/>
      <c r="C29" s="418"/>
      <c r="D29" s="807"/>
      <c r="E29" s="427"/>
      <c r="F29" s="163"/>
      <c r="G29" s="421" t="s">
        <v>103</v>
      </c>
      <c r="H29" s="173"/>
      <c r="I29" s="430"/>
      <c r="J29" s="1676"/>
      <c r="K29" s="1676"/>
      <c r="L29" s="1676"/>
      <c r="M29" s="1676"/>
      <c r="N29" s="1664"/>
      <c r="O29" s="1676"/>
      <c r="P29" s="1168"/>
      <c r="Q29" s="1168"/>
      <c r="R29" s="426"/>
      <c r="S29" s="1168"/>
      <c r="T29" s="1168"/>
      <c r="U29" s="1168"/>
      <c r="V29" s="428"/>
      <c r="W29" s="428"/>
      <c r="X29" s="425"/>
      <c r="Y29" s="425"/>
      <c r="Z29" s="425"/>
      <c r="AA29" s="425"/>
      <c r="AB29" s="425"/>
    </row>
    <row customHeight="1" ht="15">
      <c r="A30" s="2082" t="s">
        <v>94</v>
      </c>
      <c r="B30" s="1168"/>
      <c r="C30" s="807" t="s">
        <v>105</v>
      </c>
      <c r="D30" s="1859"/>
      <c r="E30" s="1846" t="str">
        <f>A30</f>
        <v>7</v>
      </c>
      <c r="F30" s="810" t="s">
        <v>125</v>
      </c>
      <c r="G30" s="546" t="str">
        <f>"Территория "&amp;E30</f>
        <v>Территория 7</v>
      </c>
      <c r="H30" s="798"/>
      <c r="I30" s="798"/>
      <c r="J30" s="795"/>
      <c r="K30" s="1664"/>
      <c r="L30" s="1664"/>
      <c r="M30" s="1664"/>
      <c r="N30" s="212"/>
      <c r="O30" s="1664"/>
      <c r="P30" s="211"/>
      <c r="Q30" s="211"/>
      <c r="R30" s="211"/>
      <c r="S30" s="211"/>
      <c r="T30" s="2688"/>
      <c r="U30" s="2688"/>
      <c r="V30" s="2688"/>
      <c r="W30" s="2688"/>
      <c r="X30" s="2688"/>
      <c r="Y30" s="2688"/>
      <c r="Z30" s="2688"/>
      <c r="AA30" s="2688"/>
      <c r="AB30" s="2688"/>
    </row>
    <row customHeight="1" ht="15">
      <c r="A31" s="2082"/>
      <c r="B31" s="1168">
        <v>1</v>
      </c>
      <c r="C31" s="1168"/>
      <c r="D31" s="806"/>
      <c r="E31" s="1854" t="str">
        <f>A30&amp;"."&amp;B31</f>
        <v>7.1</v>
      </c>
      <c r="F31" s="809" t="s">
        <v>126</v>
      </c>
      <c r="G31" s="799" t="s">
        <v>127</v>
      </c>
      <c r="H31" s="799" t="s">
        <v>128</v>
      </c>
      <c r="I31" s="797" t="s">
        <v>129</v>
      </c>
      <c r="J31" s="1664"/>
      <c r="K31" s="1676"/>
      <c r="L31" s="1676"/>
      <c r="M31" s="1664" t="str">
        <f t="array" ref="M31:M31">IF(ISERROR(MATCH(MID(N31,1,250),MID(note_ter,1,250),0)),"n","y")</f>
        <v>n</v>
      </c>
      <c r="N31" s="1676"/>
      <c r="O31" s="1664" t="str">
        <f>H31&amp;"("&amp;I31&amp;")"</f>
        <v>сельское поселение Ловозеро(47610401)</v>
      </c>
      <c r="P31" s="1168"/>
      <c r="Q31" s="1168"/>
      <c r="R31" s="426"/>
      <c r="S31" s="1168"/>
      <c r="T31" s="1168"/>
      <c r="U31" s="1168"/>
      <c r="V31" s="428"/>
      <c r="W31" s="428"/>
      <c r="X31" s="425"/>
      <c r="Y31" s="425"/>
      <c r="Z31" s="425"/>
      <c r="AA31" s="425"/>
      <c r="AB31" s="425"/>
    </row>
    <row customHeight="1" ht="15">
      <c r="A32" s="2082"/>
      <c r="B32" s="1168"/>
      <c r="C32" s="418"/>
      <c r="D32" s="807"/>
      <c r="E32" s="427"/>
      <c r="F32" s="163"/>
      <c r="G32" s="421" t="s">
        <v>103</v>
      </c>
      <c r="H32" s="173"/>
      <c r="I32" s="430"/>
      <c r="J32" s="1676"/>
      <c r="K32" s="1676"/>
      <c r="L32" s="1676"/>
      <c r="M32" s="1676"/>
      <c r="N32" s="1664"/>
      <c r="O32" s="1676"/>
      <c r="P32" s="1168"/>
      <c r="Q32" s="1168"/>
      <c r="R32" s="426"/>
      <c r="S32" s="1168"/>
      <c r="T32" s="1168"/>
      <c r="U32" s="1168"/>
      <c r="V32" s="428"/>
      <c r="W32" s="428"/>
      <c r="X32" s="425"/>
      <c r="Y32" s="425"/>
      <c r="Z32" s="425"/>
      <c r="AA32" s="425"/>
      <c r="AB32" s="425"/>
    </row>
    <row customHeight="1" ht="15">
      <c r="A33" s="2082" t="s">
        <v>130</v>
      </c>
      <c r="B33" s="1168"/>
      <c r="C33" s="807" t="s">
        <v>105</v>
      </c>
      <c r="D33" s="1859"/>
      <c r="E33" s="1846" t="str">
        <f>A33</f>
        <v>8</v>
      </c>
      <c r="F33" s="810" t="s">
        <v>131</v>
      </c>
      <c r="G33" s="546" t="str">
        <f>"Территория "&amp;E33</f>
        <v>Территория 8</v>
      </c>
      <c r="H33" s="798"/>
      <c r="I33" s="798"/>
      <c r="J33" s="795"/>
      <c r="K33" s="1664"/>
      <c r="L33" s="1664"/>
      <c r="M33" s="1664"/>
      <c r="N33" s="212"/>
      <c r="O33" s="1664"/>
      <c r="P33" s="211"/>
      <c r="Q33" s="211"/>
      <c r="R33" s="211"/>
      <c r="S33" s="211"/>
      <c r="T33" s="2688"/>
      <c r="U33" s="2688"/>
      <c r="V33" s="2688"/>
      <c r="W33" s="2688"/>
      <c r="X33" s="2688"/>
      <c r="Y33" s="2688"/>
      <c r="Z33" s="2688"/>
      <c r="AA33" s="2688"/>
      <c r="AB33" s="2688"/>
    </row>
    <row customHeight="1" ht="15">
      <c r="A34" s="2082"/>
      <c r="B34" s="1168">
        <v>1</v>
      </c>
      <c r="C34" s="1168"/>
      <c r="D34" s="806"/>
      <c r="E34" s="1854" t="str">
        <f>A33&amp;"."&amp;B34</f>
        <v>8.1</v>
      </c>
      <c r="F34" s="809" t="s">
        <v>132</v>
      </c>
      <c r="G34" s="799" t="s">
        <v>127</v>
      </c>
      <c r="H34" s="799" t="s">
        <v>133</v>
      </c>
      <c r="I34" s="797" t="s">
        <v>134</v>
      </c>
      <c r="J34" s="1664"/>
      <c r="K34" s="1676"/>
      <c r="L34" s="1676"/>
      <c r="M34" s="1664" t="str">
        <f t="array" ref="M34:M34">IF(ISERROR(MATCH(MID(N34,1,250),MID(note_ter,1,250),0)),"n","y")</f>
        <v>n</v>
      </c>
      <c r="N34" s="1676"/>
      <c r="O34" s="1664" t="str">
        <f>H34&amp;"("&amp;I34&amp;")"</f>
        <v>Поселок Ревда(47610154)</v>
      </c>
      <c r="P34" s="1168"/>
      <c r="Q34" s="1168"/>
      <c r="R34" s="426"/>
      <c r="S34" s="1168"/>
      <c r="T34" s="1168"/>
      <c r="U34" s="1168"/>
      <c r="V34" s="428"/>
      <c r="W34" s="428"/>
      <c r="X34" s="425"/>
      <c r="Y34" s="425"/>
      <c r="Z34" s="425"/>
      <c r="AA34" s="425"/>
      <c r="AB34" s="425"/>
    </row>
    <row customHeight="1" ht="15">
      <c r="A35" s="2082"/>
      <c r="B35" s="1168"/>
      <c r="C35" s="418"/>
      <c r="D35" s="807"/>
      <c r="E35" s="427"/>
      <c r="F35" s="163"/>
      <c r="G35" s="421" t="s">
        <v>103</v>
      </c>
      <c r="H35" s="173"/>
      <c r="I35" s="430"/>
      <c r="J35" s="1676"/>
      <c r="K35" s="1676"/>
      <c r="L35" s="1676"/>
      <c r="M35" s="1676"/>
      <c r="N35" s="1664"/>
      <c r="O35" s="1676"/>
      <c r="P35" s="1168"/>
      <c r="Q35" s="1168"/>
      <c r="R35" s="426"/>
      <c r="S35" s="1168"/>
      <c r="T35" s="1168"/>
      <c r="U35" s="1168"/>
      <c r="V35" s="428"/>
      <c r="W35" s="428"/>
      <c r="X35" s="425"/>
      <c r="Y35" s="425"/>
      <c r="Z35" s="425"/>
      <c r="AA35" s="425"/>
      <c r="AB35" s="425"/>
    </row>
    <row customHeight="1" ht="15">
      <c r="A36" s="2082" t="s">
        <v>135</v>
      </c>
      <c r="B36" s="1168"/>
      <c r="C36" s="807" t="s">
        <v>105</v>
      </c>
      <c r="D36" s="1859"/>
      <c r="E36" s="1846" t="str">
        <f>A36</f>
        <v>9</v>
      </c>
      <c r="F36" s="810" t="s">
        <v>136</v>
      </c>
      <c r="G36" s="546" t="str">
        <f>"Территория "&amp;E36</f>
        <v>Территория 9</v>
      </c>
      <c r="H36" s="798"/>
      <c r="I36" s="798"/>
      <c r="J36" s="795"/>
      <c r="K36" s="1664"/>
      <c r="L36" s="1664"/>
      <c r="M36" s="1664"/>
      <c r="N36" s="212"/>
      <c r="O36" s="1664"/>
      <c r="P36" s="211"/>
      <c r="Q36" s="211"/>
      <c r="R36" s="211"/>
      <c r="S36" s="211"/>
      <c r="T36" s="2688"/>
      <c r="U36" s="2688"/>
      <c r="V36" s="2688"/>
      <c r="W36" s="2688"/>
      <c r="X36" s="2688"/>
      <c r="Y36" s="2688"/>
      <c r="Z36" s="2688"/>
      <c r="AA36" s="2688"/>
      <c r="AB36" s="2688"/>
    </row>
    <row customHeight="1" ht="15">
      <c r="A37" s="2082"/>
      <c r="B37" s="1168">
        <v>1</v>
      </c>
      <c r="C37" s="1168"/>
      <c r="D37" s="806"/>
      <c r="E37" s="1854" t="str">
        <f>A36&amp;"."&amp;B37</f>
        <v>9.1</v>
      </c>
      <c r="F37" s="809" t="s">
        <v>92</v>
      </c>
      <c r="G37" s="799" t="s">
        <v>137</v>
      </c>
      <c r="H37" s="799" t="s">
        <v>137</v>
      </c>
      <c r="I37" s="797" t="s">
        <v>138</v>
      </c>
      <c r="J37" s="1664"/>
      <c r="K37" s="1676"/>
      <c r="L37" s="1676"/>
      <c r="M37" s="1664" t="str">
        <f t="array" ref="M37:M37">IF(ISERROR(MATCH(MID(N37,1,250),MID(note_ter,1,250),0)),"n","y")</f>
        <v>n</v>
      </c>
      <c r="N37" s="1676"/>
      <c r="O37" s="1664" t="str">
        <f>H37&amp;"("&amp;I37&amp;")"</f>
        <v>Город Оленегорск(47717000)</v>
      </c>
      <c r="P37" s="1168"/>
      <c r="Q37" s="1168"/>
      <c r="R37" s="426"/>
      <c r="S37" s="1168"/>
      <c r="T37" s="1168"/>
      <c r="U37" s="1168"/>
      <c r="V37" s="428"/>
      <c r="W37" s="428"/>
      <c r="X37" s="425"/>
      <c r="Y37" s="425"/>
      <c r="Z37" s="425"/>
      <c r="AA37" s="425"/>
      <c r="AB37" s="425"/>
    </row>
    <row customHeight="1" ht="15">
      <c r="A38" s="2082"/>
      <c r="B38" s="1168"/>
      <c r="C38" s="418"/>
      <c r="D38" s="807"/>
      <c r="E38" s="427"/>
      <c r="F38" s="163"/>
      <c r="G38" s="421" t="s">
        <v>103</v>
      </c>
      <c r="H38" s="173"/>
      <c r="I38" s="430"/>
      <c r="J38" s="1676"/>
      <c r="K38" s="1676"/>
      <c r="L38" s="1676"/>
      <c r="M38" s="1676"/>
      <c r="N38" s="1664"/>
      <c r="O38" s="1676"/>
      <c r="P38" s="1168"/>
      <c r="Q38" s="1168"/>
      <c r="R38" s="426"/>
      <c r="S38" s="1168"/>
      <c r="T38" s="1168"/>
      <c r="U38" s="1168"/>
      <c r="V38" s="428"/>
      <c r="W38" s="428"/>
      <c r="X38" s="425"/>
      <c r="Y38" s="425"/>
      <c r="Z38" s="425"/>
      <c r="AA38" s="425"/>
      <c r="AB38" s="425"/>
    </row>
    <row customHeight="1" ht="15">
      <c r="A39" s="2082" t="s">
        <v>139</v>
      </c>
      <c r="B39" s="1168"/>
      <c r="C39" s="807" t="s">
        <v>105</v>
      </c>
      <c r="D39" s="1859"/>
      <c r="E39" s="1846" t="str">
        <f>A39</f>
        <v>10</v>
      </c>
      <c r="F39" s="810" t="s">
        <v>140</v>
      </c>
      <c r="G39" s="546" t="str">
        <f>"Территория "&amp;E39</f>
        <v>Территория 10</v>
      </c>
      <c r="H39" s="798"/>
      <c r="I39" s="798"/>
      <c r="J39" s="795"/>
      <c r="K39" s="1664"/>
      <c r="L39" s="1664"/>
      <c r="M39" s="1664"/>
      <c r="N39" s="212"/>
      <c r="O39" s="1664"/>
      <c r="P39" s="211"/>
      <c r="Q39" s="211"/>
      <c r="R39" s="211"/>
      <c r="S39" s="211"/>
      <c r="T39" s="2688"/>
      <c r="U39" s="2688"/>
      <c r="V39" s="2688"/>
      <c r="W39" s="2688"/>
      <c r="X39" s="2688"/>
      <c r="Y39" s="2688"/>
      <c r="Z39" s="2688"/>
      <c r="AA39" s="2688"/>
      <c r="AB39" s="2688"/>
    </row>
    <row customHeight="1" ht="15">
      <c r="A40" s="2082"/>
      <c r="B40" s="1168">
        <v>1</v>
      </c>
      <c r="C40" s="1168"/>
      <c r="D40" s="806"/>
      <c r="E40" s="1854" t="str">
        <f>A39&amp;"."&amp;B40</f>
        <v>10.1</v>
      </c>
      <c r="F40" s="809" t="s">
        <v>93</v>
      </c>
      <c r="G40" s="799" t="s">
        <v>141</v>
      </c>
      <c r="H40" s="799" t="s">
        <v>141</v>
      </c>
      <c r="I40" s="797" t="s">
        <v>142</v>
      </c>
      <c r="J40" s="1664"/>
      <c r="K40" s="1676"/>
      <c r="L40" s="1676"/>
      <c r="M40" s="1664" t="str">
        <f t="array" ref="M40:M40">IF(ISERROR(MATCH(MID(N40,1,250),MID(note_ter,1,250),0)),"n","y")</f>
        <v>n</v>
      </c>
      <c r="N40" s="1676"/>
      <c r="O40" s="1664" t="str">
        <f>H40&amp;"("&amp;I40&amp;")"</f>
        <v>ЗАТО город Александровск(47737000)</v>
      </c>
      <c r="P40" s="1168"/>
      <c r="Q40" s="1168"/>
      <c r="R40" s="426"/>
      <c r="S40" s="1168"/>
      <c r="T40" s="1168"/>
      <c r="U40" s="1168"/>
      <c r="V40" s="428"/>
      <c r="W40" s="428"/>
      <c r="X40" s="425"/>
      <c r="Y40" s="425"/>
      <c r="Z40" s="425"/>
      <c r="AA40" s="425"/>
      <c r="AB40" s="425"/>
    </row>
    <row customHeight="1" ht="15">
      <c r="A41" s="2082"/>
      <c r="B41" s="1168"/>
      <c r="C41" s="418"/>
      <c r="D41" s="807"/>
      <c r="E41" s="427"/>
      <c r="F41" s="163"/>
      <c r="G41" s="421" t="s">
        <v>103</v>
      </c>
      <c r="H41" s="173"/>
      <c r="I41" s="430"/>
      <c r="J41" s="1676"/>
      <c r="K41" s="1676"/>
      <c r="L41" s="1676"/>
      <c r="M41" s="1676"/>
      <c r="N41" s="1664"/>
      <c r="O41" s="1676"/>
      <c r="P41" s="1168"/>
      <c r="Q41" s="1168"/>
      <c r="R41" s="426"/>
      <c r="S41" s="1168"/>
      <c r="T41" s="1168"/>
      <c r="U41" s="1168"/>
      <c r="V41" s="428"/>
      <c r="W41" s="428"/>
      <c r="X41" s="425"/>
      <c r="Y41" s="425"/>
      <c r="Z41" s="425"/>
      <c r="AA41" s="425"/>
      <c r="AB41" s="425"/>
    </row>
    <row customHeight="1" ht="15">
      <c r="A42" s="2082" t="s">
        <v>143</v>
      </c>
      <c r="B42" s="1168"/>
      <c r="C42" s="807" t="s">
        <v>105</v>
      </c>
      <c r="D42" s="1859"/>
      <c r="E42" s="1846" t="str">
        <f>A42</f>
        <v>11</v>
      </c>
      <c r="F42" s="810" t="s">
        <v>144</v>
      </c>
      <c r="G42" s="546" t="str">
        <f>"Территория "&amp;E42</f>
        <v>Территория 11</v>
      </c>
      <c r="H42" s="798"/>
      <c r="I42" s="798"/>
      <c r="J42" s="795"/>
      <c r="K42" s="1664"/>
      <c r="L42" s="1664"/>
      <c r="M42" s="1664"/>
      <c r="N42" s="212"/>
      <c r="O42" s="1664"/>
      <c r="P42" s="211"/>
      <c r="Q42" s="211"/>
      <c r="R42" s="211"/>
      <c r="S42" s="211"/>
      <c r="T42" s="2688"/>
      <c r="U42" s="2688"/>
      <c r="V42" s="2688"/>
      <c r="W42" s="2688"/>
      <c r="X42" s="2688"/>
      <c r="Y42" s="2688"/>
      <c r="Z42" s="2688"/>
      <c r="AA42" s="2688"/>
      <c r="AB42" s="2688"/>
    </row>
    <row customHeight="1" ht="15">
      <c r="A43" s="2082"/>
      <c r="B43" s="1168">
        <v>1</v>
      </c>
      <c r="C43" s="1168"/>
      <c r="D43" s="806"/>
      <c r="E43" s="1854" t="str">
        <f>A42&amp;"."&amp;B43</f>
        <v>11.1</v>
      </c>
      <c r="F43" s="809" t="s">
        <v>145</v>
      </c>
      <c r="G43" s="799" t="s">
        <v>146</v>
      </c>
      <c r="H43" s="799" t="s">
        <v>146</v>
      </c>
      <c r="I43" s="797" t="s">
        <v>147</v>
      </c>
      <c r="J43" s="1664"/>
      <c r="K43" s="1676"/>
      <c r="L43" s="1676"/>
      <c r="M43" s="1664" t="str">
        <f t="array" ref="M43:M43">IF(ISERROR(MATCH(MID(N43,1,250),MID(note_ter,1,250),0)),"n","y")</f>
        <v>n</v>
      </c>
      <c r="N43" s="1676"/>
      <c r="O43" s="1664" t="str">
        <f>H43&amp;"("&amp;I43&amp;")"</f>
        <v>Печенгский муниципальный округ(47515000)</v>
      </c>
      <c r="P43" s="1168"/>
      <c r="Q43" s="1168"/>
      <c r="R43" s="426"/>
      <c r="S43" s="1168"/>
      <c r="T43" s="1168"/>
      <c r="U43" s="1168"/>
      <c r="V43" s="428"/>
      <c r="W43" s="428"/>
      <c r="X43" s="425"/>
      <c r="Y43" s="425"/>
      <c r="Z43" s="425"/>
      <c r="AA43" s="425"/>
      <c r="AB43" s="425"/>
    </row>
    <row customHeight="1" ht="15">
      <c r="A44" s="2082"/>
      <c r="B44" s="1168"/>
      <c r="C44" s="418"/>
      <c r="D44" s="807"/>
      <c r="E44" s="427"/>
      <c r="F44" s="163"/>
      <c r="G44" s="421" t="s">
        <v>103</v>
      </c>
      <c r="H44" s="173"/>
      <c r="I44" s="430"/>
      <c r="J44" s="1676"/>
      <c r="K44" s="1676"/>
      <c r="L44" s="1676"/>
      <c r="M44" s="1676"/>
      <c r="N44" s="1664"/>
      <c r="O44" s="1676"/>
      <c r="P44" s="1168"/>
      <c r="Q44" s="1168"/>
      <c r="R44" s="426"/>
      <c r="S44" s="1168"/>
      <c r="T44" s="1168"/>
      <c r="U44" s="1168"/>
      <c r="V44" s="428"/>
      <c r="W44" s="428"/>
      <c r="X44" s="425"/>
      <c r="Y44" s="425"/>
      <c r="Z44" s="425"/>
      <c r="AA44" s="425"/>
      <c r="AB44" s="425"/>
    </row>
    <row customHeight="1" ht="15">
      <c r="A45" s="2082" t="s">
        <v>148</v>
      </c>
      <c r="B45" s="1168"/>
      <c r="C45" s="807" t="s">
        <v>105</v>
      </c>
      <c r="D45" s="1859"/>
      <c r="E45" s="1846" t="str">
        <f>A45</f>
        <v>12</v>
      </c>
      <c r="F45" s="810" t="s">
        <v>149</v>
      </c>
      <c r="G45" s="546" t="str">
        <f>"Территория "&amp;E45</f>
        <v>Территория 12</v>
      </c>
      <c r="H45" s="798"/>
      <c r="I45" s="798"/>
      <c r="J45" s="795"/>
      <c r="K45" s="1664"/>
      <c r="L45" s="1664"/>
      <c r="M45" s="1664"/>
      <c r="N45" s="212"/>
      <c r="O45" s="1664"/>
      <c r="P45" s="211"/>
      <c r="Q45" s="211"/>
      <c r="R45" s="211"/>
      <c r="S45" s="211"/>
      <c r="T45" s="2688"/>
      <c r="U45" s="2688"/>
      <c r="V45" s="2688"/>
      <c r="W45" s="2688"/>
      <c r="X45" s="2688"/>
      <c r="Y45" s="2688"/>
      <c r="Z45" s="2688"/>
      <c r="AA45" s="2688"/>
      <c r="AB45" s="2688"/>
    </row>
    <row customHeight="1" ht="15">
      <c r="A46" s="2082"/>
      <c r="B46" s="1168">
        <v>1</v>
      </c>
      <c r="C46" s="1168"/>
      <c r="D46" s="806"/>
      <c r="E46" s="1854" t="str">
        <f>A45&amp;"."&amp;B46</f>
        <v>12.1</v>
      </c>
      <c r="F46" s="809" t="s">
        <v>135</v>
      </c>
      <c r="G46" s="799" t="s">
        <v>150</v>
      </c>
      <c r="H46" s="799" t="s">
        <v>150</v>
      </c>
      <c r="I46" s="797" t="s">
        <v>151</v>
      </c>
      <c r="J46" s="1664"/>
      <c r="K46" s="1676"/>
      <c r="L46" s="1676"/>
      <c r="M46" s="1664" t="str">
        <f t="array" ref="M46:M46">IF(ISERROR(MATCH(MID(N46,1,250),MID(note_ter,1,250),0)),"n","y")</f>
        <v>n</v>
      </c>
      <c r="N46" s="1676"/>
      <c r="O46" s="1664" t="str">
        <f>H46&amp;"("&amp;I46&amp;")"</f>
        <v>ЗАТО город Североморск(47730000)</v>
      </c>
      <c r="P46" s="1168"/>
      <c r="Q46" s="1168"/>
      <c r="R46" s="426"/>
      <c r="S46" s="1168"/>
      <c r="T46" s="1168"/>
      <c r="U46" s="1168"/>
      <c r="V46" s="428"/>
      <c r="W46" s="428"/>
      <c r="X46" s="425"/>
      <c r="Y46" s="425"/>
      <c r="Z46" s="425"/>
      <c r="AA46" s="425"/>
      <c r="AB46" s="425"/>
    </row>
    <row customHeight="1" ht="15">
      <c r="A47" s="2082"/>
      <c r="B47" s="1168"/>
      <c r="C47" s="418"/>
      <c r="D47" s="807"/>
      <c r="E47" s="427"/>
      <c r="F47" s="163"/>
      <c r="G47" s="421" t="s">
        <v>103</v>
      </c>
      <c r="H47" s="173"/>
      <c r="I47" s="430"/>
      <c r="J47" s="1676"/>
      <c r="K47" s="1676"/>
      <c r="L47" s="1676"/>
      <c r="M47" s="1676"/>
      <c r="N47" s="1664"/>
      <c r="O47" s="1676"/>
      <c r="P47" s="1168"/>
      <c r="Q47" s="1168"/>
      <c r="R47" s="426"/>
      <c r="S47" s="1168"/>
      <c r="T47" s="1168"/>
      <c r="U47" s="1168"/>
      <c r="V47" s="428"/>
      <c r="W47" s="428"/>
      <c r="X47" s="425"/>
      <c r="Y47" s="425"/>
      <c r="Z47" s="425"/>
      <c r="AA47" s="425"/>
      <c r="AB47" s="425"/>
    </row>
    <row customHeight="1" ht="15">
      <c r="A48" s="2082" t="s">
        <v>152</v>
      </c>
      <c r="B48" s="1168"/>
      <c r="C48" s="807" t="s">
        <v>105</v>
      </c>
      <c r="D48" s="1859"/>
      <c r="E48" s="1846" t="str">
        <f>A48</f>
        <v>13</v>
      </c>
      <c r="F48" s="810" t="s">
        <v>153</v>
      </c>
      <c r="G48" s="546" t="str">
        <f>"Территория "&amp;E48</f>
        <v>Территория 13</v>
      </c>
      <c r="H48" s="798"/>
      <c r="I48" s="798"/>
      <c r="J48" s="795"/>
      <c r="K48" s="1664"/>
      <c r="L48" s="1664"/>
      <c r="M48" s="1664"/>
      <c r="N48" s="212"/>
      <c r="O48" s="1664"/>
      <c r="P48" s="211"/>
      <c r="Q48" s="211"/>
      <c r="R48" s="211"/>
      <c r="S48" s="211"/>
      <c r="T48" s="2688"/>
      <c r="U48" s="2688"/>
      <c r="V48" s="2688"/>
      <c r="W48" s="2688"/>
      <c r="X48" s="2688"/>
      <c r="Y48" s="2688"/>
      <c r="Z48" s="2688"/>
      <c r="AA48" s="2688"/>
      <c r="AB48" s="2688"/>
    </row>
    <row customHeight="1" ht="15">
      <c r="A49" s="2082"/>
      <c r="B49" s="1168">
        <v>1</v>
      </c>
      <c r="C49" s="1168"/>
      <c r="D49" s="806"/>
      <c r="E49" s="1854" t="str">
        <f>A48&amp;"."&amp;B49</f>
        <v>13.1</v>
      </c>
      <c r="F49" s="809" t="s">
        <v>148</v>
      </c>
      <c r="G49" s="799" t="s">
        <v>154</v>
      </c>
      <c r="H49" s="799" t="s">
        <v>155</v>
      </c>
      <c r="I49" s="797" t="s">
        <v>156</v>
      </c>
      <c r="J49" s="1664"/>
      <c r="K49" s="1676"/>
      <c r="L49" s="1676"/>
      <c r="M49" s="1664" t="str">
        <f t="array" ref="M49:M49">IF(ISERROR(MATCH(MID(N49,1,250),MID(note_ter,1,250),0)),"n","y")</f>
        <v>n</v>
      </c>
      <c r="N49" s="1676"/>
      <c r="O49" s="1664" t="str">
        <f>H49&amp;"("&amp;I49&amp;")"</f>
        <v>Город Кандалакша(47608101)</v>
      </c>
      <c r="P49" s="1168"/>
      <c r="Q49" s="1168"/>
      <c r="R49" s="426"/>
      <c r="S49" s="1168"/>
      <c r="T49" s="1168"/>
      <c r="U49" s="1168"/>
      <c r="V49" s="428"/>
      <c r="W49" s="428"/>
      <c r="X49" s="425"/>
      <c r="Y49" s="425"/>
      <c r="Z49" s="425"/>
      <c r="AA49" s="425"/>
      <c r="AB49" s="425"/>
    </row>
    <row customHeight="1" ht="15">
      <c r="A50" s="2082"/>
      <c r="B50" s="1168"/>
      <c r="C50" s="418"/>
      <c r="D50" s="807"/>
      <c r="E50" s="427"/>
      <c r="F50" s="163"/>
      <c r="G50" s="421" t="s">
        <v>103</v>
      </c>
      <c r="H50" s="173"/>
      <c r="I50" s="430"/>
      <c r="J50" s="1676"/>
      <c r="K50" s="1676"/>
      <c r="L50" s="1676"/>
      <c r="M50" s="1676"/>
      <c r="N50" s="1664"/>
      <c r="O50" s="1676"/>
      <c r="P50" s="1168"/>
      <c r="Q50" s="1168"/>
      <c r="R50" s="426"/>
      <c r="S50" s="1168"/>
      <c r="T50" s="1168"/>
      <c r="U50" s="1168"/>
      <c r="V50" s="428"/>
      <c r="W50" s="428"/>
      <c r="X50" s="425"/>
      <c r="Y50" s="425"/>
      <c r="Z50" s="425"/>
      <c r="AA50" s="425"/>
      <c r="AB50" s="425"/>
    </row>
    <row customHeight="1" ht="15">
      <c r="A51" s="2082" t="s">
        <v>157</v>
      </c>
      <c r="B51" s="1168"/>
      <c r="C51" s="807" t="s">
        <v>105</v>
      </c>
      <c r="D51" s="1859"/>
      <c r="E51" s="1846" t="str">
        <f>A51</f>
        <v>14</v>
      </c>
      <c r="F51" s="810" t="s">
        <v>158</v>
      </c>
      <c r="G51" s="546" t="str">
        <f>"Территория "&amp;E51</f>
        <v>Территория 14</v>
      </c>
      <c r="H51" s="798"/>
      <c r="I51" s="798"/>
      <c r="J51" s="795"/>
      <c r="K51" s="1664"/>
      <c r="L51" s="1664"/>
      <c r="M51" s="1664"/>
      <c r="N51" s="212"/>
      <c r="O51" s="1664"/>
      <c r="P51" s="211"/>
      <c r="Q51" s="211"/>
      <c r="R51" s="211"/>
      <c r="S51" s="211"/>
      <c r="T51" s="2688"/>
      <c r="U51" s="2688"/>
      <c r="V51" s="2688"/>
      <c r="W51" s="2688"/>
      <c r="X51" s="2688"/>
      <c r="Y51" s="2688"/>
      <c r="Z51" s="2688"/>
      <c r="AA51" s="2688"/>
      <c r="AB51" s="2688"/>
    </row>
    <row customHeight="1" ht="15">
      <c r="A52" s="2082"/>
      <c r="B52" s="1168">
        <v>1</v>
      </c>
      <c r="C52" s="1168"/>
      <c r="D52" s="806"/>
      <c r="E52" s="1854" t="str">
        <f>A51&amp;"."&amp;B52</f>
        <v>14.1</v>
      </c>
      <c r="F52" s="809" t="s">
        <v>159</v>
      </c>
      <c r="G52" s="799" t="s">
        <v>154</v>
      </c>
      <c r="H52" s="799" t="s">
        <v>160</v>
      </c>
      <c r="I52" s="797" t="s">
        <v>161</v>
      </c>
      <c r="J52" s="1664"/>
      <c r="K52" s="1676"/>
      <c r="L52" s="1676"/>
      <c r="M52" s="1664" t="str">
        <f t="array" ref="M52:M52">IF(ISERROR(MATCH(MID(N52,1,250),MID(note_ter,1,250),0)),"n","y")</f>
        <v>n</v>
      </c>
      <c r="N52" s="1676"/>
      <c r="O52" s="1664" t="str">
        <f>H52&amp;"("&amp;I52&amp;")"</f>
        <v>Поселок Зеленоборский(47608158)</v>
      </c>
      <c r="P52" s="1168"/>
      <c r="Q52" s="1168"/>
      <c r="R52" s="426"/>
      <c r="S52" s="1168"/>
      <c r="T52" s="1168"/>
      <c r="U52" s="1168"/>
      <c r="V52" s="428"/>
      <c r="W52" s="428"/>
      <c r="X52" s="425"/>
      <c r="Y52" s="425"/>
      <c r="Z52" s="425"/>
      <c r="AA52" s="425"/>
      <c r="AB52" s="425"/>
    </row>
    <row customHeight="1" ht="15">
      <c r="A53" s="2082"/>
      <c r="B53" s="1168"/>
      <c r="C53" s="418"/>
      <c r="D53" s="807"/>
      <c r="E53" s="427"/>
      <c r="F53" s="163"/>
      <c r="G53" s="421" t="s">
        <v>103</v>
      </c>
      <c r="H53" s="173"/>
      <c r="I53" s="430"/>
      <c r="J53" s="1676"/>
      <c r="K53" s="1676"/>
      <c r="L53" s="1676"/>
      <c r="M53" s="1676"/>
      <c r="N53" s="1664"/>
      <c r="O53" s="1676"/>
      <c r="P53" s="1168"/>
      <c r="Q53" s="1168"/>
      <c r="R53" s="426"/>
      <c r="S53" s="1168"/>
      <c r="T53" s="1168"/>
      <c r="U53" s="1168"/>
      <c r="V53" s="428"/>
      <c r="W53" s="428"/>
      <c r="X53" s="425"/>
      <c r="Y53" s="425"/>
      <c r="Z53" s="425"/>
      <c r="AA53" s="425"/>
      <c r="AB53" s="425"/>
    </row>
    <row customHeight="1" ht="15">
      <c r="A54" s="2082" t="s">
        <v>159</v>
      </c>
      <c r="B54" s="1168"/>
      <c r="C54" s="807" t="s">
        <v>105</v>
      </c>
      <c r="D54" s="1859"/>
      <c r="E54" s="1846" t="str">
        <f>A54</f>
        <v>15</v>
      </c>
      <c r="F54" s="810" t="s">
        <v>162</v>
      </c>
      <c r="G54" s="546" t="str">
        <f>"Территория "&amp;E54</f>
        <v>Территория 15</v>
      </c>
      <c r="H54" s="798"/>
      <c r="I54" s="798"/>
      <c r="J54" s="795"/>
      <c r="K54" s="1664"/>
      <c r="L54" s="1664"/>
      <c r="M54" s="1664"/>
      <c r="N54" s="212"/>
      <c r="O54" s="1664"/>
      <c r="P54" s="211"/>
      <c r="Q54" s="211"/>
      <c r="R54" s="211"/>
      <c r="S54" s="211"/>
      <c r="T54" s="2688"/>
      <c r="U54" s="2688"/>
      <c r="V54" s="2688"/>
      <c r="W54" s="2688"/>
      <c r="X54" s="2688"/>
      <c r="Y54" s="2688"/>
      <c r="Z54" s="2688"/>
      <c r="AA54" s="2688"/>
      <c r="AB54" s="2688"/>
    </row>
    <row customHeight="1" ht="15">
      <c r="A55" s="2082"/>
      <c r="B55" s="1168">
        <v>1</v>
      </c>
      <c r="C55" s="1168"/>
      <c r="D55" s="806"/>
      <c r="E55" s="1854" t="str">
        <f>A54&amp;"."&amp;B55</f>
        <v>15.1</v>
      </c>
      <c r="F55" s="809" t="s">
        <v>163</v>
      </c>
      <c r="G55" s="799" t="s">
        <v>108</v>
      </c>
      <c r="H55" s="799" t="s">
        <v>164</v>
      </c>
      <c r="I55" s="797" t="s">
        <v>165</v>
      </c>
      <c r="J55" s="1664"/>
      <c r="K55" s="1676"/>
      <c r="L55" s="1676"/>
      <c r="M55" s="1664" t="str">
        <f t="array" ref="M55:M55">IF(ISERROR(MATCH(MID(N55,1,250),MID(note_ter,1,250),0)),"n","y")</f>
        <v>n</v>
      </c>
      <c r="N55" s="1676"/>
      <c r="O55" s="1664" t="str">
        <f>H55&amp;"("&amp;I55&amp;")"</f>
        <v>Териберское сельское поселение(47605405)</v>
      </c>
      <c r="P55" s="1168"/>
      <c r="Q55" s="1168"/>
      <c r="R55" s="426"/>
      <c r="S55" s="1168"/>
      <c r="T55" s="1168"/>
      <c r="U55" s="1168"/>
      <c r="V55" s="428"/>
      <c r="W55" s="428"/>
      <c r="X55" s="425"/>
      <c r="Y55" s="425"/>
      <c r="Z55" s="425"/>
      <c r="AA55" s="425"/>
      <c r="AB55" s="425"/>
    </row>
    <row customHeight="1" ht="15">
      <c r="A56" s="2082"/>
      <c r="B56" s="1168"/>
      <c r="C56" s="418"/>
      <c r="D56" s="807"/>
      <c r="E56" s="427"/>
      <c r="F56" s="163"/>
      <c r="G56" s="421" t="s">
        <v>103</v>
      </c>
      <c r="H56" s="173"/>
      <c r="I56" s="430"/>
      <c r="J56" s="1676"/>
      <c r="K56" s="1676"/>
      <c r="L56" s="1676"/>
      <c r="M56" s="1676"/>
      <c r="N56" s="1664"/>
      <c r="O56" s="1676"/>
      <c r="P56" s="1168"/>
      <c r="Q56" s="1168"/>
      <c r="R56" s="426"/>
      <c r="S56" s="1168"/>
      <c r="T56" s="1168"/>
      <c r="U56" s="1168"/>
      <c r="V56" s="428"/>
      <c r="W56" s="428"/>
      <c r="X56" s="425"/>
      <c r="Y56" s="425"/>
      <c r="Z56" s="425"/>
      <c r="AA56" s="425"/>
      <c r="AB56" s="425"/>
    </row>
    <row customHeight="1" ht="15">
      <c r="A57" s="2082" t="s">
        <v>166</v>
      </c>
      <c r="B57" s="1168"/>
      <c r="C57" s="807" t="s">
        <v>105</v>
      </c>
      <c r="D57" s="1859"/>
      <c r="E57" s="1846" t="str">
        <f>A57</f>
        <v>16</v>
      </c>
      <c r="F57" s="810" t="s">
        <v>167</v>
      </c>
      <c r="G57" s="546" t="str">
        <f>"Территория "&amp;E57</f>
        <v>Территория 16</v>
      </c>
      <c r="H57" s="798"/>
      <c r="I57" s="798"/>
      <c r="J57" s="795"/>
      <c r="K57" s="1664"/>
      <c r="L57" s="1664"/>
      <c r="M57" s="1664"/>
      <c r="N57" s="212"/>
      <c r="O57" s="1664"/>
      <c r="P57" s="211"/>
      <c r="Q57" s="211"/>
      <c r="R57" s="211"/>
      <c r="S57" s="211"/>
      <c r="T57" s="2688"/>
      <c r="U57" s="2688"/>
      <c r="V57" s="2688"/>
      <c r="W57" s="2688"/>
      <c r="X57" s="2688"/>
      <c r="Y57" s="2688"/>
      <c r="Z57" s="2688"/>
      <c r="AA57" s="2688"/>
      <c r="AB57" s="2688"/>
    </row>
    <row customHeight="1" ht="15">
      <c r="A58" s="2082"/>
      <c r="B58" s="1168">
        <v>1</v>
      </c>
      <c r="C58" s="1168"/>
      <c r="D58" s="806"/>
      <c r="E58" s="1854" t="str">
        <f>A57&amp;"."&amp;B58</f>
        <v>16.1</v>
      </c>
      <c r="F58" s="809" t="s">
        <v>166</v>
      </c>
      <c r="G58" s="799" t="s">
        <v>168</v>
      </c>
      <c r="H58" s="799" t="s">
        <v>168</v>
      </c>
      <c r="I58" s="797" t="s">
        <v>169</v>
      </c>
      <c r="J58" s="1664"/>
      <c r="K58" s="1676"/>
      <c r="L58" s="1676"/>
      <c r="M58" s="1664" t="str">
        <f t="array" ref="M58:M58">IF(ISERROR(MATCH(MID(N58,1,250),MID(note_ter,1,250),0)),"n","y")</f>
        <v>n</v>
      </c>
      <c r="N58" s="1676"/>
      <c r="O58" s="1664" t="str">
        <f>H58&amp;"("&amp;I58&amp;")"</f>
        <v>Ковдорский муниципальный округ(47517000)</v>
      </c>
      <c r="P58" s="1168"/>
      <c r="Q58" s="1168"/>
      <c r="R58" s="426"/>
      <c r="S58" s="1168"/>
      <c r="T58" s="1168"/>
      <c r="U58" s="1168"/>
      <c r="V58" s="428"/>
      <c r="W58" s="428"/>
      <c r="X58" s="425"/>
      <c r="Y58" s="425"/>
      <c r="Z58" s="425"/>
      <c r="AA58" s="425"/>
      <c r="AB58" s="425"/>
    </row>
    <row customHeight="1" ht="15">
      <c r="A59" s="2082"/>
      <c r="B59" s="1168"/>
      <c r="C59" s="418"/>
      <c r="D59" s="807"/>
      <c r="E59" s="427"/>
      <c r="F59" s="163"/>
      <c r="G59" s="421" t="s">
        <v>103</v>
      </c>
      <c r="H59" s="173"/>
      <c r="I59" s="430"/>
      <c r="J59" s="1676"/>
      <c r="K59" s="1676"/>
      <c r="L59" s="1676"/>
      <c r="M59" s="1676"/>
      <c r="N59" s="1664"/>
      <c r="O59" s="1676"/>
      <c r="P59" s="1168"/>
      <c r="Q59" s="1168"/>
      <c r="R59" s="426"/>
      <c r="S59" s="1168"/>
      <c r="T59" s="1168"/>
      <c r="U59" s="1168"/>
      <c r="V59" s="428"/>
      <c r="W59" s="428"/>
      <c r="X59" s="425"/>
      <c r="Y59" s="425"/>
      <c r="Z59" s="425"/>
      <c r="AA59" s="425"/>
      <c r="AB59" s="425"/>
    </row>
    <row customHeight="1" ht="15">
      <c r="A60" s="2082" t="s">
        <v>170</v>
      </c>
      <c r="B60" s="1168"/>
      <c r="C60" s="807" t="s">
        <v>105</v>
      </c>
      <c r="D60" s="1859"/>
      <c r="E60" s="1846" t="str">
        <f>A60</f>
        <v>17</v>
      </c>
      <c r="F60" s="810" t="s">
        <v>171</v>
      </c>
      <c r="G60" s="546" t="str">
        <f>"Территория "&amp;E60</f>
        <v>Территория 17</v>
      </c>
      <c r="H60" s="798"/>
      <c r="I60" s="798"/>
      <c r="J60" s="795"/>
      <c r="K60" s="1664"/>
      <c r="L60" s="1664"/>
      <c r="M60" s="1664"/>
      <c r="N60" s="212"/>
      <c r="O60" s="1664"/>
      <c r="P60" s="211"/>
      <c r="Q60" s="211"/>
      <c r="R60" s="211"/>
      <c r="S60" s="211"/>
      <c r="T60" s="2688"/>
      <c r="U60" s="2688"/>
      <c r="V60" s="2688"/>
      <c r="W60" s="2688"/>
      <c r="X60" s="2688"/>
      <c r="Y60" s="2688"/>
      <c r="Z60" s="2688"/>
      <c r="AA60" s="2688"/>
      <c r="AB60" s="2688"/>
    </row>
    <row customHeight="1" ht="15">
      <c r="A61" s="2082"/>
      <c r="B61" s="1168">
        <v>1</v>
      </c>
      <c r="C61" s="1168"/>
      <c r="D61" s="806"/>
      <c r="E61" s="1854" t="str">
        <f>A60&amp;"."&amp;B61</f>
        <v>17.1</v>
      </c>
      <c r="F61" s="809" t="s">
        <v>172</v>
      </c>
      <c r="G61" s="799" t="s">
        <v>108</v>
      </c>
      <c r="H61" s="799" t="s">
        <v>173</v>
      </c>
      <c r="I61" s="797" t="s">
        <v>174</v>
      </c>
      <c r="J61" s="1664"/>
      <c r="K61" s="1676"/>
      <c r="L61" s="1676"/>
      <c r="M61" s="1664" t="str">
        <f t="array" ref="M61:M61">IF(ISERROR(MATCH(MID(N61,1,250),MID(note_ter,1,250),0)),"n","y")</f>
        <v>n</v>
      </c>
      <c r="N61" s="1676"/>
      <c r="O61" s="1664" t="str">
        <f>H61&amp;"("&amp;I61&amp;")"</f>
        <v>сельское поселение Ура-Губа(47605407)</v>
      </c>
      <c r="P61" s="1168"/>
      <c r="Q61" s="1168"/>
      <c r="R61" s="426"/>
      <c r="S61" s="1168"/>
      <c r="T61" s="1168"/>
      <c r="U61" s="1168"/>
      <c r="V61" s="428"/>
      <c r="W61" s="428"/>
      <c r="X61" s="425"/>
      <c r="Y61" s="425"/>
      <c r="Z61" s="425"/>
      <c r="AA61" s="425"/>
      <c r="AB61" s="425"/>
    </row>
    <row customHeight="1" ht="15">
      <c r="A62" s="2082"/>
      <c r="B62" s="1168"/>
      <c r="C62" s="418"/>
      <c r="D62" s="807"/>
      <c r="E62" s="427"/>
      <c r="F62" s="163"/>
      <c r="G62" s="421" t="s">
        <v>103</v>
      </c>
      <c r="H62" s="173"/>
      <c r="I62" s="430"/>
      <c r="J62" s="1676"/>
      <c r="K62" s="1676"/>
      <c r="L62" s="1676"/>
      <c r="M62" s="1676"/>
      <c r="N62" s="1664"/>
      <c r="O62" s="1676"/>
      <c r="P62" s="1168"/>
      <c r="Q62" s="1168"/>
      <c r="R62" s="426"/>
      <c r="S62" s="1168"/>
      <c r="T62" s="1168"/>
      <c r="U62" s="1168"/>
      <c r="V62" s="428"/>
      <c r="W62" s="428"/>
      <c r="X62" s="425"/>
      <c r="Y62" s="425"/>
      <c r="Z62" s="425"/>
      <c r="AA62" s="425"/>
      <c r="AB62" s="425"/>
    </row>
    <row customHeight="1" ht="15">
      <c r="A63" s="2082" t="s">
        <v>175</v>
      </c>
      <c r="B63" s="1168"/>
      <c r="C63" s="807" t="s">
        <v>105</v>
      </c>
      <c r="D63" s="1859"/>
      <c r="E63" s="1846" t="str">
        <f>A63</f>
        <v>18</v>
      </c>
      <c r="F63" s="810" t="s">
        <v>176</v>
      </c>
      <c r="G63" s="546" t="str">
        <f>"Территория "&amp;E63</f>
        <v>Территория 18</v>
      </c>
      <c r="H63" s="798"/>
      <c r="I63" s="798"/>
      <c r="J63" s="795"/>
      <c r="K63" s="1664"/>
      <c r="L63" s="1664"/>
      <c r="M63" s="1664"/>
      <c r="N63" s="212"/>
      <c r="O63" s="1664"/>
      <c r="P63" s="211"/>
      <c r="Q63" s="211"/>
      <c r="R63" s="211"/>
      <c r="S63" s="211"/>
      <c r="T63" s="2688"/>
      <c r="U63" s="2688"/>
      <c r="V63" s="2688"/>
      <c r="W63" s="2688"/>
      <c r="X63" s="2688"/>
      <c r="Y63" s="2688"/>
      <c r="Z63" s="2688"/>
      <c r="AA63" s="2688"/>
      <c r="AB63" s="2688"/>
    </row>
    <row customHeight="1" ht="15">
      <c r="A64" s="2082"/>
      <c r="B64" s="1168">
        <v>1</v>
      </c>
      <c r="C64" s="1168"/>
      <c r="D64" s="806"/>
      <c r="E64" s="1854" t="str">
        <f>A63&amp;"."&amp;B64</f>
        <v>18.1</v>
      </c>
      <c r="F64" s="809" t="s">
        <v>177</v>
      </c>
      <c r="G64" s="799" t="s">
        <v>108</v>
      </c>
      <c r="H64" s="799" t="s">
        <v>178</v>
      </c>
      <c r="I64" s="797" t="s">
        <v>179</v>
      </c>
      <c r="J64" s="1664"/>
      <c r="K64" s="1676"/>
      <c r="L64" s="1676"/>
      <c r="M64" s="1664" t="str">
        <f t="array" ref="M64:M64">IF(ISERROR(MATCH(MID(N64,1,250),MID(note_ter,1,250),0)),"n","y")</f>
        <v>n</v>
      </c>
      <c r="N64" s="1676"/>
      <c r="O64" s="1664" t="str">
        <f>H64&amp;"("&amp;I64&amp;")"</f>
        <v>Пушновское сельское поселение(47605404)</v>
      </c>
      <c r="P64" s="1168"/>
      <c r="Q64" s="1168"/>
      <c r="R64" s="426"/>
      <c r="S64" s="1168"/>
      <c r="T64" s="1168"/>
      <c r="U64" s="1168"/>
      <c r="V64" s="428"/>
      <c r="W64" s="428"/>
      <c r="X64" s="425"/>
      <c r="Y64" s="425"/>
      <c r="Z64" s="425"/>
      <c r="AA64" s="425"/>
      <c r="AB64" s="425"/>
    </row>
    <row customHeight="1" ht="15">
      <c r="A65" s="2082"/>
      <c r="B65" s="1168"/>
      <c r="C65" s="418"/>
      <c r="D65" s="807"/>
      <c r="E65" s="427"/>
      <c r="F65" s="163"/>
      <c r="G65" s="421" t="s">
        <v>103</v>
      </c>
      <c r="H65" s="173"/>
      <c r="I65" s="430"/>
      <c r="J65" s="1676"/>
      <c r="K65" s="1676"/>
      <c r="L65" s="1676"/>
      <c r="M65" s="1676"/>
      <c r="N65" s="1664"/>
      <c r="O65" s="1676"/>
      <c r="P65" s="1168"/>
      <c r="Q65" s="1168"/>
      <c r="R65" s="426"/>
      <c r="S65" s="1168"/>
      <c r="T65" s="1168"/>
      <c r="U65" s="1168"/>
      <c r="V65" s="428"/>
      <c r="W65" s="428"/>
      <c r="X65" s="425"/>
      <c r="Y65" s="425"/>
      <c r="Z65" s="425"/>
      <c r="AA65" s="425"/>
      <c r="AB65" s="425"/>
    </row>
    <row customHeight="1" ht="15">
      <c r="A66" s="2082" t="s">
        <v>180</v>
      </c>
      <c r="B66" s="1168"/>
      <c r="C66" s="807" t="s">
        <v>105</v>
      </c>
      <c r="D66" s="1859"/>
      <c r="E66" s="1846" t="str">
        <f>A66</f>
        <v>19</v>
      </c>
      <c r="F66" s="810" t="s">
        <v>181</v>
      </c>
      <c r="G66" s="546" t="str">
        <f>"Территория "&amp;E66</f>
        <v>Территория 19</v>
      </c>
      <c r="H66" s="798"/>
      <c r="I66" s="798"/>
      <c r="J66" s="795"/>
      <c r="K66" s="1664"/>
      <c r="L66" s="1664"/>
      <c r="M66" s="1664"/>
      <c r="N66" s="212"/>
      <c r="O66" s="1664"/>
      <c r="P66" s="211"/>
      <c r="Q66" s="211"/>
      <c r="R66" s="211"/>
      <c r="S66" s="211"/>
      <c r="T66" s="2688"/>
      <c r="U66" s="2688"/>
      <c r="V66" s="2688"/>
      <c r="W66" s="2688"/>
      <c r="X66" s="2688"/>
      <c r="Y66" s="2688"/>
      <c r="Z66" s="2688"/>
      <c r="AA66" s="2688"/>
      <c r="AB66" s="2688"/>
    </row>
    <row customHeight="1" ht="15">
      <c r="A67" s="2082"/>
      <c r="B67" s="1168">
        <v>1</v>
      </c>
      <c r="C67" s="1168"/>
      <c r="D67" s="806"/>
      <c r="E67" s="1854" t="str">
        <f>A66&amp;"."&amp;B67</f>
        <v>19.1</v>
      </c>
      <c r="F67" s="809" t="s">
        <v>139</v>
      </c>
      <c r="G67" s="799" t="s">
        <v>182</v>
      </c>
      <c r="H67" s="799" t="s">
        <v>182</v>
      </c>
      <c r="I67" s="797" t="s">
        <v>183</v>
      </c>
      <c r="J67" s="1664"/>
      <c r="K67" s="1676"/>
      <c r="L67" s="1676"/>
      <c r="M67" s="1664" t="str">
        <f t="array" ref="M67:M67">IF(ISERROR(MATCH(MID(N67,1,250),MID(note_ter,1,250),0)),"n","y")</f>
        <v>n</v>
      </c>
      <c r="N67" s="1676"/>
      <c r="O67" s="1664" t="str">
        <f>H67&amp;"("&amp;I67&amp;")"</f>
        <v>ЗАТО поселок Видяево(47735000)</v>
      </c>
      <c r="P67" s="1168"/>
      <c r="Q67" s="1168"/>
      <c r="R67" s="426"/>
      <c r="S67" s="1168"/>
      <c r="T67" s="1168"/>
      <c r="U67" s="1168"/>
      <c r="V67" s="428"/>
      <c r="W67" s="428"/>
      <c r="X67" s="425"/>
      <c r="Y67" s="425"/>
      <c r="Z67" s="425"/>
      <c r="AA67" s="425"/>
      <c r="AB67" s="425"/>
    </row>
    <row customHeight="1" ht="15">
      <c r="A68" s="2082"/>
      <c r="B68" s="1168"/>
      <c r="C68" s="418"/>
      <c r="D68" s="807"/>
      <c r="E68" s="427"/>
      <c r="F68" s="163"/>
      <c r="G68" s="421" t="s">
        <v>103</v>
      </c>
      <c r="H68" s="173"/>
      <c r="I68" s="430"/>
      <c r="J68" s="1676"/>
      <c r="K68" s="1676"/>
      <c r="L68" s="1676"/>
      <c r="M68" s="1676"/>
      <c r="N68" s="1664"/>
      <c r="O68" s="1676"/>
      <c r="P68" s="1168"/>
      <c r="Q68" s="1168"/>
      <c r="R68" s="426"/>
      <c r="S68" s="1168"/>
      <c r="T68" s="1168"/>
      <c r="U68" s="1168"/>
      <c r="V68" s="428"/>
      <c r="W68" s="428"/>
      <c r="X68" s="425"/>
      <c r="Y68" s="425"/>
      <c r="Z68" s="425"/>
      <c r="AA68" s="425"/>
      <c r="AB68" s="425"/>
    </row>
    <row customHeight="1" ht="15">
      <c r="A69" s="2082" t="s">
        <v>118</v>
      </c>
      <c r="B69" s="1168"/>
      <c r="C69" s="807" t="s">
        <v>105</v>
      </c>
      <c r="D69" s="1859"/>
      <c r="E69" s="1846" t="str">
        <f>A69</f>
        <v>20</v>
      </c>
      <c r="F69" s="810" t="s">
        <v>184</v>
      </c>
      <c r="G69" s="546" t="str">
        <f>"Территория "&amp;E69</f>
        <v>Территория 20</v>
      </c>
      <c r="H69" s="798"/>
      <c r="I69" s="798"/>
      <c r="J69" s="795"/>
      <c r="K69" s="1664"/>
      <c r="L69" s="1664"/>
      <c r="M69" s="1664"/>
      <c r="N69" s="212"/>
      <c r="O69" s="1664"/>
      <c r="P69" s="211"/>
      <c r="Q69" s="211"/>
      <c r="R69" s="211"/>
      <c r="S69" s="211"/>
      <c r="T69" s="2688"/>
      <c r="U69" s="2688"/>
      <c r="V69" s="2688"/>
      <c r="W69" s="2688"/>
      <c r="X69" s="2688"/>
      <c r="Y69" s="2688"/>
      <c r="Z69" s="2688"/>
      <c r="AA69" s="2688"/>
      <c r="AB69" s="2688"/>
    </row>
    <row customHeight="1" ht="15">
      <c r="A70" s="2082"/>
      <c r="B70" s="1168">
        <v>1</v>
      </c>
      <c r="C70" s="1168"/>
      <c r="D70" s="806"/>
      <c r="E70" s="1854" t="str">
        <f>A69&amp;"."&amp;B70</f>
        <v>20.1</v>
      </c>
      <c r="F70" s="809" t="s">
        <v>94</v>
      </c>
      <c r="G70" s="799" t="s">
        <v>185</v>
      </c>
      <c r="H70" s="799" t="s">
        <v>185</v>
      </c>
      <c r="I70" s="797" t="s">
        <v>186</v>
      </c>
      <c r="J70" s="1664"/>
      <c r="K70" s="1676"/>
      <c r="L70" s="1676"/>
      <c r="M70" s="1664" t="str">
        <f t="array" ref="M70:M70">IF(ISERROR(MATCH(MID(N70,1,250),MID(note_ter,1,250),0)),"n","y")</f>
        <v>n</v>
      </c>
      <c r="N70" s="1676"/>
      <c r="O70" s="1664" t="str">
        <f>H70&amp;"("&amp;I70&amp;")"</f>
        <v>ЗАТО город Заозерск(47733000)</v>
      </c>
      <c r="P70" s="1168"/>
      <c r="Q70" s="1168"/>
      <c r="R70" s="426"/>
      <c r="S70" s="1168"/>
      <c r="T70" s="1168"/>
      <c r="U70" s="1168"/>
      <c r="V70" s="428"/>
      <c r="W70" s="428"/>
      <c r="X70" s="425"/>
      <c r="Y70" s="425"/>
      <c r="Z70" s="425"/>
      <c r="AA70" s="425"/>
      <c r="AB70" s="425"/>
    </row>
    <row customHeight="1" ht="15">
      <c r="A71" s="2082"/>
      <c r="B71" s="1168"/>
      <c r="C71" s="418"/>
      <c r="D71" s="807"/>
      <c r="E71" s="427"/>
      <c r="F71" s="163"/>
      <c r="G71" s="421" t="s">
        <v>103</v>
      </c>
      <c r="H71" s="173"/>
      <c r="I71" s="430"/>
      <c r="J71" s="1676"/>
      <c r="K71" s="1676"/>
      <c r="L71" s="1676"/>
      <c r="M71" s="1676"/>
      <c r="N71" s="1664"/>
      <c r="O71" s="1676"/>
      <c r="P71" s="1168"/>
      <c r="Q71" s="1168"/>
      <c r="R71" s="426"/>
      <c r="S71" s="1168"/>
      <c r="T71" s="1168"/>
      <c r="U71" s="1168"/>
      <c r="V71" s="428"/>
      <c r="W71" s="428"/>
      <c r="X71" s="425"/>
      <c r="Y71" s="425"/>
      <c r="Z71" s="425"/>
      <c r="AA71" s="425"/>
      <c r="AB71" s="425"/>
    </row>
    <row s="2623" customFormat="1" customHeight="1" ht="14.25">
      <c r="A72" s="764"/>
      <c r="B72" s="423"/>
      <c r="C72" s="764"/>
      <c r="D72" s="788"/>
      <c r="E72" s="800"/>
      <c r="F72" s="164"/>
      <c r="G72" s="422" t="s">
        <v>187</v>
      </c>
      <c r="H72" s="164"/>
      <c r="I72" s="165"/>
      <c r="J72" s="235"/>
      <c r="K72" s="141"/>
      <c r="L72" s="141"/>
      <c r="M72" s="141"/>
      <c r="N72" s="212" t="s">
        <v>188</v>
      </c>
      <c r="O72" s="141"/>
      <c r="P72" s="211"/>
      <c r="Q72" s="211"/>
      <c r="R72" s="211"/>
      <c r="S72" s="211"/>
    </row>
    <row s="2623" customFormat="1" customHeight="1" ht="21">
      <c r="A73" s="764"/>
      <c r="B73" s="423"/>
      <c r="C73" s="764"/>
      <c r="D73" s="151"/>
      <c r="E73" s="166"/>
      <c r="F73" s="166"/>
      <c r="G73" s="166"/>
      <c r="H73" s="166"/>
      <c r="I73" s="166"/>
      <c r="J73" s="141"/>
      <c r="K73" s="141"/>
      <c r="L73" s="141"/>
      <c r="M73" s="141"/>
      <c r="N73" s="212"/>
      <c r="O73" s="141"/>
      <c r="P73" s="211"/>
      <c r="Q73" s="211"/>
      <c r="R73" s="211"/>
      <c r="S73" s="211"/>
    </row>
    <row s="2623" customFormat="1" customHeight="1" ht="14.25">
      <c r="A74" s="764"/>
      <c r="B74" s="423"/>
      <c r="C74" s="764"/>
      <c r="D74" s="151"/>
      <c r="E74" s="68"/>
      <c r="F74" s="764"/>
      <c r="G74" s="68"/>
      <c r="H74" s="68"/>
      <c r="I74" s="68"/>
      <c r="J74" s="141"/>
      <c r="K74" s="141"/>
      <c r="L74" s="141"/>
      <c r="M74" s="141"/>
      <c r="N74" s="212"/>
      <c r="O74" s="141"/>
      <c r="P74" s="211"/>
      <c r="Q74" s="211"/>
      <c r="R74" s="211"/>
      <c r="S74" s="211"/>
    </row>
    <row s="2623" customFormat="1" customHeight="1" ht="0.75">
      <c r="A75" s="764"/>
      <c r="B75" s="423"/>
      <c r="C75" s="764"/>
      <c r="D75" s="151"/>
      <c r="E75" s="68"/>
      <c r="F75" s="764"/>
      <c r="G75" s="68"/>
      <c r="H75" s="68"/>
      <c r="I75" s="68"/>
      <c r="J75" s="141"/>
      <c r="K75" s="141"/>
      <c r="L75" s="141"/>
      <c r="M75" s="141"/>
      <c r="N75" s="212"/>
      <c r="O75" s="141"/>
      <c r="P75" s="211"/>
      <c r="Q75" s="211"/>
      <c r="R75" s="211"/>
      <c r="S75" s="211"/>
    </row>
    <row s="2699" customFormat="1" customHeight="1" ht="10.5">
      <c r="B76" s="840"/>
      <c r="D76" s="168"/>
      <c r="J76" s="141"/>
      <c r="K76" s="141"/>
      <c r="L76" s="141"/>
      <c r="M76" s="141"/>
      <c r="N76" s="212"/>
      <c r="O76" s="141"/>
      <c r="P76" s="211"/>
      <c r="Q76" s="211"/>
      <c r="R76" s="211"/>
      <c r="S76" s="211"/>
    </row>
    <row s="2699" customFormat="1" customHeight="1" ht="10.5">
      <c r="B77" s="840"/>
      <c r="D77" s="168"/>
      <c r="J77" s="141"/>
      <c r="K77" s="141"/>
      <c r="L77" s="141"/>
      <c r="M77" s="141"/>
      <c r="N77" s="212"/>
      <c r="O77" s="141"/>
      <c r="P77" s="211"/>
      <c r="Q77" s="211"/>
      <c r="R77" s="211"/>
      <c r="S77" s="211"/>
    </row>
    <row r="81" customHeight="1" ht="14.25">
      <c r="H81" s="48"/>
    </row>
    <row r="85" customHeight="1" ht="14.25">
      <c r="J85" s="68"/>
      <c r="K85" s="68"/>
      <c r="L85" s="68"/>
    </row>
  </sheetData>
  <sheetProtection formatColumns="0" formatRows="0" autoFilter="0" sort="0" insertRows="0" insertColumns="1" deleteRows="0" deleteColumns="0"/>
  <mergeCells count="23">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s>
  <dataValidations count="20">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s>
  <printOptions horizontalCentered="1" verticalCentered="1"/>
  <pageMargins left="0.00" right="0.00" top="0.00" bottom="0.00" header="0.00" footer="0.79"/>
  <pageSetup paperSize="9" scale="60"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005994-F0C9-74D3-C3F4-892BFE2E8A31}" mc:Ignorable="x14ac xr xr2 xr3">
  <sheetPr>
    <tabColor theme="9" tint="-0.25"/>
  </sheetPr>
  <dimension ref="A1:AE302"/>
  <sheetViews>
    <sheetView topLeftCell="A1" showGridLines="0" zoomScale="90" workbookViewId="0">
      <selection activeCell="A1" sqref="A1"/>
    </sheetView>
  </sheetViews>
  <sheetFormatPr defaultColWidth="9.140625" customHeight="1" defaultRowHeight="11.25"/>
  <cols>
    <col min="1" max="1" style="12339" width="10.7109375" hidden="1" customWidth="1"/>
    <col min="2" max="2" style="2683" width="16.8515625" hidden="1" customWidth="1"/>
    <col min="3" max="3" style="2691" width="5.57421875" hidden="1" customWidth="1"/>
    <col min="4" max="4" style="12442" width="3.7109375" customWidth="1"/>
    <col min="5" max="5" style="2993" width="7.7109375" customWidth="1"/>
    <col min="6" max="6" style="2993" width="54.57421875" customWidth="1"/>
    <col min="7" max="7" style="2993" width="10.421875" customWidth="1"/>
    <col min="8" max="8" style="2993" width="40.7109375" hidden="1" customWidth="1"/>
    <col min="9" max="9" style="2993" width="40.7109375" customWidth="1"/>
    <col min="10" max="10" style="2993" width="102.8515625" customWidth="1"/>
    <col min="11" max="11" style="2683" width="9.7109375" customWidth="1"/>
    <col min="12" max="12" style="2691" width="5.28125" customWidth="1"/>
    <col min="13" max="13" style="2691" width="3.7109375" customWidth="1"/>
    <col min="14" max="17" style="2683" width="3.7109375" customWidth="1"/>
    <col min="18" max="18" style="2691" width="10.57421875" customWidth="1"/>
    <col min="19" max="19" style="2683" width="34.7109375" customWidth="1"/>
    <col min="20" max="20" style="2683" width="9.421875" customWidth="1"/>
    <col min="21" max="21" style="12343" width="9.140625"/>
    <col min="22" max="26" style="2683" width="9.140625"/>
    <col min="27" max="31" style="2992" width="9.140625"/>
  </cols>
  <sheetData>
    <row customHeight="1" ht="11.25" hidden="1"/>
    <row customHeight="1" ht="23.25" hidden="1">
      <c r="B2" s="1953"/>
      <c r="C2" s="1175" t="s">
        <v>752</v>
      </c>
      <c r="D2" s="1678"/>
      <c r="E2" s="552">
        <f>B2</f>
        <v>0</v>
      </c>
      <c r="F2" s="553"/>
      <c r="G2" s="1686" t="s">
        <v>753</v>
      </c>
      <c r="H2" s="1686" t="s">
        <v>753</v>
      </c>
      <c r="I2" s="1686" t="s">
        <v>753</v>
      </c>
      <c r="J2" s="277" t="s">
        <v>754</v>
      </c>
      <c r="K2" s="549"/>
    </row>
    <row s="2691" customFormat="1" customHeight="1" ht="0.75" hidden="1">
      <c r="B3" s="1953"/>
      <c r="C3" s="1175"/>
      <c r="D3" s="554"/>
      <c r="E3" s="555"/>
      <c r="F3" s="556" t="s">
        <v>755</v>
      </c>
      <c r="G3" s="557"/>
      <c r="H3" s="557">
        <f>H4*H5+H7</f>
        <v>0</v>
      </c>
      <c r="I3" s="557">
        <f>I4*I5+I6</f>
        <v>0</v>
      </c>
      <c r="J3" s="558"/>
    </row>
    <row customHeight="1" ht="23.25" hidden="1">
      <c r="B4" s="1953"/>
      <c r="C4" s="1175"/>
      <c r="D4" s="1678"/>
      <c r="E4" s="552" t="str">
        <f>B2&amp;".1"</f>
        <v>.1</v>
      </c>
      <c r="F4" s="559" t="s">
        <v>756</v>
      </c>
      <c r="G4" s="560"/>
      <c r="H4" s="547"/>
      <c r="I4" s="547"/>
      <c r="J4" s="277" t="s">
        <v>757</v>
      </c>
      <c r="K4" s="549"/>
    </row>
    <row customHeight="1" ht="18.75" hidden="1">
      <c r="B5" s="1953"/>
      <c r="C5" s="1175"/>
      <c r="D5" s="1678"/>
      <c r="E5" s="552" t="str">
        <f>B2&amp;".2"</f>
        <v>.2</v>
      </c>
      <c r="F5" s="559" t="s">
        <v>758</v>
      </c>
      <c r="G5" s="1686" t="s">
        <v>759</v>
      </c>
      <c r="H5" s="547"/>
      <c r="I5" s="547"/>
      <c r="J5" s="277"/>
      <c r="K5" s="549"/>
    </row>
    <row customHeight="1" ht="18.75" hidden="1">
      <c r="B6" s="1953"/>
      <c r="C6" s="1175"/>
      <c r="D6" s="1678"/>
      <c r="E6" s="552" t="str">
        <f>B2&amp;".3"</f>
        <v>.3</v>
      </c>
      <c r="F6" s="559" t="s">
        <v>760</v>
      </c>
      <c r="G6" s="1686" t="s">
        <v>759</v>
      </c>
      <c r="H6" s="547"/>
      <c r="I6" s="547"/>
      <c r="J6" s="277"/>
      <c r="K6" s="549"/>
    </row>
    <row customHeight="1" ht="18.75" hidden="1">
      <c r="B7" s="1953"/>
      <c r="C7" s="1175"/>
      <c r="D7" s="1678"/>
      <c r="E7" s="552" t="str">
        <f>B2&amp;".4"</f>
        <v>.4</v>
      </c>
      <c r="F7" s="559" t="s">
        <v>761</v>
      </c>
      <c r="G7" s="1686" t="s">
        <v>753</v>
      </c>
      <c r="H7" s="561"/>
      <c r="I7" s="561"/>
      <c r="J7" s="277"/>
      <c r="K7" s="549"/>
    </row>
    <row s="2683" customFormat="1" customHeight="1" ht="11.25" hidden="1">
      <c r="A8" s="994"/>
      <c r="C8" s="1676"/>
      <c r="D8" s="543"/>
      <c r="H8" s="1168">
        <v>4</v>
      </c>
      <c r="I8" s="1168">
        <v>4</v>
      </c>
      <c r="L8" s="1676"/>
      <c r="M8" s="1676"/>
      <c r="R8" s="1676"/>
    </row>
    <row s="2683" customFormat="1" customHeight="1" ht="22.5" hidden="1">
      <c r="A9" s="994"/>
      <c r="C9" s="1676"/>
      <c r="D9" s="544"/>
      <c r="E9" s="1688"/>
      <c r="F9" s="546"/>
      <c r="G9" s="1686" t="s">
        <v>759</v>
      </c>
      <c r="H9" s="547"/>
      <c r="I9" s="547"/>
      <c r="J9" s="548" t="s">
        <v>762</v>
      </c>
      <c r="K9" s="549"/>
      <c r="L9" s="1676"/>
      <c r="M9" s="1676"/>
      <c r="R9" s="1676"/>
      <c r="U9" s="550"/>
      <c r="AA9" s="1672"/>
      <c r="AB9" s="1672"/>
      <c r="AC9" s="1672"/>
      <c r="AD9" s="1672"/>
      <c r="AE9" s="1672"/>
    </row>
    <row customHeight="1" ht="11.25" hidden="1"/>
    <row customHeight="1" ht="18.75" hidden="1">
      <c r="D11" s="1678"/>
      <c r="E11" s="552"/>
      <c r="F11" s="546"/>
      <c r="G11" s="1686" t="s">
        <v>763</v>
      </c>
      <c r="H11" s="547"/>
      <c r="I11" s="547"/>
      <c r="J11" s="277" t="s">
        <v>764</v>
      </c>
      <c r="K11" s="549"/>
    </row>
    <row customHeight="1" ht="11.25" hidden="1"/>
    <row customHeight="1" ht="22.5" hidden="1">
      <c r="D13" s="1678"/>
      <c r="E13" s="552"/>
      <c r="F13" s="546"/>
      <c r="G13" s="976" t="s">
        <v>765</v>
      </c>
      <c r="H13" s="551"/>
      <c r="I13" s="551"/>
      <c r="J13" s="751" t="s">
        <v>766</v>
      </c>
      <c r="K13" s="549"/>
    </row>
    <row customHeight="1" ht="11.25" hidden="1"/>
    <row customHeight="1" ht="22.5" hidden="1">
      <c r="D15" s="1678"/>
      <c r="E15" s="552"/>
      <c r="F15" s="546"/>
      <c r="G15" s="1686" t="s">
        <v>767</v>
      </c>
      <c r="H15" s="551"/>
      <c r="I15" s="551"/>
      <c r="J15" s="277" t="s">
        <v>768</v>
      </c>
      <c r="K15" s="549"/>
    </row>
    <row customHeight="1" ht="11.25" hidden="1"/>
    <row customHeight="1" ht="22.5" hidden="1">
      <c r="D17" s="1678"/>
      <c r="E17" s="552"/>
      <c r="F17" s="546"/>
      <c r="G17" s="1686" t="s">
        <v>769</v>
      </c>
      <c r="H17" s="551"/>
      <c r="I17" s="551"/>
      <c r="J17" s="277" t="s">
        <v>770</v>
      </c>
      <c r="K17" s="549"/>
    </row>
    <row customHeight="1" ht="11.25" hidden="1"/>
    <row s="2992" customFormat="1" customHeight="1" ht="11.25" hidden="1">
      <c r="A19" s="994"/>
      <c r="B19" s="1168"/>
      <c r="C19" s="1676"/>
      <c r="D19" s="360"/>
      <c r="J19" s="1672">
        <v>4</v>
      </c>
      <c r="K19" s="1168"/>
      <c r="L19" s="1676"/>
      <c r="M19" s="1676"/>
      <c r="N19" s="1168"/>
      <c r="O19" s="1168"/>
      <c r="P19" s="1168"/>
      <c r="Q19" s="1168"/>
      <c r="R19" s="1676"/>
      <c r="S19" s="1168"/>
      <c r="T19" s="1168"/>
      <c r="U19" s="550"/>
      <c r="V19" s="1168"/>
      <c r="W19" s="1168"/>
      <c r="X19" s="1168"/>
      <c r="Y19" s="1168"/>
      <c r="Z19" s="1168"/>
    </row>
    <row r="21" customHeight="1" ht="24">
      <c r="E21" s="214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40"/>
      <c r="G21" s="2140"/>
      <c r="H21" s="2140"/>
      <c r="I21" s="2140"/>
      <c r="J21" s="562"/>
    </row>
    <row customHeight="1" ht="24">
      <c r="E22" s="2141" t="str">
        <f>IF(org=0,"Не определено",org)</f>
        <v>АО "Мурманэнергосбыт"</v>
      </c>
      <c r="F22" s="2141"/>
      <c r="G22" s="2141"/>
      <c r="H22" s="2141"/>
      <c r="I22" s="2141"/>
    </row>
    <row customHeight="1" ht="11.25">
      <c r="E23" s="1143"/>
      <c r="F23" s="1143"/>
      <c r="G23" s="1143"/>
      <c r="H23" s="1143"/>
      <c r="I23" s="1143"/>
    </row>
    <row s="2691" customFormat="1" customHeight="1" ht="0.75">
      <c r="A24" s="1175"/>
      <c r="D24" s="1682"/>
      <c r="H24" s="895"/>
      <c r="I24" s="895" t="s">
        <v>198</v>
      </c>
    </row>
    <row customHeight="1" ht="11.25">
      <c r="E25" s="717"/>
      <c r="F25" s="2213" t="s">
        <v>189</v>
      </c>
      <c r="G25" s="2214"/>
      <c r="H25" s="1692" t="str">
        <f>IF(H24="","",INDEX(DIFFERENTIATION_UNMERGE_VD,MATCH(H24,DIFFERENTIATION_ID_DIFF,0)))</f>
        <v/>
      </c>
      <c r="I25" s="1692">
        <f>IF(I24="","",INDEX(DIFFERENTIATION_UNMERGE_VD,MATCH(I24,DIFFERENTIATION_ID_DIFF,0)))</f>
        <v>0</v>
      </c>
      <c r="J25" s="1971"/>
    </row>
    <row customHeight="1" ht="11.25">
      <c r="E26" s="717"/>
      <c r="F26" s="2213" t="s">
        <v>771</v>
      </c>
      <c r="G26" s="2214"/>
      <c r="H26" s="1692" t="str">
        <f>IF(H24="","",INDEX(DIFFERENTIATION_UNMERGE_AREA,MATCH(H24,DIFFERENTIATION_ID_DIFF,0)))</f>
        <v/>
      </c>
      <c r="I26" s="1692" t="str">
        <f>IF(I24="","",INDEX(DIFFERENTIATION_UNMERGE_AREA,MATCH(I24,DIFFERENTIATION_ID_DIFF,0)))</f>
        <v/>
      </c>
      <c r="J26" s="1971"/>
    </row>
    <row customHeight="1" ht="11.25">
      <c r="E27" s="717"/>
      <c r="F27" s="2213" t="s">
        <v>772</v>
      </c>
      <c r="G27" s="2214"/>
      <c r="H27" s="1692" t="str">
        <f>IF(H24="","",INDEX(DIFFERENTIATION_UNMERGE_SYSTEM,MATCH(H24,DIFFERENTIATION_ID_DIFF,0)))</f>
        <v/>
      </c>
      <c r="I27" s="1692" t="str">
        <f>IF(I24="","",INDEX(DIFFERENTIATION_UNMERGE_SYSTEM,MATCH(I24,DIFFERENTIATION_ID_DIFF,0)))</f>
        <v>без дифференциации</v>
      </c>
      <c r="J27" s="1971"/>
    </row>
    <row customHeight="1" ht="11.25">
      <c r="E28" s="2215" t="s">
        <v>513</v>
      </c>
      <c r="F28" s="2216"/>
      <c r="G28" s="2216"/>
      <c r="H28" s="1685"/>
      <c r="I28" s="1685"/>
      <c r="J28" s="1971"/>
    </row>
    <row customHeight="1" ht="22.5">
      <c r="E29" s="1686" t="s">
        <v>89</v>
      </c>
      <c r="F29" s="1693" t="s">
        <v>515</v>
      </c>
      <c r="G29" s="1693" t="s">
        <v>773</v>
      </c>
      <c r="H29" s="1693" t="s">
        <v>516</v>
      </c>
      <c r="I29" s="1693" t="s">
        <v>516</v>
      </c>
      <c r="J29" s="1971"/>
    </row>
    <row customHeight="1" ht="18.75">
      <c r="D30" s="1678"/>
      <c r="E30" s="552">
        <f>FHD_NUM_P_1</f>
        <v>1</v>
      </c>
      <c r="F30" s="1923" t="str">
        <f>FHD_P_1</f>
        <v>Выручка от регулируемого вида деятельности с распределением по видам деятельности</v>
      </c>
      <c r="G30" s="1921" t="s">
        <v>759</v>
      </c>
      <c r="H30" s="563"/>
      <c r="I30" s="563"/>
      <c r="J30" s="277" t="str">
        <f>FHD_NOTE_P_1</f>
        <v>Указывается выручка от регулируемого вида деятельности с распределением по видам деятельности.</v>
      </c>
      <c r="K30" s="549"/>
    </row>
    <row customHeight="1" ht="11.25">
      <c r="D31" s="1678"/>
      <c r="E31" s="552">
        <f>FHD_NUM_P_2</f>
        <v>2</v>
      </c>
      <c r="F31" s="1923" t="str">
        <f>FHD_P_2</f>
        <v>Себестоимость производимых товаров (оказываемых услуг) по регулируемому виду деятельности, включая:</v>
      </c>
      <c r="G31" s="1921" t="s">
        <v>759</v>
      </c>
      <c r="H31" s="564">
        <f>SUMIF($K33:$K71,$K31,H33:H71)</f>
        <v>0</v>
      </c>
      <c r="I31" s="564">
        <f>SUMIF($K33:$K71,$K31,I33:I71)</f>
        <v>0</v>
      </c>
      <c r="J31" s="277" t="str">
        <f>FHD_NOTE_P_2</f>
        <v>Указывается суммарная себестоимость производимых товаров.</v>
      </c>
      <c r="K31" s="1676" t="s">
        <v>774</v>
      </c>
    </row>
    <row customHeight="1" ht="11.25">
      <c r="D32" s="1678"/>
      <c r="E32" s="552" t="str">
        <f>FHD_NUM_P_3</f>
        <v>2.1</v>
      </c>
      <c r="F32" s="1554" t="str">
        <f>FHD_P_3</f>
        <v>Расходы на приобретаемую тепловую энергию (мощность), теплоноситель</v>
      </c>
      <c r="G32" s="1921" t="s">
        <v>759</v>
      </c>
      <c r="H32" s="563"/>
      <c r="I32" s="563"/>
      <c r="J32" s="277" t="str">
        <f>FHD_NOTE_P_3</f>
        <v/>
      </c>
      <c r="K32" s="1676" t="str">
        <f>IF((LEN(E32)-LEN(SUBSTITUTE(E32,".","")))/LEN(".")=1,"p","")</f>
        <v>p</v>
      </c>
    </row>
    <row customHeight="1" ht="11.25">
      <c r="A33" s="2210" t="s">
        <v>775</v>
      </c>
      <c r="D33" s="1678"/>
      <c r="E33" s="552" t="str">
        <f>FHD_NUM_P_4</f>
        <v>2.2</v>
      </c>
      <c r="F33" s="1554"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921" t="s">
        <v>759</v>
      </c>
      <c r="H33" s="564">
        <f>SUMIF($F34:$F40,$F3,H34:H40)</f>
        <v>0</v>
      </c>
      <c r="I33" s="564">
        <f>SUMIF($F34:$F40,$F3,I34:I40)</f>
        <v>0</v>
      </c>
      <c r="J33" s="277" t="str">
        <f>FHD_NOTE_P_4</f>
        <v>Указываются суммарные расходы на приобретение топлива всех видов.</v>
      </c>
      <c r="K33" s="1676" t="str">
        <f>IF((LEN(E33)-LEN(SUBSTITUTE(E33,".","")))/LEN(".")=1,"p","")</f>
        <v>p</v>
      </c>
    </row>
    <row s="12366" customFormat="1" customHeight="1" ht="0.75">
      <c r="A34" s="2210"/>
      <c r="B34" s="2211" t="str">
        <f>E33&amp;".0"</f>
        <v>2.2.0</v>
      </c>
      <c r="C34" s="1175"/>
      <c r="D34" s="566"/>
      <c r="E34" s="567"/>
      <c r="F34" s="568"/>
      <c r="G34" s="569"/>
      <c r="H34" s="503"/>
      <c r="I34" s="503"/>
      <c r="J34" s="570"/>
      <c r="K34" s="1676" t="str">
        <f>IF((LEN(E34)-LEN(SUBSTITUTE(E34,".","")))/LEN(".")=1,"p","")</f>
        <v/>
      </c>
      <c r="L34" s="1676"/>
      <c r="M34" s="1676"/>
      <c r="N34" s="1676"/>
      <c r="O34" s="1676"/>
      <c r="P34" s="1676"/>
      <c r="Q34" s="1676"/>
      <c r="R34" s="1676"/>
      <c r="S34" s="1676"/>
      <c r="T34" s="1676"/>
      <c r="U34" s="571"/>
      <c r="V34" s="1676"/>
      <c r="W34" s="1676"/>
      <c r="X34" s="1676"/>
      <c r="Y34" s="1676"/>
      <c r="Z34" s="1676"/>
      <c r="AA34" s="572"/>
      <c r="AB34" s="572"/>
      <c r="AC34" s="572"/>
      <c r="AD34" s="572"/>
      <c r="AE34" s="572"/>
    </row>
    <row s="12366" customFormat="1" customHeight="1" ht="0.75">
      <c r="A35" s="2210"/>
      <c r="B35" s="2211"/>
      <c r="C35" s="1175"/>
      <c r="D35" s="566"/>
      <c r="E35" s="573"/>
      <c r="F35" s="574"/>
      <c r="G35" s="569"/>
      <c r="H35" s="575"/>
      <c r="I35" s="575"/>
      <c r="J35" s="570"/>
      <c r="K35" s="1676" t="str">
        <f>IF((LEN(E35)-LEN(SUBSTITUTE(E35,".","")))/LEN(".")=1,"p","")</f>
        <v/>
      </c>
      <c r="L35" s="1676"/>
      <c r="M35" s="1676"/>
      <c r="N35" s="1676"/>
      <c r="O35" s="1676"/>
      <c r="P35" s="1676"/>
      <c r="Q35" s="1676"/>
      <c r="R35" s="1676"/>
      <c r="S35" s="1676"/>
      <c r="T35" s="1676"/>
      <c r="U35" s="571"/>
      <c r="V35" s="1676"/>
      <c r="W35" s="1676"/>
      <c r="X35" s="1676"/>
      <c r="Y35" s="1676"/>
      <c r="Z35" s="1676"/>
      <c r="AA35" s="572"/>
      <c r="AB35" s="572"/>
      <c r="AC35" s="572"/>
      <c r="AD35" s="572"/>
      <c r="AE35" s="572"/>
    </row>
    <row s="12366" customFormat="1" customHeight="1" ht="0.75">
      <c r="A36" s="2210"/>
      <c r="B36" s="2211"/>
      <c r="C36" s="1175"/>
      <c r="D36" s="566"/>
      <c r="E36" s="573"/>
      <c r="F36" s="574"/>
      <c r="G36" s="569"/>
      <c r="H36" s="575"/>
      <c r="I36" s="575"/>
      <c r="J36" s="570"/>
      <c r="K36" s="1676" t="str">
        <f>IF((LEN(E36)-LEN(SUBSTITUTE(E36,".","")))/LEN(".")=1,"p","")</f>
        <v/>
      </c>
      <c r="L36" s="1676"/>
      <c r="M36" s="1676"/>
      <c r="N36" s="1676"/>
      <c r="O36" s="1676"/>
      <c r="P36" s="1676"/>
      <c r="Q36" s="1676"/>
      <c r="R36" s="1676"/>
      <c r="S36" s="1676"/>
      <c r="T36" s="1676"/>
      <c r="U36" s="571"/>
      <c r="V36" s="1676"/>
      <c r="W36" s="1676"/>
      <c r="X36" s="1676"/>
      <c r="Y36" s="1676"/>
      <c r="Z36" s="1676"/>
      <c r="AA36" s="572"/>
      <c r="AB36" s="572"/>
      <c r="AC36" s="572"/>
      <c r="AD36" s="572"/>
      <c r="AE36" s="572"/>
    </row>
    <row s="12366" customFormat="1" customHeight="1" ht="0.75">
      <c r="A37" s="2210"/>
      <c r="B37" s="2211"/>
      <c r="C37" s="1175"/>
      <c r="D37" s="566"/>
      <c r="E37" s="573"/>
      <c r="F37" s="574"/>
      <c r="G37" s="569"/>
      <c r="H37" s="575"/>
      <c r="I37" s="575"/>
      <c r="J37" s="570"/>
      <c r="K37" s="1676" t="str">
        <f>IF((LEN(E37)-LEN(SUBSTITUTE(E37,".","")))/LEN(".")=1,"p","")</f>
        <v/>
      </c>
      <c r="L37" s="1676"/>
      <c r="M37" s="1676"/>
      <c r="N37" s="1676"/>
      <c r="O37" s="1676"/>
      <c r="P37" s="1676"/>
      <c r="Q37" s="1676"/>
      <c r="R37" s="1676"/>
      <c r="S37" s="1676"/>
      <c r="T37" s="1676"/>
      <c r="U37" s="571"/>
      <c r="V37" s="1676"/>
      <c r="W37" s="1676"/>
      <c r="X37" s="1676"/>
      <c r="Y37" s="1676"/>
      <c r="Z37" s="1676"/>
      <c r="AA37" s="572"/>
      <c r="AB37" s="572"/>
      <c r="AC37" s="572"/>
      <c r="AD37" s="572"/>
      <c r="AE37" s="572"/>
    </row>
    <row s="12366" customFormat="1" customHeight="1" ht="0.75">
      <c r="A38" s="2210"/>
      <c r="B38" s="2211"/>
      <c r="C38" s="1175"/>
      <c r="D38" s="566"/>
      <c r="E38" s="573"/>
      <c r="F38" s="574"/>
      <c r="G38" s="569"/>
      <c r="H38" s="575"/>
      <c r="I38" s="575"/>
      <c r="J38" s="570"/>
      <c r="K38" s="1676" t="str">
        <f>IF((LEN(E38)-LEN(SUBSTITUTE(E38,".","")))/LEN(".")=1,"p","")</f>
        <v/>
      </c>
      <c r="L38" s="1676"/>
      <c r="M38" s="1676"/>
      <c r="N38" s="1676"/>
      <c r="O38" s="1676"/>
      <c r="P38" s="1676"/>
      <c r="Q38" s="1676"/>
      <c r="R38" s="1676"/>
      <c r="S38" s="1676"/>
      <c r="T38" s="1676"/>
      <c r="U38" s="571"/>
      <c r="V38" s="1676"/>
      <c r="W38" s="1676"/>
      <c r="X38" s="1676"/>
      <c r="Y38" s="1676"/>
      <c r="Z38" s="1676"/>
      <c r="AA38" s="572"/>
      <c r="AB38" s="572"/>
      <c r="AC38" s="572"/>
      <c r="AD38" s="572"/>
      <c r="AE38" s="572"/>
    </row>
    <row s="12366" customFormat="1" customHeight="1" ht="0.75">
      <c r="A39" s="2210"/>
      <c r="B39" s="2211"/>
      <c r="C39" s="1175"/>
      <c r="D39" s="566"/>
      <c r="E39" s="573"/>
      <c r="F39" s="574"/>
      <c r="G39" s="569"/>
      <c r="H39" s="503"/>
      <c r="I39" s="503"/>
      <c r="J39" s="570"/>
      <c r="K39" s="1676" t="str">
        <f>IF((LEN(E39)-LEN(SUBSTITUTE(E39,".","")))/LEN(".")=1,"p","")</f>
        <v/>
      </c>
      <c r="L39" s="1676"/>
      <c r="M39" s="1676"/>
      <c r="N39" s="1676"/>
      <c r="O39" s="1676"/>
      <c r="P39" s="1676"/>
      <c r="Q39" s="1676"/>
      <c r="R39" s="1676"/>
      <c r="S39" s="1676"/>
      <c r="T39" s="1676"/>
      <c r="U39" s="571"/>
      <c r="V39" s="1676"/>
      <c r="W39" s="1676"/>
      <c r="X39" s="1676"/>
      <c r="Y39" s="1676"/>
      <c r="Z39" s="1676"/>
      <c r="AA39" s="572"/>
      <c r="AB39" s="572"/>
      <c r="AC39" s="572"/>
      <c r="AD39" s="572"/>
      <c r="AE39" s="572"/>
    </row>
    <row s="2683" customFormat="1" customHeight="1" ht="15">
      <c r="A40" s="2210"/>
      <c r="C40" s="1676"/>
      <c r="D40" s="1673"/>
      <c r="E40" s="576"/>
      <c r="F40" s="577" t="s">
        <v>776</v>
      </c>
      <c r="G40" s="578"/>
      <c r="H40" s="579"/>
      <c r="I40" s="579"/>
      <c r="J40" s="289"/>
      <c r="K40" s="1676" t="str">
        <f>IF((LEN(E40)-LEN(SUBSTITUTE(E40,".","")))/LEN(".")=1,"p","")</f>
        <v/>
      </c>
      <c r="L40" s="1676"/>
      <c r="M40" s="1676"/>
      <c r="R40" s="1676"/>
      <c r="U40" s="550"/>
      <c r="AA40" s="1672"/>
      <c r="AB40" s="1672"/>
      <c r="AC40" s="1672"/>
      <c r="AD40" s="1672"/>
      <c r="AE40" s="1672"/>
    </row>
    <row customHeight="1" ht="11.25" hidden="1">
      <c r="A41" s="2210" t="s">
        <v>777</v>
      </c>
      <c r="D41" s="1678"/>
      <c r="E41" s="552" t="str">
        <f>FHD_NUM_P_5</f>
        <v/>
      </c>
      <c r="F41" s="1554" t="str">
        <f>FHD_P_5</f>
        <v/>
      </c>
      <c r="G41" s="1921" t="s">
        <v>759</v>
      </c>
      <c r="H41" s="563"/>
      <c r="I41" s="563"/>
      <c r="J41" s="277" t="str">
        <f>FHD_NOTE_P_5</f>
        <v/>
      </c>
      <c r="K41" s="1676" t="str">
        <f>IF((LEN(E41)-LEN(SUBSTITUTE(E41,".","")))/LEN(".")=1,"p","")</f>
        <v/>
      </c>
    </row>
    <row customHeight="1" ht="11.25" hidden="1">
      <c r="A42" s="2210"/>
      <c r="D42" s="1678"/>
      <c r="E42" s="552" t="str">
        <f>FHD_NUM_P_6</f>
        <v/>
      </c>
      <c r="F42" s="1554" t="str">
        <f>FHD_P_6</f>
        <v/>
      </c>
      <c r="G42" s="1921" t="s">
        <v>759</v>
      </c>
      <c r="H42" s="563"/>
      <c r="I42" s="563"/>
      <c r="J42" s="277" t="str">
        <f>FHD_NOTE_P_6</f>
        <v/>
      </c>
      <c r="K42" s="1676" t="str">
        <f>IF((LEN(E42)-LEN(SUBSTITUTE(E42,".","")))/LEN(".")=1,"p","")</f>
        <v/>
      </c>
    </row>
    <row customHeight="1" ht="11.25" hidden="1">
      <c r="A43" s="2210"/>
      <c r="D43" s="1678"/>
      <c r="E43" s="552" t="str">
        <f>FHD_NUM_P_7</f>
        <v/>
      </c>
      <c r="F43" s="1554" t="str">
        <f>FHD_P_7</f>
        <v/>
      </c>
      <c r="G43" s="1921" t="s">
        <v>759</v>
      </c>
      <c r="H43" s="563"/>
      <c r="I43" s="563"/>
      <c r="J43" s="277" t="str">
        <f>FHD_NOTE_P_7</f>
        <v/>
      </c>
      <c r="K43" s="1676" t="str">
        <f>IF((LEN(E43)-LEN(SUBSTITUTE(E43,".","")))/LEN(".")=1,"p","")</f>
        <v/>
      </c>
    </row>
    <row customHeight="1" ht="11.25">
      <c r="D44" s="1678"/>
      <c r="E44" s="552" t="str">
        <f>FHD_NUM_P_8</f>
        <v>2.3</v>
      </c>
      <c r="F44" s="1554" t="str">
        <f>FHD_P_8</f>
        <v>Расходы на приобретаемую электрическую энергию (мощность), используемую в технологическом процессе</v>
      </c>
      <c r="G44" s="1921" t="s">
        <v>759</v>
      </c>
      <c r="H44" s="563"/>
      <c r="I44" s="563"/>
      <c r="J44" s="277" t="str">
        <f>FHD_NOTE_P_8</f>
        <v/>
      </c>
      <c r="K44" s="1676" t="str">
        <f>IF((LEN(E44)-LEN(SUBSTITUTE(E44,".","")))/LEN(".")=1,"p","")</f>
        <v>p</v>
      </c>
    </row>
    <row customHeight="1" ht="11.25">
      <c r="D45" s="1678"/>
      <c r="E45" s="552" t="str">
        <f>FHD_NUM_P_9</f>
        <v>2.3.1</v>
      </c>
      <c r="F45" s="1690" t="str">
        <f>FHD_P_9</f>
        <v>Средневзвешенная стоимость 1 кВт.ч (с учетом мощности)</v>
      </c>
      <c r="G45" s="1921" t="s">
        <v>778</v>
      </c>
      <c r="H45" s="563"/>
      <c r="I45" s="563"/>
      <c r="J45" s="277" t="str">
        <f>FHD_NOTE_P_9</f>
        <v/>
      </c>
      <c r="K45" s="1676" t="str">
        <f>IF((LEN(E45)-LEN(SUBSTITUTE(E45,".","")))/LEN(".")=1,"p","")</f>
        <v/>
      </c>
    </row>
    <row s="2683" customFormat="1" customHeight="1" ht="11.25">
      <c r="A46" s="994"/>
      <c r="C46" s="1676"/>
      <c r="D46" s="580"/>
      <c r="E46" s="552" t="str">
        <f>FHD_NUM_P_10</f>
        <v>2.3.2</v>
      </c>
      <c r="F46" s="1690" t="str">
        <f>FHD_P_10</f>
        <v>Объём приобретения электрической энергии</v>
      </c>
      <c r="G46" s="1921" t="s">
        <v>779</v>
      </c>
      <c r="H46" s="563"/>
      <c r="I46" s="563"/>
      <c r="J46" s="277" t="str">
        <f>FHD_NOTE_P_10</f>
        <v/>
      </c>
      <c r="K46" s="1676" t="str">
        <f>IF((LEN(E46)-LEN(SUBSTITUTE(E46,".","")))/LEN(".")=1,"p","")</f>
        <v/>
      </c>
      <c r="L46" s="1676"/>
      <c r="M46" s="1676"/>
      <c r="R46" s="1676"/>
      <c r="U46" s="550"/>
      <c r="AA46" s="1672"/>
      <c r="AB46" s="1672"/>
      <c r="AC46" s="1672"/>
      <c r="AD46" s="1672"/>
      <c r="AE46" s="1672"/>
    </row>
    <row s="2683" customFormat="1" customHeight="1" ht="11.25">
      <c r="A47" s="996" t="s">
        <v>780</v>
      </c>
      <c r="C47" s="1676"/>
      <c r="D47" s="581"/>
      <c r="E47" s="552" t="str">
        <f>FHD_NUM_P_11</f>
        <v>2.4</v>
      </c>
      <c r="F47" s="1554" t="str">
        <f>FHD_P_11</f>
        <v>Расходы на приобретение холодной воды, используемой в технологическом процессе</v>
      </c>
      <c r="G47" s="1921" t="s">
        <v>759</v>
      </c>
      <c r="H47" s="563"/>
      <c r="I47" s="563"/>
      <c r="J47" s="277" t="str">
        <f>FHD_NOTE_P_11</f>
        <v/>
      </c>
      <c r="K47" s="1676" t="str">
        <f>IF((LEN(E47)-LEN(SUBSTITUTE(E47,".","")))/LEN(".")=1,"p","")</f>
        <v>p</v>
      </c>
      <c r="L47" s="1676"/>
      <c r="M47" s="1676"/>
      <c r="R47" s="1676"/>
      <c r="U47" s="550"/>
      <c r="AA47" s="1672"/>
      <c r="AB47" s="1672"/>
      <c r="AC47" s="1672"/>
      <c r="AD47" s="1672"/>
      <c r="AE47" s="1672"/>
    </row>
    <row s="2683" customFormat="1" customHeight="1" ht="18">
      <c r="A48" s="996" t="s">
        <v>781</v>
      </c>
      <c r="C48" s="1676"/>
      <c r="D48" s="1678"/>
      <c r="E48" s="552" t="str">
        <f>FHD_NUM_P_12</f>
        <v>2.5</v>
      </c>
      <c r="F48" s="1554" t="str">
        <f>FHD_P_12</f>
        <v>Расходы на химические реагенты, используемые в технологическом процессе</v>
      </c>
      <c r="G48" s="1921" t="s">
        <v>759</v>
      </c>
      <c r="H48" s="583"/>
      <c r="I48" s="583"/>
      <c r="J48" s="277" t="str">
        <f>FHD_NOTE_P_12</f>
        <v/>
      </c>
      <c r="K48" s="1676" t="str">
        <f>IF((LEN(E48)-LEN(SUBSTITUTE(E48,".","")))/LEN(".")=1,"p","")</f>
        <v>p</v>
      </c>
      <c r="L48" s="1676"/>
      <c r="M48" s="1676"/>
      <c r="R48" s="1676"/>
      <c r="U48" s="550"/>
      <c r="AA48" s="1672"/>
      <c r="AB48" s="1672"/>
      <c r="AC48" s="1672"/>
      <c r="AD48" s="1672"/>
      <c r="AE48" s="1672"/>
    </row>
    <row s="3337" customFormat="1" customHeight="1" ht="11.25">
      <c r="A49" s="995"/>
      <c r="C49" s="736"/>
      <c r="D49" s="679"/>
      <c r="E49" s="552" t="str">
        <f>FHD_NUM_P_13</f>
        <v>2.6</v>
      </c>
      <c r="F49" s="155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921" t="s">
        <v>759</v>
      </c>
      <c r="H49" s="563"/>
      <c r="I49" s="563"/>
      <c r="J49" s="277" t="str">
        <f>FHD_NOTE_P_13</f>
        <v/>
      </c>
      <c r="K49" s="1676" t="str">
        <f>IF((LEN(E49)-LEN(SUBSTITUTE(E49,".","")))/LEN(".")=1,"p","")</f>
        <v>p</v>
      </c>
      <c r="L49" s="736"/>
      <c r="M49" s="736"/>
      <c r="R49" s="736"/>
      <c r="U49" s="737"/>
      <c r="AA49" s="738"/>
      <c r="AB49" s="738"/>
      <c r="AC49" s="738"/>
      <c r="AD49" s="738"/>
      <c r="AE49" s="738"/>
    </row>
    <row s="3337" customFormat="1" customHeight="1" ht="11.25">
      <c r="A50" s="995"/>
      <c r="C50" s="736"/>
      <c r="D50" s="679"/>
      <c r="E50" s="552" t="str">
        <f>FHD_NUM_P_14</f>
        <v>2.6.1</v>
      </c>
      <c r="F50" s="1690" t="str">
        <f>FHD_P_14</f>
        <v>Расходы на оплату труда основного производственного персонала</v>
      </c>
      <c r="G50" s="1921" t="s">
        <v>759</v>
      </c>
      <c r="H50" s="563"/>
      <c r="I50" s="563"/>
      <c r="J50" s="277" t="str">
        <f>FHD_NOTE_P_14</f>
        <v/>
      </c>
      <c r="K50" s="1676" t="str">
        <f>IF((LEN(E50)-LEN(SUBSTITUTE(E50,".","")))/LEN(".")=1,"p","")</f>
        <v/>
      </c>
      <c r="L50" s="736"/>
      <c r="M50" s="736"/>
      <c r="R50" s="736"/>
      <c r="U50" s="737"/>
      <c r="AA50" s="738"/>
      <c r="AB50" s="738"/>
      <c r="AC50" s="738"/>
      <c r="AD50" s="738"/>
      <c r="AE50" s="738"/>
    </row>
    <row s="3337" customFormat="1" customHeight="1" ht="11.25">
      <c r="A51" s="995"/>
      <c r="C51" s="736"/>
      <c r="D51" s="679"/>
      <c r="E51" s="552" t="str">
        <f>FHD_NUM_P_15</f>
        <v>2.6.2</v>
      </c>
      <c r="F51" s="1690" t="str">
        <f>FHD_P_15</f>
        <v>Страховые взносы на обязательное социальное страхование, выплачиваемые из фонда оплаты труда основного производственного персонала</v>
      </c>
      <c r="G51" s="1921" t="s">
        <v>759</v>
      </c>
      <c r="H51" s="563"/>
      <c r="I51" s="563"/>
      <c r="J51" s="277" t="str">
        <f>FHD_NOTE_P_15</f>
        <v/>
      </c>
      <c r="K51" s="1676" t="str">
        <f>IF((LEN(E51)-LEN(SUBSTITUTE(E51,".","")))/LEN(".")=1,"p","")</f>
        <v/>
      </c>
      <c r="L51" s="736"/>
      <c r="M51" s="736"/>
      <c r="R51" s="736"/>
      <c r="U51" s="737"/>
      <c r="AA51" s="738"/>
      <c r="AB51" s="738"/>
      <c r="AC51" s="738"/>
      <c r="AD51" s="738"/>
      <c r="AE51" s="738"/>
    </row>
    <row s="2683" customFormat="1" customHeight="1" ht="11.25">
      <c r="A52" s="994"/>
      <c r="C52" s="1676"/>
      <c r="D52" s="1678"/>
      <c r="E52" s="552" t="str">
        <f>FHD_NUM_P_16</f>
        <v>2.7</v>
      </c>
      <c r="F52" s="155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921" t="s">
        <v>759</v>
      </c>
      <c r="H52" s="563"/>
      <c r="I52" s="563"/>
      <c r="J52" s="277" t="str">
        <f>FHD_NOTE_P_16</f>
        <v/>
      </c>
      <c r="K52" s="1676" t="str">
        <f>IF((LEN(E52)-LEN(SUBSTITUTE(E52,".","")))/LEN(".")=1,"p","")</f>
        <v>p</v>
      </c>
      <c r="L52" s="1676"/>
      <c r="M52" s="1682"/>
      <c r="N52" s="543"/>
      <c r="O52" s="543"/>
      <c r="R52" s="1676"/>
      <c r="U52" s="550"/>
      <c r="AA52" s="1672"/>
      <c r="AB52" s="1672"/>
      <c r="AC52" s="1672"/>
      <c r="AD52" s="1672"/>
      <c r="AE52" s="1672"/>
    </row>
    <row s="2683" customFormat="1" customHeight="1" ht="11.25">
      <c r="A53" s="994"/>
      <c r="C53" s="1676"/>
      <c r="D53" s="1678"/>
      <c r="E53" s="552" t="str">
        <f>FHD_NUM_P_17</f>
        <v>2.7.1</v>
      </c>
      <c r="F53" s="1690" t="str">
        <f>FHD_P_17</f>
        <v>Расходы на оплату труда административно-управленческого персонала</v>
      </c>
      <c r="G53" s="1921" t="s">
        <v>759</v>
      </c>
      <c r="H53" s="563"/>
      <c r="I53" s="563"/>
      <c r="J53" s="277" t="str">
        <f>FHD_NOTE_P_17</f>
        <v/>
      </c>
      <c r="K53" s="1676" t="str">
        <f>IF((LEN(E53)-LEN(SUBSTITUTE(E53,".","")))/LEN(".")=1,"p","")</f>
        <v/>
      </c>
      <c r="L53" s="1676"/>
      <c r="M53" s="1682"/>
      <c r="N53" s="543"/>
      <c r="O53" s="543"/>
      <c r="R53" s="1676"/>
      <c r="U53" s="550"/>
      <c r="AA53" s="1672"/>
      <c r="AB53" s="1672"/>
      <c r="AC53" s="1672"/>
      <c r="AD53" s="1672"/>
      <c r="AE53" s="1672"/>
    </row>
    <row s="2683" customFormat="1" customHeight="1" ht="11.25">
      <c r="A54" s="994"/>
      <c r="C54" s="1676"/>
      <c r="D54" s="1678"/>
      <c r="E54" s="552" t="str">
        <f>FHD_NUM_P_18</f>
        <v>2.7.2</v>
      </c>
      <c r="F54" s="169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921" t="s">
        <v>759</v>
      </c>
      <c r="H54" s="563"/>
      <c r="I54" s="563"/>
      <c r="J54" s="277" t="str">
        <f>FHD_NOTE_P_18</f>
        <v/>
      </c>
      <c r="K54" s="1676" t="str">
        <f>IF((LEN(E54)-LEN(SUBSTITUTE(E54,".","")))/LEN(".")=1,"p","")</f>
        <v/>
      </c>
      <c r="L54" s="1676"/>
      <c r="M54" s="1682"/>
      <c r="N54" s="543"/>
      <c r="O54" s="543"/>
      <c r="R54" s="1676"/>
      <c r="U54" s="550"/>
      <c r="AA54" s="1672"/>
      <c r="AB54" s="1672"/>
      <c r="AC54" s="1672"/>
      <c r="AD54" s="1672"/>
      <c r="AE54" s="1672"/>
    </row>
    <row s="2683" customFormat="1" customHeight="1" ht="11.25">
      <c r="A55" s="994"/>
      <c r="C55" s="1676"/>
      <c r="D55" s="581"/>
      <c r="E55" s="552" t="str">
        <f>FHD_NUM_P_19</f>
        <v>2.8</v>
      </c>
      <c r="F55" s="1554" t="str">
        <f>FHD_P_19</f>
        <v>Расходы на амортизацию основных средств и нематериальных активов</v>
      </c>
      <c r="G55" s="1921" t="s">
        <v>759</v>
      </c>
      <c r="H55" s="563"/>
      <c r="I55" s="563"/>
      <c r="J55" s="277" t="str">
        <f>FHD_NOTE_P_19</f>
        <v/>
      </c>
      <c r="K55" s="1676" t="str">
        <f>IF((LEN(E55)-LEN(SUBSTITUTE(E55,".","")))/LEN(".")=1,"p","")</f>
        <v>p</v>
      </c>
      <c r="L55" s="1676"/>
      <c r="M55" s="1676"/>
      <c r="R55" s="1676"/>
      <c r="U55" s="550"/>
      <c r="AA55" s="1672"/>
      <c r="AB55" s="1672"/>
      <c r="AC55" s="1672"/>
      <c r="AD55" s="1672"/>
      <c r="AE55" s="1672"/>
    </row>
    <row s="2683" customFormat="1" customHeight="1" ht="11.25">
      <c r="A56" s="994"/>
      <c r="C56" s="1676"/>
      <c r="D56" s="581"/>
      <c r="E56" s="552" t="str">
        <f>FHD_NUM_P_20</f>
        <v>2.8.1</v>
      </c>
      <c r="F56" s="1690" t="str">
        <f>FHD_P_20</f>
        <v>Расходы на амортизацию основных средств</v>
      </c>
      <c r="G56" s="1921" t="s">
        <v>759</v>
      </c>
      <c r="H56" s="563"/>
      <c r="I56" s="563"/>
      <c r="J56" s="277" t="str">
        <f>FHD_NOTE_P_20</f>
        <v/>
      </c>
      <c r="K56" s="1676" t="str">
        <f>IF((LEN(E56)-LEN(SUBSTITUTE(E56,".","")))/LEN(".")=1,"p","")</f>
        <v/>
      </c>
      <c r="L56" s="1676"/>
      <c r="M56" s="1676"/>
      <c r="R56" s="1676"/>
      <c r="U56" s="550"/>
      <c r="AA56" s="1672"/>
      <c r="AB56" s="1672"/>
      <c r="AC56" s="1672"/>
      <c r="AD56" s="1672"/>
      <c r="AE56" s="1672"/>
    </row>
    <row s="2683" customFormat="1" customHeight="1" ht="11.25">
      <c r="A57" s="994"/>
      <c r="C57" s="1676"/>
      <c r="D57" s="581"/>
      <c r="E57" s="552" t="str">
        <f>FHD_NUM_P_21</f>
        <v>2.8.2</v>
      </c>
      <c r="F57" s="1690" t="str">
        <f>FHD_P_21</f>
        <v>Расходы на амортизацию нематериальных активов</v>
      </c>
      <c r="G57" s="1921" t="s">
        <v>759</v>
      </c>
      <c r="H57" s="563"/>
      <c r="I57" s="563"/>
      <c r="J57" s="277" t="str">
        <f>FHD_NOTE_P_21</f>
        <v/>
      </c>
      <c r="K57" s="1676" t="str">
        <f>IF((LEN(E57)-LEN(SUBSTITUTE(E57,".","")))/LEN(".")=1,"p","")</f>
        <v/>
      </c>
      <c r="L57" s="1676"/>
      <c r="M57" s="1676"/>
      <c r="R57" s="1676"/>
      <c r="U57" s="550"/>
      <c r="AA57" s="1672"/>
      <c r="AB57" s="1672"/>
      <c r="AC57" s="1672"/>
      <c r="AD57" s="1672"/>
      <c r="AE57" s="1672"/>
    </row>
    <row s="2683" customFormat="1" customHeight="1" ht="11.25">
      <c r="A58" s="994"/>
      <c r="C58" s="1676"/>
      <c r="D58" s="1678"/>
      <c r="E58" s="552" t="str">
        <f>FHD_NUM_P_22</f>
        <v>2.9</v>
      </c>
      <c r="F58" s="1554" t="str">
        <f>FHD_P_22</f>
        <v>Расходы на аренду имущества, используемого для осуществления регулируемого вида деятельности</v>
      </c>
      <c r="G58" s="1921" t="s">
        <v>759</v>
      </c>
      <c r="H58" s="563"/>
      <c r="I58" s="563"/>
      <c r="J58" s="277" t="str">
        <f>FHD_NOTE_P_22</f>
        <v/>
      </c>
      <c r="K58" s="1676" t="str">
        <f>IF((LEN(E58)-LEN(SUBSTITUTE(E58,".","")))/LEN(".")=1,"p","")</f>
        <v>p</v>
      </c>
      <c r="L58" s="1676"/>
      <c r="M58" s="1676"/>
      <c r="R58" s="1676"/>
      <c r="U58" s="550"/>
      <c r="AA58" s="1672"/>
      <c r="AB58" s="1672"/>
      <c r="AC58" s="1672"/>
      <c r="AD58" s="1672"/>
      <c r="AE58" s="1672"/>
    </row>
    <row s="2683" customFormat="1" customHeight="1" ht="11.25">
      <c r="A59" s="994"/>
      <c r="C59" s="1676"/>
      <c r="D59" s="581"/>
      <c r="E59" s="552" t="str">
        <f>FHD_NUM_P_23</f>
        <v>2.10</v>
      </c>
      <c r="F59" s="1554" t="str">
        <f>FHD_P_23</f>
        <v>Общепроизводственные расходы, в том числе:</v>
      </c>
      <c r="G59" s="1921" t="s">
        <v>759</v>
      </c>
      <c r="H59" s="563"/>
      <c r="I59" s="563"/>
      <c r="J59" s="277" t="str">
        <f>FHD_NOTE_P_23</f>
        <v>Указывается общая сумма общепроизводственных расходов.</v>
      </c>
      <c r="K59" s="1676" t="str">
        <f>IF((LEN(E59)-LEN(SUBSTITUTE(E59,".","")))/LEN(".")=1,"p","")</f>
        <v>p</v>
      </c>
      <c r="L59" s="1676"/>
      <c r="M59" s="1676"/>
      <c r="R59" s="1676"/>
      <c r="U59" s="550"/>
      <c r="AA59" s="1672"/>
      <c r="AB59" s="1672"/>
      <c r="AC59" s="1672"/>
      <c r="AD59" s="1672"/>
      <c r="AE59" s="1672"/>
    </row>
    <row s="2683" customFormat="1" customHeight="1" ht="11.25">
      <c r="A60" s="994"/>
      <c r="C60" s="1676"/>
      <c r="D60" s="581"/>
      <c r="E60" s="552" t="str">
        <f>FHD_NUM_P_24</f>
        <v>2.10.1</v>
      </c>
      <c r="F60" s="1690" t="str">
        <f>FHD_P_24</f>
        <v>Расходы на текущий ремонт</v>
      </c>
      <c r="G60" s="1921" t="s">
        <v>759</v>
      </c>
      <c r="H60" s="563"/>
      <c r="I60" s="563"/>
      <c r="J60" s="277" t="str">
        <f>FHD_NOTE_P_24</f>
        <v>Указываются расходы на текущий ремонт, отнесенные к общепроизводственным расходам.</v>
      </c>
      <c r="K60" s="1676" t="str">
        <f>IF((LEN(E60)-LEN(SUBSTITUTE(E60,".","")))/LEN(".")=1,"p","")</f>
        <v/>
      </c>
      <c r="L60" s="1676"/>
      <c r="M60" s="1676"/>
      <c r="R60" s="1676"/>
      <c r="U60" s="550"/>
      <c r="AA60" s="1672"/>
      <c r="AB60" s="1672"/>
      <c r="AC60" s="1672"/>
      <c r="AD60" s="1672"/>
      <c r="AE60" s="1672"/>
    </row>
    <row s="2683" customFormat="1" customHeight="1" ht="11.25">
      <c r="A61" s="994"/>
      <c r="C61" s="1676"/>
      <c r="D61" s="581"/>
      <c r="E61" s="552" t="str">
        <f>FHD_NUM_P_25</f>
        <v>2.10.2</v>
      </c>
      <c r="F61" s="1690" t="str">
        <f>FHD_P_25</f>
        <v>Расходы на капитальный ремонт</v>
      </c>
      <c r="G61" s="1921" t="s">
        <v>759</v>
      </c>
      <c r="H61" s="563"/>
      <c r="I61" s="563"/>
      <c r="J61" s="277" t="str">
        <f>FHD_NOTE_P_25</f>
        <v>Указываются расходы на капитальный ремонт, отнесенные к общепроизводственным расходам.</v>
      </c>
      <c r="K61" s="1676" t="str">
        <f>IF((LEN(E61)-LEN(SUBSTITUTE(E61,".","")))/LEN(".")=1,"p","")</f>
        <v/>
      </c>
      <c r="L61" s="1676"/>
      <c r="M61" s="1676"/>
      <c r="R61" s="1676"/>
      <c r="U61" s="550"/>
      <c r="AA61" s="1672"/>
      <c r="AB61" s="1672"/>
      <c r="AC61" s="1672"/>
      <c r="AD61" s="1672"/>
      <c r="AE61" s="1672"/>
    </row>
    <row s="2683" customFormat="1" customHeight="1" ht="11.25">
      <c r="A62" s="994"/>
      <c r="C62" s="1676"/>
      <c r="D62" s="1678"/>
      <c r="E62" s="552" t="str">
        <f>FHD_NUM_P_26</f>
        <v>2.11</v>
      </c>
      <c r="F62" s="1554" t="str">
        <f>FHD_P_26</f>
        <v>Общехозяйственные расходы, в том числе:</v>
      </c>
      <c r="G62" s="1921" t="s">
        <v>759</v>
      </c>
      <c r="H62" s="563"/>
      <c r="I62" s="563"/>
      <c r="J62" s="277" t="str">
        <f>FHD_NOTE_P_26</f>
        <v>Указывается общая сумма общехозяйственных расходов.</v>
      </c>
      <c r="K62" s="1676" t="str">
        <f>IF((LEN(E62)-LEN(SUBSTITUTE(E62,".","")))/LEN(".")=1,"p","")</f>
        <v>p</v>
      </c>
      <c r="L62" s="1676"/>
      <c r="M62" s="1676"/>
      <c r="R62" s="1676"/>
      <c r="U62" s="550"/>
      <c r="AA62" s="1672"/>
      <c r="AB62" s="1672"/>
      <c r="AC62" s="1672"/>
      <c r="AD62" s="1672"/>
      <c r="AE62" s="1672"/>
    </row>
    <row s="2683" customFormat="1" customHeight="1" ht="11.25">
      <c r="A63" s="994"/>
      <c r="C63" s="1676"/>
      <c r="D63" s="1678"/>
      <c r="E63" s="552" t="str">
        <f>FHD_NUM_P_27</f>
        <v>2.11.1</v>
      </c>
      <c r="F63" s="1690" t="str">
        <f>FHD_P_27</f>
        <v>Расходы на текущий ремонт</v>
      </c>
      <c r="G63" s="1921" t="s">
        <v>759</v>
      </c>
      <c r="H63" s="563"/>
      <c r="I63" s="563"/>
      <c r="J63" s="277" t="str">
        <f>FHD_NOTE_P_27</f>
        <v>Указываются расходы на текущий ремонт, отнесенные к общехозяйственным расходам.</v>
      </c>
      <c r="K63" s="1676" t="str">
        <f>IF((LEN(E63)-LEN(SUBSTITUTE(E63,".","")))/LEN(".")=1,"p","")</f>
        <v/>
      </c>
      <c r="L63" s="1676"/>
      <c r="M63" s="1676"/>
      <c r="R63" s="1676"/>
      <c r="U63" s="550"/>
      <c r="AA63" s="1672"/>
      <c r="AB63" s="1672"/>
      <c r="AC63" s="1672"/>
      <c r="AD63" s="1672"/>
      <c r="AE63" s="1672"/>
    </row>
    <row s="2683" customFormat="1" customHeight="1" ht="11.25">
      <c r="A64" s="994"/>
      <c r="C64" s="1676"/>
      <c r="D64" s="1678"/>
      <c r="E64" s="552" t="str">
        <f>FHD_NUM_P_28</f>
        <v>2.11.2</v>
      </c>
      <c r="F64" s="1690" t="str">
        <f>FHD_P_28</f>
        <v>Расходы на капитальный ремонт</v>
      </c>
      <c r="G64" s="1921" t="s">
        <v>759</v>
      </c>
      <c r="H64" s="563"/>
      <c r="I64" s="563"/>
      <c r="J64" s="277" t="str">
        <f>FHD_NOTE_P_28</f>
        <v>Указываются расходы на капитальный ремонт, отнесенные к общехозяйственным расходам.</v>
      </c>
      <c r="K64" s="1676" t="str">
        <f>IF((LEN(E64)-LEN(SUBSTITUTE(E64,".","")))/LEN(".")=1,"p","")</f>
        <v/>
      </c>
      <c r="L64" s="1676"/>
      <c r="M64" s="1676"/>
      <c r="R64" s="1676"/>
      <c r="U64" s="550"/>
      <c r="AA64" s="1672"/>
      <c r="AB64" s="1672"/>
      <c r="AC64" s="1672"/>
      <c r="AD64" s="1672"/>
      <c r="AE64" s="1672"/>
    </row>
    <row s="2683" customFormat="1" customHeight="1" ht="11.25">
      <c r="A65" s="994"/>
      <c r="C65" s="1676"/>
      <c r="D65" s="1678"/>
      <c r="E65" s="552" t="str">
        <f>FHD_NUM_P_29</f>
        <v>2.12</v>
      </c>
      <c r="F65" s="1554" t="str">
        <f>FHD_P_29</f>
        <v>Расходы на капитальный и текущий ремонт основных средств</v>
      </c>
      <c r="G65" s="1921" t="s">
        <v>759</v>
      </c>
      <c r="H65" s="563"/>
      <c r="I65" s="563"/>
      <c r="J65" s="27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676" t="str">
        <f>IF((LEN(E65)-LEN(SUBSTITUTE(E65,".","")))/LEN(".")=1,"p","")</f>
        <v>p</v>
      </c>
      <c r="L65" s="1676"/>
      <c r="M65" s="1676"/>
      <c r="R65" s="1676"/>
      <c r="U65" s="550"/>
      <c r="AA65" s="1672"/>
      <c r="AB65" s="1672"/>
      <c r="AC65" s="1672"/>
      <c r="AD65" s="1672"/>
      <c r="AE65" s="1672"/>
    </row>
    <row s="2683" customFormat="1" customHeight="1" ht="11.25">
      <c r="A66" s="994"/>
      <c r="C66" s="1676"/>
      <c r="D66" s="1678"/>
      <c r="E66" s="552" t="str">
        <f>FHD_NUM_P_30</f>
        <v>2.12.1</v>
      </c>
      <c r="F66" s="169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921" t="s">
        <v>519</v>
      </c>
      <c r="H66" s="1689" t="s">
        <v>782</v>
      </c>
      <c r="I66" s="1689" t="s">
        <v>782</v>
      </c>
      <c r="J66" s="277" t="str">
        <f>FHD_NOTE_P_30</f>
        <v/>
      </c>
      <c r="K66" s="1676" t="str">
        <f>IF((LEN(E66)-LEN(SUBSTITUTE(E66,".","")))/LEN(".")=1,"p","")</f>
        <v/>
      </c>
      <c r="L66" s="1676">
        <f>_xlfn.IFERROR(MATCH("есть",B_FHD_FLAG_INDEX_1,0),0)</f>
        <v>0</v>
      </c>
      <c r="M66" s="1676"/>
      <c r="R66" s="1676"/>
      <c r="U66" s="550"/>
      <c r="AA66" s="1672"/>
      <c r="AB66" s="1672"/>
      <c r="AC66" s="1672"/>
      <c r="AD66" s="1672"/>
      <c r="AE66" s="1672"/>
    </row>
    <row s="2683" customFormat="1" customHeight="1" ht="22.5" hidden="1">
      <c r="A67" s="2210" t="s">
        <v>783</v>
      </c>
      <c r="C67" s="1676"/>
      <c r="D67" s="1678"/>
      <c r="E67" s="552" t="str">
        <f>FHD_NUM_P_31</f>
        <v/>
      </c>
      <c r="F67" s="1554" t="str">
        <f>FHD_P_31</f>
        <v/>
      </c>
      <c r="G67" s="1921" t="s">
        <v>759</v>
      </c>
      <c r="H67" s="563"/>
      <c r="I67" s="563"/>
      <c r="J67" s="277" t="str">
        <f>FHD_NOTE_P_31</f>
        <v/>
      </c>
      <c r="K67" s="1676" t="str">
        <f>IF((LEN(E67)-LEN(SUBSTITUTE(E67,".","")))/LEN(".")=1,"p","")</f>
        <v/>
      </c>
      <c r="L67" s="1676"/>
      <c r="M67" s="1676"/>
      <c r="R67" s="1676"/>
      <c r="U67" s="550"/>
      <c r="AA67" s="1672"/>
      <c r="AB67" s="1672"/>
      <c r="AC67" s="1672"/>
      <c r="AD67" s="1672"/>
      <c r="AE67" s="1672"/>
    </row>
    <row s="2683" customFormat="1" customHeight="1" ht="45" hidden="1">
      <c r="A68" s="2210"/>
      <c r="C68" s="1676"/>
      <c r="D68" s="1678"/>
      <c r="E68" s="552" t="str">
        <f>FHD_NUM_P_32</f>
        <v/>
      </c>
      <c r="F68" s="1690" t="str">
        <f>FHD_P_32</f>
        <v/>
      </c>
      <c r="G68" s="1921" t="s">
        <v>519</v>
      </c>
      <c r="H68" s="1689" t="s">
        <v>782</v>
      </c>
      <c r="I68" s="1689" t="s">
        <v>782</v>
      </c>
      <c r="J68" s="277" t="str">
        <f>FHD_NOTE_P_32</f>
        <v/>
      </c>
      <c r="K68" s="1676" t="str">
        <f>IF((LEN(E68)-LEN(SUBSTITUTE(E68,".","")))/LEN(".")=1,"p","")</f>
        <v/>
      </c>
      <c r="L68" s="1676">
        <f>_xlfn.IFERROR(MATCH("есть",B_FHD_FLAG_INDEX_2,0),0)</f>
        <v>0</v>
      </c>
      <c r="M68" s="1676"/>
      <c r="R68" s="1676"/>
      <c r="U68" s="550"/>
      <c r="AA68" s="1672"/>
      <c r="AB68" s="1672"/>
      <c r="AC68" s="1672"/>
      <c r="AD68" s="1672"/>
      <c r="AE68" s="1672"/>
    </row>
    <row s="2683" customFormat="1" customHeight="1" ht="11.25">
      <c r="A69" s="994"/>
      <c r="C69" s="1676"/>
      <c r="D69" s="1678"/>
      <c r="E69" s="552" t="str">
        <f>FHD_NUM_P_33</f>
        <v>2.13</v>
      </c>
      <c r="F69" s="1554" t="str">
        <f>FHD_P_33</f>
        <v>Прочие расходы, которые подлежат отнесению на регулируемые виды деятельности в соответствии с законодательством Российской Федерации</v>
      </c>
      <c r="G69" s="1922" t="s">
        <v>759</v>
      </c>
      <c r="H69" s="585">
        <f>SUM(H70:H71)</f>
        <v>0</v>
      </c>
      <c r="I69" s="585">
        <f>SUM(I70:I71)</f>
        <v>0</v>
      </c>
      <c r="J69" s="27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676" t="str">
        <f>IF((LEN(E69)-LEN(SUBSTITUTE(E69,".","")))/LEN(".")=1,"p","")</f>
        <v>p</v>
      </c>
      <c r="L69" s="1676"/>
      <c r="M69" s="1676"/>
      <c r="R69" s="1676"/>
      <c r="U69" s="550"/>
      <c r="AA69" s="1672"/>
      <c r="AB69" s="1672"/>
      <c r="AC69" s="1672"/>
      <c r="AD69" s="1672"/>
      <c r="AE69" s="1672"/>
    </row>
    <row s="2691" customFormat="1" customHeight="1" ht="0.75">
      <c r="A70" s="1175"/>
      <c r="D70" s="554"/>
      <c r="E70" s="1020" t="str">
        <f>E69&amp;".0"</f>
        <v>2.13.0</v>
      </c>
      <c r="F70" s="998"/>
      <c r="G70" s="1020"/>
      <c r="H70" s="999"/>
      <c r="I70" s="999"/>
      <c r="J70" s="1000"/>
      <c r="K70" s="1676" t="str">
        <f>IF((LEN(E70)-LEN(SUBSTITUTE(E70,".","")))/LEN(".")=1,"p","")</f>
        <v/>
      </c>
    </row>
    <row s="2683" customFormat="1" customHeight="1" ht="14.25">
      <c r="A71" s="994"/>
      <c r="C71" s="1676"/>
      <c r="D71" s="1673"/>
      <c r="E71" s="576"/>
      <c r="F71" s="577" t="s">
        <v>784</v>
      </c>
      <c r="G71" s="578"/>
      <c r="H71" s="579"/>
      <c r="I71" s="579"/>
      <c r="J71" s="289"/>
      <c r="K71" s="1676"/>
      <c r="L71" s="1676"/>
      <c r="M71" s="1676"/>
      <c r="R71" s="1676"/>
      <c r="U71" s="550"/>
      <c r="AA71" s="1672"/>
      <c r="AB71" s="1672"/>
      <c r="AC71" s="1672"/>
      <c r="AD71" s="1672"/>
      <c r="AE71" s="1672"/>
    </row>
    <row s="2683" customFormat="1" customHeight="1" ht="18.75">
      <c r="A72" s="996" t="s">
        <v>785</v>
      </c>
      <c r="C72" s="1676"/>
      <c r="D72" s="1678"/>
      <c r="E72" s="552" t="str">
        <f>FHD_NUM_P_34</f>
        <v>3</v>
      </c>
      <c r="F72" s="1923" t="str">
        <f>FHD_P_34</f>
        <v>Валовая прибыль (убытки) от реализации товаров и оказания услуг по регулируемому виду деятельности</v>
      </c>
      <c r="G72" s="1921" t="s">
        <v>759</v>
      </c>
      <c r="H72" s="563"/>
      <c r="I72" s="563"/>
      <c r="J72" s="277" t="str">
        <f>FHD_NOTE_P_34</f>
        <v/>
      </c>
      <c r="K72" s="549"/>
      <c r="L72" s="1676"/>
      <c r="M72" s="1676"/>
      <c r="R72" s="1676"/>
      <c r="U72" s="550"/>
      <c r="AA72" s="1672"/>
      <c r="AB72" s="1672"/>
      <c r="AC72" s="1672"/>
      <c r="AD72" s="1672"/>
      <c r="AE72" s="1672"/>
    </row>
    <row s="2683" customFormat="1" customHeight="1" ht="18.75">
      <c r="A73" s="994"/>
      <c r="C73" s="1676"/>
      <c r="D73" s="581"/>
      <c r="E73" s="552" t="str">
        <f>FHD_NUM_P_35</f>
        <v>4</v>
      </c>
      <c r="F73" s="1923" t="str">
        <f>FHD_P_35</f>
        <v>Чистая прибыль, полученная от регулируемого вида деятельности, в том числе:</v>
      </c>
      <c r="G73" s="1921" t="s">
        <v>759</v>
      </c>
      <c r="H73" s="563"/>
      <c r="I73" s="563"/>
      <c r="J73" s="277" t="str">
        <f>FHD_NOTE_P_35</f>
        <v>Указывается общая сумма чистой прибыли, полученной от регулируемого вида деятельности.</v>
      </c>
      <c r="K73" s="549"/>
      <c r="L73" s="1676"/>
      <c r="M73" s="1676"/>
      <c r="R73" s="1676"/>
      <c r="U73" s="550"/>
      <c r="AA73" s="1672"/>
      <c r="AB73" s="1672"/>
      <c r="AC73" s="1672"/>
      <c r="AD73" s="1672"/>
      <c r="AE73" s="1672"/>
    </row>
    <row s="2683" customFormat="1" customHeight="1" ht="18.75">
      <c r="A74" s="994"/>
      <c r="C74" s="1676"/>
      <c r="D74" s="1678"/>
      <c r="E74" s="552" t="str">
        <f>FHD_NUM_P_36</f>
        <v>4.1</v>
      </c>
      <c r="F74" s="155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921" t="s">
        <v>759</v>
      </c>
      <c r="H74" s="563"/>
      <c r="I74" s="563"/>
      <c r="J74" s="277" t="str">
        <f>FHD_NOTE_P_36</f>
        <v/>
      </c>
      <c r="K74" s="549"/>
      <c r="L74" s="1676"/>
      <c r="M74" s="1676"/>
      <c r="R74" s="1676"/>
      <c r="U74" s="550"/>
      <c r="AA74" s="1672"/>
      <c r="AB74" s="1672"/>
      <c r="AC74" s="1672"/>
      <c r="AD74" s="1672"/>
      <c r="AE74" s="1672"/>
    </row>
    <row s="2683" customFormat="1" customHeight="1" ht="18.75">
      <c r="A75" s="994"/>
      <c r="C75" s="1676"/>
      <c r="D75" s="1678"/>
      <c r="E75" s="552" t="str">
        <f>FHD_NUM_P_37</f>
        <v>5</v>
      </c>
      <c r="F75" s="1923" t="str">
        <f>FHD_P_37</f>
        <v>Изменение стоимости основных фондов, в том числе:</v>
      </c>
      <c r="G75" s="1921" t="s">
        <v>759</v>
      </c>
      <c r="H75" s="563"/>
      <c r="I75" s="563"/>
      <c r="J75" s="277" t="str">
        <f>FHD_NOTE_P_37</f>
        <v>Указывается общее изменение стоимости основных фондов.</v>
      </c>
      <c r="K75" s="549"/>
      <c r="L75" s="1676"/>
      <c r="M75" s="1676"/>
      <c r="R75" s="1676"/>
      <c r="U75" s="550"/>
      <c r="AA75" s="1672"/>
      <c r="AB75" s="1672"/>
      <c r="AC75" s="1672"/>
      <c r="AD75" s="1672"/>
      <c r="AE75" s="1672"/>
    </row>
    <row s="2683" customFormat="1" customHeight="1" ht="18.75">
      <c r="A76" s="994"/>
      <c r="C76" s="1676"/>
      <c r="D76" s="1678"/>
      <c r="E76" s="552" t="str">
        <f>FHD_NUM_P_38</f>
        <v>5.1</v>
      </c>
      <c r="F76" s="1554" t="str">
        <f>FHD_P_38</f>
        <v>Изменение стоимости основных фондов за счет:</v>
      </c>
      <c r="G76" s="1921" t="s">
        <v>759</v>
      </c>
      <c r="H76" s="563"/>
      <c r="I76" s="563"/>
      <c r="J76" s="277" t="str">
        <f>FHD_NOTE_P_38</f>
        <v>Указываются общее изменение стоимости основных фондов за счет их ввода в эксплуатацию и вывода из эксплуатации.</v>
      </c>
      <c r="K76" s="549"/>
      <c r="L76" s="1676"/>
      <c r="M76" s="1676"/>
      <c r="R76" s="1676"/>
      <c r="U76" s="550"/>
      <c r="AA76" s="1672"/>
      <c r="AB76" s="1672"/>
      <c r="AC76" s="1672"/>
      <c r="AD76" s="1672"/>
      <c r="AE76" s="1672"/>
    </row>
    <row s="2683" customFormat="1" customHeight="1" ht="18.75">
      <c r="A77" s="994"/>
      <c r="C77" s="1676"/>
      <c r="D77" s="1678"/>
      <c r="E77" s="552" t="str">
        <f>FHD_NUM_P_39</f>
        <v>5.1.1</v>
      </c>
      <c r="F77" s="1690" t="str">
        <f>FHD_P_39</f>
        <v>Изменения стоимости основных фондов за счет их ввода в эксплуатацию</v>
      </c>
      <c r="G77" s="1921" t="s">
        <v>759</v>
      </c>
      <c r="H77" s="563"/>
      <c r="I77" s="563"/>
      <c r="J77" s="277" t="str">
        <f>FHD_NOTE_P_39</f>
        <v>Указываются изменение стоимости основных фондов за счет их ввода в эксплуатацию.</v>
      </c>
      <c r="K77" s="549"/>
      <c r="L77" s="1676"/>
      <c r="M77" s="1676"/>
      <c r="R77" s="1676"/>
      <c r="U77" s="550"/>
      <c r="AA77" s="1672"/>
      <c r="AB77" s="1672"/>
      <c r="AC77" s="1672"/>
      <c r="AD77" s="1672"/>
      <c r="AE77" s="1672"/>
    </row>
    <row s="2683" customFormat="1" customHeight="1" ht="18.75">
      <c r="A78" s="994"/>
      <c r="C78" s="1676"/>
      <c r="D78" s="1678"/>
      <c r="E78" s="552" t="str">
        <f>FHD_NUM_P_40</f>
        <v>5.1.2</v>
      </c>
      <c r="F78" s="1690" t="str">
        <f>FHD_P_40</f>
        <v>Изменения стоимости основных фондов за счет их вывода в эксплуатацию</v>
      </c>
      <c r="G78" s="1921" t="s">
        <v>759</v>
      </c>
      <c r="H78" s="563"/>
      <c r="I78" s="563"/>
      <c r="J78" s="277" t="str">
        <f>FHD_NOTE_P_40</f>
        <v>Указываются изменение стоимости основных фондов за счет их вывода из эксплуатации.</v>
      </c>
      <c r="K78" s="549"/>
      <c r="L78" s="1676"/>
      <c r="M78" s="1676"/>
      <c r="R78" s="1676"/>
      <c r="U78" s="550"/>
      <c r="AA78" s="1672"/>
      <c r="AB78" s="1672"/>
      <c r="AC78" s="1672"/>
      <c r="AD78" s="1672"/>
      <c r="AE78" s="1672"/>
    </row>
    <row s="2683" customFormat="1" customHeight="1" ht="18.75">
      <c r="A79" s="994"/>
      <c r="C79" s="1676"/>
      <c r="D79" s="1678"/>
      <c r="E79" s="552" t="str">
        <f>FHD_NUM_P_41</f>
        <v>5.2</v>
      </c>
      <c r="F79" s="1554" t="str">
        <f>FHD_P_41</f>
        <v>Изменение стоимости основных фондов за счет их переоценки</v>
      </c>
      <c r="G79" s="1922" t="s">
        <v>759</v>
      </c>
      <c r="H79" s="563"/>
      <c r="I79" s="563"/>
      <c r="J79" s="277" t="str">
        <f>FHD_NOTE_P_41</f>
        <v/>
      </c>
      <c r="K79" s="549"/>
      <c r="L79" s="1676"/>
      <c r="M79" s="1676"/>
      <c r="R79" s="1676"/>
      <c r="U79" s="550"/>
      <c r="AA79" s="1672"/>
      <c r="AB79" s="1672"/>
      <c r="AC79" s="1672"/>
      <c r="AD79" s="1672"/>
      <c r="AE79" s="1672"/>
    </row>
    <row s="2683" customFormat="1" customHeight="1" ht="18.75" hidden="1">
      <c r="A80" s="996" t="s">
        <v>786</v>
      </c>
      <c r="C80" s="1676"/>
      <c r="D80" s="1678"/>
      <c r="E80" s="552" t="str">
        <f>FHD_NUM_P_42</f>
        <v/>
      </c>
      <c r="F80" s="1923" t="str">
        <f>FHD_P_42</f>
        <v/>
      </c>
      <c r="G80" s="1921" t="s">
        <v>759</v>
      </c>
      <c r="H80" s="983"/>
      <c r="I80" s="563"/>
      <c r="J80" s="277" t="str">
        <f>FHD_NOTE_P_42</f>
        <v/>
      </c>
      <c r="K80" s="549"/>
      <c r="L80" s="1676"/>
      <c r="M80" s="1676"/>
      <c r="R80" s="1676"/>
      <c r="U80" s="550"/>
      <c r="AA80" s="1672"/>
      <c r="AB80" s="1672"/>
      <c r="AC80" s="1672"/>
      <c r="AD80" s="1672"/>
      <c r="AE80" s="1672"/>
    </row>
    <row s="2683" customFormat="1" customHeight="1" ht="18.75">
      <c r="A81" s="994"/>
      <c r="C81" s="1676"/>
      <c r="D81" s="1678"/>
      <c r="E81" s="552" t="str">
        <f>FHD_NUM_P_43</f>
        <v>6</v>
      </c>
      <c r="F81" s="1923" t="str">
        <f>FHD_P_43</f>
        <v>Годовая бухгалтерская (финансовая) отчетность, включая бухгалтерский баланс и приложения к нему</v>
      </c>
      <c r="G81" s="1921" t="s">
        <v>519</v>
      </c>
      <c r="H81" s="1062"/>
      <c r="I81" s="824"/>
      <c r="J81" s="277"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549"/>
      <c r="L81" s="1676"/>
      <c r="M81" s="1676"/>
      <c r="R81" s="1676"/>
      <c r="U81" s="550"/>
      <c r="AA81" s="1672"/>
      <c r="AB81" s="1672"/>
      <c r="AC81" s="1672"/>
      <c r="AD81" s="1672"/>
      <c r="AE81" s="1672"/>
    </row>
    <row s="12401" customFormat="1" customHeight="1" ht="18.75" hidden="1">
      <c r="A82" s="2210" t="s">
        <v>787</v>
      </c>
      <c r="C82" s="741"/>
      <c r="D82" s="739"/>
      <c r="E82" s="552" t="str">
        <f>FHD_NUM_P_44</f>
        <v/>
      </c>
      <c r="F82" s="1923" t="str">
        <f>FHD_P_44</f>
        <v/>
      </c>
      <c r="G82" s="1924" t="s">
        <v>788</v>
      </c>
      <c r="H82" s="984"/>
      <c r="I82" s="583"/>
      <c r="J82" s="277" t="str">
        <f>FHD_NOTE_P_44</f>
        <v/>
      </c>
      <c r="K82" s="740"/>
      <c r="L82" s="741"/>
      <c r="M82" s="741"/>
      <c r="R82" s="741"/>
      <c r="U82" s="742"/>
      <c r="AA82" s="743"/>
      <c r="AB82" s="743"/>
      <c r="AC82" s="743"/>
      <c r="AD82" s="743"/>
      <c r="AE82" s="743"/>
    </row>
    <row s="12401" customFormat="1" customHeight="1" ht="18.75" hidden="1">
      <c r="A83" s="2210"/>
      <c r="C83" s="741"/>
      <c r="D83" s="739"/>
      <c r="E83" s="552" t="str">
        <f>FHD_NUM_P_45</f>
        <v/>
      </c>
      <c r="F83" s="1923" t="str">
        <f>FHD_P_45</f>
        <v/>
      </c>
      <c r="G83" s="1924" t="s">
        <v>788</v>
      </c>
      <c r="H83" s="984"/>
      <c r="I83" s="583"/>
      <c r="J83" s="277" t="str">
        <f>FHD_NOTE_P_45</f>
        <v/>
      </c>
      <c r="K83" s="740"/>
      <c r="L83" s="741"/>
      <c r="M83" s="741"/>
      <c r="R83" s="741"/>
      <c r="U83" s="742"/>
      <c r="AA83" s="743"/>
      <c r="AB83" s="743"/>
      <c r="AC83" s="743"/>
      <c r="AD83" s="743"/>
      <c r="AE83" s="743"/>
    </row>
    <row s="12401" customFormat="1" customHeight="1" ht="18.75" hidden="1">
      <c r="A84" s="2210"/>
      <c r="C84" s="741"/>
      <c r="D84" s="744"/>
      <c r="E84" s="552" t="str">
        <f>FHD_NUM_P_46</f>
        <v/>
      </c>
      <c r="F84" s="1923" t="str">
        <f>FHD_P_46</f>
        <v/>
      </c>
      <c r="G84" s="1924" t="s">
        <v>788</v>
      </c>
      <c r="H84" s="984"/>
      <c r="I84" s="583"/>
      <c r="J84" s="277" t="str">
        <f>FHD_NOTE_P_46</f>
        <v/>
      </c>
      <c r="K84" s="740"/>
      <c r="L84" s="741"/>
      <c r="M84" s="741"/>
      <c r="R84" s="741"/>
      <c r="U84" s="742"/>
      <c r="AA84" s="743"/>
      <c r="AB84" s="743"/>
      <c r="AC84" s="743"/>
      <c r="AD84" s="743"/>
      <c r="AE84" s="743"/>
    </row>
    <row s="12401" customFormat="1" customHeight="1" ht="18.75" hidden="1">
      <c r="A85" s="2210"/>
      <c r="C85" s="741"/>
      <c r="D85" s="739"/>
      <c r="E85" s="552" t="str">
        <f>FHD_NUM_P_47</f>
        <v/>
      </c>
      <c r="F85" s="1923" t="str">
        <f>FHD_P_47</f>
        <v/>
      </c>
      <c r="G85" s="1924" t="s">
        <v>788</v>
      </c>
      <c r="H85" s="984"/>
      <c r="I85" s="583"/>
      <c r="J85" s="277" t="str">
        <f>FHD_NOTE_P_47</f>
        <v/>
      </c>
      <c r="K85" s="740"/>
      <c r="L85" s="741"/>
      <c r="M85" s="741"/>
      <c r="R85" s="741"/>
      <c r="U85" s="742"/>
      <c r="AA85" s="743"/>
      <c r="AB85" s="743"/>
      <c r="AC85" s="743"/>
      <c r="AD85" s="743"/>
      <c r="AE85" s="743"/>
    </row>
    <row s="12410" customFormat="1" customHeight="1" ht="18.75" hidden="1">
      <c r="A86" s="2210"/>
      <c r="B86" s="916"/>
      <c r="C86" s="741"/>
      <c r="D86" s="739"/>
      <c r="E86" s="552" t="str">
        <f>FHD_NUM_P_48</f>
        <v/>
      </c>
      <c r="F86" s="1923" t="str">
        <f>FHD_P_48</f>
        <v/>
      </c>
      <c r="G86" s="1924" t="s">
        <v>788</v>
      </c>
      <c r="H86" s="984"/>
      <c r="I86" s="583"/>
      <c r="J86" s="277" t="str">
        <f>FHD_NOTE_P_48</f>
        <v/>
      </c>
      <c r="K86" s="740"/>
      <c r="L86" s="741"/>
      <c r="M86" s="741"/>
      <c r="N86" s="916"/>
      <c r="O86" s="916"/>
      <c r="P86" s="916"/>
      <c r="Q86" s="916"/>
      <c r="R86" s="741"/>
      <c r="S86" s="916"/>
      <c r="T86" s="916"/>
      <c r="U86" s="742"/>
      <c r="V86" s="916"/>
      <c r="W86" s="916"/>
      <c r="X86" s="916"/>
      <c r="Y86" s="916"/>
      <c r="Z86" s="916"/>
      <c r="AA86" s="743"/>
      <c r="AB86" s="743"/>
      <c r="AC86" s="743"/>
      <c r="AD86" s="743"/>
      <c r="AE86" s="743"/>
    </row>
    <row s="12410" customFormat="1" customHeight="1" ht="18.75" hidden="1">
      <c r="A87" s="2210"/>
      <c r="B87" s="916"/>
      <c r="C87" s="741"/>
      <c r="D87" s="739"/>
      <c r="E87" s="552" t="str">
        <f>FHD_NUM_P_49</f>
        <v/>
      </c>
      <c r="F87" s="1923" t="str">
        <f>FHD_P_49</f>
        <v/>
      </c>
      <c r="G87" s="1924" t="s">
        <v>788</v>
      </c>
      <c r="H87" s="985">
        <f>SUM(H88:H89)</f>
        <v>0</v>
      </c>
      <c r="I87" s="755">
        <f>SUM(I88:I89)</f>
        <v>0</v>
      </c>
      <c r="J87" s="277" t="str">
        <f>FHD_NOTE_P_49</f>
        <v/>
      </c>
      <c r="K87" s="740"/>
      <c r="L87" s="741"/>
      <c r="M87" s="741"/>
      <c r="N87" s="916"/>
      <c r="O87" s="916"/>
      <c r="P87" s="916"/>
      <c r="Q87" s="916"/>
      <c r="R87" s="741"/>
      <c r="S87" s="916"/>
      <c r="T87" s="916"/>
      <c r="U87" s="742"/>
      <c r="V87" s="916"/>
      <c r="W87" s="916"/>
      <c r="X87" s="916"/>
      <c r="Y87" s="916"/>
      <c r="Z87" s="916"/>
      <c r="AA87" s="743"/>
      <c r="AB87" s="743"/>
      <c r="AC87" s="743"/>
      <c r="AD87" s="743"/>
      <c r="AE87" s="743"/>
    </row>
    <row s="12410" customFormat="1" customHeight="1" ht="18.75" hidden="1">
      <c r="A88" s="2210"/>
      <c r="B88" s="916"/>
      <c r="C88" s="741"/>
      <c r="D88" s="739"/>
      <c r="E88" s="552" t="str">
        <f>FHD_NUM_P_50</f>
        <v/>
      </c>
      <c r="F88" s="1923" t="str">
        <f>FHD_P_50</f>
        <v/>
      </c>
      <c r="G88" s="1924" t="s">
        <v>788</v>
      </c>
      <c r="H88" s="984"/>
      <c r="I88" s="583"/>
      <c r="J88" s="277" t="str">
        <f>FHD_NOTE_P_50</f>
        <v/>
      </c>
      <c r="K88" s="740"/>
      <c r="L88" s="741"/>
      <c r="M88" s="741"/>
      <c r="N88" s="916"/>
      <c r="O88" s="916"/>
      <c r="P88" s="916"/>
      <c r="Q88" s="916"/>
      <c r="R88" s="741"/>
      <c r="S88" s="916"/>
      <c r="T88" s="916"/>
      <c r="U88" s="742"/>
      <c r="V88" s="916"/>
      <c r="W88" s="916"/>
      <c r="X88" s="916"/>
      <c r="Y88" s="916"/>
      <c r="Z88" s="916"/>
      <c r="AA88" s="743"/>
      <c r="AB88" s="743"/>
      <c r="AC88" s="743"/>
      <c r="AD88" s="743"/>
      <c r="AE88" s="743"/>
    </row>
    <row s="12410" customFormat="1" customHeight="1" ht="18.75" hidden="1">
      <c r="A89" s="2210"/>
      <c r="B89" s="916"/>
      <c r="C89" s="741"/>
      <c r="D89" s="739"/>
      <c r="E89" s="552" t="str">
        <f>FHD_NUM_P_51</f>
        <v/>
      </c>
      <c r="F89" s="1923" t="str">
        <f>FHD_P_51</f>
        <v/>
      </c>
      <c r="G89" s="1924" t="s">
        <v>788</v>
      </c>
      <c r="H89" s="984"/>
      <c r="I89" s="583"/>
      <c r="J89" s="277" t="str">
        <f>FHD_NOTE_P_51</f>
        <v/>
      </c>
      <c r="K89" s="740"/>
      <c r="L89" s="741"/>
      <c r="M89" s="741"/>
      <c r="N89" s="916"/>
      <c r="O89" s="916"/>
      <c r="P89" s="916"/>
      <c r="Q89" s="916"/>
      <c r="R89" s="741"/>
      <c r="S89" s="916"/>
      <c r="T89" s="916"/>
      <c r="U89" s="742"/>
      <c r="V89" s="916"/>
      <c r="W89" s="916"/>
      <c r="X89" s="916"/>
      <c r="Y89" s="916"/>
      <c r="Z89" s="916"/>
      <c r="AA89" s="743"/>
      <c r="AB89" s="743"/>
      <c r="AC89" s="743"/>
      <c r="AD89" s="743"/>
      <c r="AE89" s="743"/>
    </row>
    <row s="12410" customFormat="1" customHeight="1" ht="18.75" hidden="1">
      <c r="A90" s="2210"/>
      <c r="B90" s="916"/>
      <c r="C90" s="741"/>
      <c r="D90" s="739"/>
      <c r="E90" s="552" t="str">
        <f>FHD_NUM_P_52</f>
        <v/>
      </c>
      <c r="F90" s="1923" t="str">
        <f>FHD_P_52</f>
        <v/>
      </c>
      <c r="G90" s="1924" t="s">
        <v>765</v>
      </c>
      <c r="H90" s="983"/>
      <c r="I90" s="563"/>
      <c r="J90" s="277" t="str">
        <f>FHD_NOTE_P_52</f>
        <v/>
      </c>
      <c r="K90" s="740"/>
      <c r="L90" s="741"/>
      <c r="M90" s="741"/>
      <c r="N90" s="916"/>
      <c r="O90" s="916"/>
      <c r="P90" s="916"/>
      <c r="Q90" s="916"/>
      <c r="R90" s="741"/>
      <c r="S90" s="916"/>
      <c r="T90" s="916"/>
      <c r="U90" s="742"/>
      <c r="V90" s="916"/>
      <c r="W90" s="916"/>
      <c r="X90" s="916"/>
      <c r="Y90" s="916"/>
      <c r="Z90" s="916"/>
      <c r="AA90" s="743"/>
      <c r="AB90" s="743"/>
      <c r="AC90" s="743"/>
      <c r="AD90" s="743"/>
      <c r="AE90" s="743"/>
    </row>
    <row s="12401" customFormat="1" customHeight="1" ht="18.75" hidden="1">
      <c r="A91" s="2212" t="s">
        <v>789</v>
      </c>
      <c r="C91" s="741"/>
      <c r="D91" s="739"/>
      <c r="E91" s="552" t="str">
        <f>FHD_NUM_P_53</f>
        <v/>
      </c>
      <c r="F91" s="1923" t="str">
        <f>FHD_P_53</f>
        <v/>
      </c>
      <c r="G91" s="1924" t="s">
        <v>788</v>
      </c>
      <c r="H91" s="984"/>
      <c r="I91" s="583"/>
      <c r="J91" s="277" t="str">
        <f>FHD_NOTE_P_53</f>
        <v/>
      </c>
      <c r="K91" s="740"/>
      <c r="L91" s="741"/>
      <c r="M91" s="741"/>
      <c r="R91" s="741"/>
      <c r="U91" s="742"/>
      <c r="AA91" s="743"/>
      <c r="AB91" s="743"/>
      <c r="AC91" s="743"/>
      <c r="AD91" s="743"/>
      <c r="AE91" s="743"/>
    </row>
    <row s="12401" customFormat="1" customHeight="1" ht="18.75" hidden="1">
      <c r="A92" s="2212"/>
      <c r="C92" s="741"/>
      <c r="D92" s="739"/>
      <c r="E92" s="552" t="str">
        <f>FHD_NUM_P_54</f>
        <v/>
      </c>
      <c r="F92" s="1923" t="str">
        <f>FHD_P_54</f>
        <v/>
      </c>
      <c r="G92" s="1924" t="s">
        <v>788</v>
      </c>
      <c r="H92" s="984"/>
      <c r="I92" s="583"/>
      <c r="J92" s="277" t="str">
        <f>FHD_NOTE_P_54</f>
        <v/>
      </c>
      <c r="K92" s="740"/>
      <c r="L92" s="741"/>
      <c r="M92" s="741"/>
      <c r="R92" s="741"/>
      <c r="U92" s="742"/>
      <c r="AA92" s="743"/>
      <c r="AB92" s="743"/>
      <c r="AC92" s="743"/>
      <c r="AD92" s="743"/>
      <c r="AE92" s="743"/>
    </row>
    <row s="12401" customFormat="1" customHeight="1" ht="18.75" hidden="1">
      <c r="A93" s="2212"/>
      <c r="C93" s="741"/>
      <c r="D93" s="744"/>
      <c r="E93" s="552" t="str">
        <f>FHD_NUM_P_55</f>
        <v/>
      </c>
      <c r="F93" s="1923" t="str">
        <f>FHD_P_55</f>
        <v/>
      </c>
      <c r="G93" s="1927"/>
      <c r="H93" s="984"/>
      <c r="I93" s="583"/>
      <c r="J93" s="277" t="str">
        <f>FHD_NOTE_P_55</f>
        <v/>
      </c>
      <c r="K93" s="740"/>
      <c r="L93" s="741"/>
      <c r="M93" s="741"/>
      <c r="R93" s="741"/>
      <c r="U93" s="742"/>
      <c r="AA93" s="743"/>
      <c r="AB93" s="743"/>
      <c r="AC93" s="743"/>
      <c r="AD93" s="743"/>
      <c r="AE93" s="743"/>
    </row>
    <row s="12401" customFormat="1" customHeight="1" ht="18.75" hidden="1">
      <c r="A94" s="2212"/>
      <c r="C94" s="741"/>
      <c r="D94" s="739"/>
      <c r="E94" s="552" t="str">
        <f>FHD_NUM_P_56</f>
        <v/>
      </c>
      <c r="F94" s="1923" t="str">
        <f>FHD_P_56</f>
        <v/>
      </c>
      <c r="G94" s="1924" t="s">
        <v>790</v>
      </c>
      <c r="H94" s="984"/>
      <c r="I94" s="583"/>
      <c r="J94" s="277" t="str">
        <f>FHD_NOTE_P_56</f>
        <v/>
      </c>
      <c r="K94" s="740"/>
      <c r="L94" s="741"/>
      <c r="M94" s="741"/>
      <c r="R94" s="741"/>
      <c r="U94" s="742"/>
      <c r="AA94" s="743"/>
      <c r="AB94" s="743"/>
      <c r="AC94" s="743"/>
      <c r="AD94" s="743"/>
      <c r="AE94" s="743"/>
    </row>
    <row s="12410" customFormat="1" customHeight="1" ht="18.75" hidden="1">
      <c r="A95" s="2212"/>
      <c r="B95" s="916"/>
      <c r="C95" s="741"/>
      <c r="D95" s="739"/>
      <c r="E95" s="552" t="str">
        <f>FHD_NUM_P_57</f>
        <v/>
      </c>
      <c r="F95" s="1923" t="str">
        <f>FHD_P_57</f>
        <v/>
      </c>
      <c r="G95" s="1924" t="s">
        <v>765</v>
      </c>
      <c r="H95" s="983"/>
      <c r="I95" s="563"/>
      <c r="J95" s="277" t="str">
        <f>FHD_NOTE_P_57</f>
        <v/>
      </c>
      <c r="K95" s="740"/>
      <c r="L95" s="741"/>
      <c r="M95" s="741"/>
      <c r="N95" s="916"/>
      <c r="O95" s="916"/>
      <c r="P95" s="916"/>
      <c r="Q95" s="916"/>
      <c r="R95" s="741"/>
      <c r="S95" s="916"/>
      <c r="T95" s="916"/>
      <c r="U95" s="742"/>
      <c r="V95" s="916"/>
      <c r="W95" s="916"/>
      <c r="X95" s="916"/>
      <c r="Y95" s="916"/>
      <c r="Z95" s="916"/>
      <c r="AA95" s="743"/>
      <c r="AB95" s="743"/>
      <c r="AC95" s="743"/>
      <c r="AD95" s="743"/>
      <c r="AE95" s="743"/>
    </row>
    <row customHeight="1" ht="18.75" hidden="1">
      <c r="A96" s="2210" t="s">
        <v>791</v>
      </c>
      <c r="D96" s="1678"/>
      <c r="E96" s="552" t="str">
        <f>FHD_NUM_P_58</f>
        <v/>
      </c>
      <c r="F96" s="1923" t="str">
        <f>FHD_P_58</f>
        <v/>
      </c>
      <c r="G96" s="1924" t="s">
        <v>788</v>
      </c>
      <c r="H96" s="984"/>
      <c r="I96" s="583"/>
      <c r="J96" s="277" t="str">
        <f>FHD_NOTE_P_58</f>
        <v/>
      </c>
      <c r="K96" s="549"/>
    </row>
    <row customHeight="1" ht="18.75" hidden="1">
      <c r="A97" s="2210"/>
      <c r="D97" s="1678"/>
      <c r="E97" s="552" t="str">
        <f>FHD_NUM_P_59</f>
        <v/>
      </c>
      <c r="F97" s="1923" t="str">
        <f>FHD_P_59</f>
        <v/>
      </c>
      <c r="G97" s="1924" t="s">
        <v>788</v>
      </c>
      <c r="H97" s="984"/>
      <c r="I97" s="583"/>
      <c r="J97" s="277" t="str">
        <f>FHD_NOTE_P_59</f>
        <v/>
      </c>
      <c r="K97" s="549"/>
    </row>
    <row customHeight="1" ht="18.75" hidden="1">
      <c r="A98" s="2210"/>
      <c r="D98" s="1678"/>
      <c r="E98" s="552" t="str">
        <f>FHD_NUM_P_60</f>
        <v/>
      </c>
      <c r="F98" s="1923" t="str">
        <f>FHD_P_60</f>
        <v/>
      </c>
      <c r="G98" s="1924" t="s">
        <v>788</v>
      </c>
      <c r="H98" s="984"/>
      <c r="I98" s="583"/>
      <c r="J98" s="277" t="str">
        <f>FHD_NOTE_P_60</f>
        <v/>
      </c>
      <c r="K98" s="549"/>
    </row>
    <row s="2683" customFormat="1" customHeight="1" ht="18.75">
      <c r="A99" s="2210" t="s">
        <v>792</v>
      </c>
      <c r="C99" s="1676"/>
      <c r="D99" s="1678"/>
      <c r="E99" s="552" t="str">
        <f>FHD_NUM_P_61</f>
        <v>7</v>
      </c>
      <c r="F99" s="192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921" t="s">
        <v>763</v>
      </c>
      <c r="H99" s="986"/>
      <c r="I99" s="748"/>
      <c r="J99" s="277"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K99" s="549"/>
      <c r="L99" s="1676"/>
      <c r="M99" s="1676"/>
      <c r="R99" s="1676"/>
      <c r="U99" s="550"/>
      <c r="AA99" s="1672"/>
      <c r="AB99" s="1672"/>
      <c r="AC99" s="1672"/>
      <c r="AD99" s="1672"/>
      <c r="AE99" s="1672"/>
    </row>
    <row s="2691" customFormat="1" customHeight="1" ht="0.75">
      <c r="A100" s="2210"/>
      <c r="D100" s="554"/>
      <c r="E100" s="1020" t="str">
        <f>E99&amp;".0"</f>
        <v>7.0</v>
      </c>
      <c r="F100" s="1001"/>
      <c r="G100" s="1002"/>
      <c r="H100" s="999"/>
      <c r="I100" s="999"/>
      <c r="J100" s="1003"/>
    </row>
    <row customHeight="1" ht="15">
      <c r="A101" s="2210"/>
      <c r="D101" s="1673"/>
      <c r="E101" s="978"/>
      <c r="F101" s="979" t="s">
        <v>793</v>
      </c>
      <c r="G101" s="578"/>
      <c r="H101" s="579"/>
      <c r="I101" s="579"/>
      <c r="J101" s="1011" t="s">
        <v>794</v>
      </c>
      <c r="K101" s="549"/>
    </row>
    <row s="2683" customFormat="1" customHeight="1" ht="18.75">
      <c r="A102" s="2210"/>
      <c r="C102" s="1676"/>
      <c r="D102" s="1678"/>
      <c r="E102" s="552" t="str">
        <f>FHD_NUM_P_62</f>
        <v>8</v>
      </c>
      <c r="F102" s="1923" t="str">
        <f>FHD_P_62</f>
        <v>Тепловая нагрузка по договорам, заключенным в рамках осуществления регулируемых видов деятельности</v>
      </c>
      <c r="G102" s="1920" t="s">
        <v>763</v>
      </c>
      <c r="H102" s="563"/>
      <c r="I102" s="563"/>
      <c r="J102" s="27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549"/>
      <c r="L102" s="1676"/>
      <c r="M102" s="1676"/>
      <c r="R102" s="1676"/>
      <c r="U102" s="550"/>
      <c r="AA102" s="1672"/>
      <c r="AB102" s="1672"/>
      <c r="AC102" s="1672"/>
      <c r="AD102" s="1672"/>
      <c r="AE102" s="1672"/>
    </row>
    <row s="2683" customFormat="1" customHeight="1" ht="18.75">
      <c r="A103" s="2210"/>
      <c r="C103" s="1676"/>
      <c r="D103" s="1678"/>
      <c r="E103" s="552" t="str">
        <f>FHD_NUM_P_63</f>
        <v>9</v>
      </c>
      <c r="F103" s="1923" t="str">
        <f>FHD_P_63</f>
        <v>Объем вырабатываемой регулируемой организацией тепловой энергии в рамках осуществления регулируемых видов деятельности</v>
      </c>
      <c r="G103" s="1920" t="s">
        <v>790</v>
      </c>
      <c r="H103" s="583"/>
      <c r="I103" s="583"/>
      <c r="J103" s="27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549"/>
      <c r="L103" s="1676"/>
      <c r="M103" s="1676"/>
      <c r="R103" s="1676"/>
      <c r="U103" s="550"/>
      <c r="AA103" s="1672"/>
      <c r="AB103" s="1672"/>
      <c r="AC103" s="1672"/>
      <c r="AD103" s="1672"/>
      <c r="AE103" s="1672"/>
    </row>
    <row s="2683" customFormat="1" customHeight="1" ht="18.75">
      <c r="A104" s="2210"/>
      <c r="C104" s="1676" t="s">
        <v>795</v>
      </c>
      <c r="D104" s="1678"/>
      <c r="E104" s="552" t="str">
        <f>FHD_NUM_P_64</f>
        <v>9.1</v>
      </c>
      <c r="F104" s="1923" t="str">
        <f>FHD_P_64</f>
        <v>Объем приобретаемой регулируемой организацией тепловой энергии в рамках осуществления регулируемых видов деятельности</v>
      </c>
      <c r="G104" s="1920" t="s">
        <v>790</v>
      </c>
      <c r="H104" s="551"/>
      <c r="I104" s="551"/>
      <c r="J104" s="277" t="str">
        <f>FHD_NOTE_P_64</f>
        <v>Информация указывается только едиными теплоснабжающими организациями.</v>
      </c>
      <c r="K104" s="549"/>
      <c r="L104" s="1676"/>
      <c r="M104" s="1676"/>
      <c r="R104" s="1676"/>
      <c r="U104" s="550"/>
      <c r="AA104" s="1672"/>
      <c r="AB104" s="1672"/>
      <c r="AC104" s="1672"/>
      <c r="AD104" s="1672"/>
      <c r="AE104" s="1672"/>
    </row>
    <row s="2683" customFormat="1" customHeight="1" ht="18.75">
      <c r="A105" s="2210"/>
      <c r="C105" s="1676"/>
      <c r="D105" s="1678"/>
      <c r="E105" s="552" t="str">
        <f>FHD_NUM_P_65</f>
        <v>10</v>
      </c>
      <c r="F105" s="192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920" t="s">
        <v>790</v>
      </c>
      <c r="H105" s="583"/>
      <c r="I105" s="583"/>
      <c r="J105" s="277"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549"/>
      <c r="L105" s="1676"/>
      <c r="M105" s="1676"/>
      <c r="R105" s="1676"/>
      <c r="U105" s="550"/>
      <c r="AA105" s="1672"/>
      <c r="AB105" s="1672"/>
      <c r="AC105" s="1672"/>
      <c r="AD105" s="1672"/>
      <c r="AE105" s="1672"/>
    </row>
    <row s="2683" customFormat="1" customHeight="1" ht="18.75">
      <c r="A106" s="2210"/>
      <c r="C106" s="1676"/>
      <c r="D106" s="1678"/>
      <c r="E106" s="552" t="str">
        <f>FHD_NUM_P_66</f>
        <v>10.1</v>
      </c>
      <c r="F106" s="1554" t="str">
        <f>FHD_P_66</f>
        <v>По приборам учёта </v>
      </c>
      <c r="G106" s="1920" t="s">
        <v>790</v>
      </c>
      <c r="H106" s="583"/>
      <c r="I106" s="583"/>
      <c r="J106" s="277" t="str">
        <f>FHD_NOTE_P_66</f>
        <v/>
      </c>
      <c r="K106" s="549"/>
      <c r="L106" s="1676"/>
      <c r="M106" s="1676"/>
      <c r="R106" s="1676"/>
      <c r="U106" s="550"/>
      <c r="AA106" s="1672"/>
      <c r="AB106" s="1672"/>
      <c r="AC106" s="1672"/>
      <c r="AD106" s="1672"/>
      <c r="AE106" s="1672"/>
    </row>
    <row s="2683" customFormat="1" customHeight="1" ht="18.75">
      <c r="A107" s="2210"/>
      <c r="C107" s="1676"/>
      <c r="D107" s="1678"/>
      <c r="E107" s="552" t="str">
        <f>FHD_NUM_P_67</f>
        <v>10.1.1</v>
      </c>
      <c r="F107" s="1690"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920" t="s">
        <v>790</v>
      </c>
      <c r="H107" s="583"/>
      <c r="I107" s="583"/>
      <c r="J107" s="277" t="str">
        <f>FHD_NOTE_P_67</f>
        <v/>
      </c>
      <c r="K107" s="549"/>
      <c r="L107" s="1676"/>
      <c r="M107" s="1676"/>
      <c r="R107" s="1676"/>
      <c r="U107" s="550"/>
      <c r="AA107" s="1672"/>
      <c r="AB107" s="1672"/>
      <c r="AC107" s="1672"/>
      <c r="AD107" s="1672"/>
      <c r="AE107" s="1672"/>
    </row>
    <row s="2683" customFormat="1" customHeight="1" ht="18.75">
      <c r="A108" s="2210"/>
      <c r="C108" s="1676"/>
      <c r="D108" s="1678"/>
      <c r="E108" s="552" t="str">
        <f>FHD_NUM_P_68</f>
        <v>10.2</v>
      </c>
      <c r="F108" s="1554" t="str">
        <f>FHD_P_68</f>
        <v>Расчётным путём</v>
      </c>
      <c r="G108" s="1920" t="s">
        <v>790</v>
      </c>
      <c r="H108" s="583"/>
      <c r="I108" s="583"/>
      <c r="J108" s="277" t="str">
        <f>FHD_NOTE_P_68</f>
        <v/>
      </c>
      <c r="K108" s="549"/>
      <c r="L108" s="1676"/>
      <c r="M108" s="1676"/>
      <c r="R108" s="1676"/>
      <c r="U108" s="550"/>
      <c r="AA108" s="1672"/>
      <c r="AB108" s="1672"/>
      <c r="AC108" s="1672"/>
      <c r="AD108" s="1672"/>
      <c r="AE108" s="1672"/>
    </row>
    <row s="2683" customFormat="1" customHeight="1" ht="18.75">
      <c r="A109" s="2210"/>
      <c r="C109" s="1676"/>
      <c r="D109" s="1678"/>
      <c r="E109" s="552" t="str">
        <f>FHD_NUM_P_69</f>
        <v>10.3</v>
      </c>
      <c r="F109" s="1554" t="str">
        <f>FHD_P_69</f>
        <v>По нормативам потребления коммунальных услуг и нормативам потребления коммунальных ресурсов</v>
      </c>
      <c r="G109" s="1920" t="s">
        <v>790</v>
      </c>
      <c r="H109" s="583"/>
      <c r="I109" s="583"/>
      <c r="J109" s="277" t="str">
        <f>FHD_NOTE_P_69</f>
        <v/>
      </c>
      <c r="K109" s="549"/>
      <c r="L109" s="1676"/>
      <c r="M109" s="1676"/>
      <c r="R109" s="1676"/>
      <c r="U109" s="550"/>
      <c r="AA109" s="1672"/>
      <c r="AB109" s="1672"/>
      <c r="AC109" s="1672"/>
      <c r="AD109" s="1672"/>
      <c r="AE109" s="1672"/>
    </row>
    <row s="2683" customFormat="1" customHeight="1" ht="22.5">
      <c r="A110" s="2210"/>
      <c r="C110" s="1676"/>
      <c r="D110" s="1678"/>
      <c r="E110" s="552" t="str">
        <f>FHD_NUM_P_70</f>
        <v>11</v>
      </c>
      <c r="F110" s="1923" t="str">
        <f>FHD_P_70</f>
        <v>Нормативы технологических потерь при передаче тепловой энергии, теплоносителя по тепловым сетям, утвержденные уполномоченным органом</v>
      </c>
      <c r="G110" s="1920" t="s">
        <v>796</v>
      </c>
      <c r="H110" s="563"/>
      <c r="I110" s="563"/>
      <c r="J110" s="277" t="str">
        <f>FHD_NOTE_P_70</f>
        <v/>
      </c>
      <c r="K110" s="549"/>
      <c r="L110" s="1676"/>
      <c r="M110" s="1676"/>
      <c r="R110" s="1676"/>
      <c r="U110" s="550"/>
      <c r="AA110" s="1672"/>
      <c r="AB110" s="1672"/>
      <c r="AC110" s="1672"/>
      <c r="AD110" s="1672"/>
      <c r="AE110" s="1672"/>
    </row>
    <row s="2683" customFormat="1" customHeight="1" ht="22.5">
      <c r="A111" s="2210"/>
      <c r="C111" s="1676"/>
      <c r="D111" s="1678"/>
      <c r="E111" s="552" t="str">
        <f>FHD_NUM_P_71</f>
        <v>12</v>
      </c>
      <c r="F111" s="1923" t="str">
        <f>FHD_P_71</f>
        <v>Фактический объем потерь при передаче тепловой энергии</v>
      </c>
      <c r="G111" s="1920" t="s">
        <v>796</v>
      </c>
      <c r="H111" s="563"/>
      <c r="I111" s="563"/>
      <c r="J111" s="277" t="str">
        <f>FHD_NOTE_P_71</f>
        <v/>
      </c>
      <c r="K111" s="549"/>
      <c r="L111" s="1676"/>
      <c r="M111" s="1676"/>
      <c r="R111" s="1676"/>
      <c r="U111" s="550"/>
      <c r="AA111" s="1672"/>
      <c r="AB111" s="1672"/>
      <c r="AC111" s="1672"/>
      <c r="AD111" s="1672"/>
      <c r="AE111" s="1672"/>
    </row>
    <row customHeight="1" ht="18.75">
      <c r="D112" s="1678"/>
      <c r="E112" s="552" t="str">
        <f>FHD_NUM_P_72</f>
        <v>13</v>
      </c>
      <c r="F112" s="1923" t="str">
        <f>FHD_P_72</f>
        <v>Среднесписочная численность основного производственного персонала</v>
      </c>
      <c r="G112" s="1919" t="s">
        <v>797</v>
      </c>
      <c r="H112" s="583"/>
      <c r="I112" s="583"/>
      <c r="J112" s="277" t="str">
        <f>FHD_NOTE_P_72</f>
        <v/>
      </c>
      <c r="K112" s="549"/>
    </row>
    <row customHeight="1" ht="18.75">
      <c r="A113" s="996" t="s">
        <v>798</v>
      </c>
      <c r="D113" s="1678"/>
      <c r="E113" s="552" t="str">
        <f>FHD_NUM_P_73</f>
        <v>14</v>
      </c>
      <c r="F113" s="1923" t="str">
        <f>FHD_P_73</f>
        <v>Среднесписочная численность административно-управленческого персонала</v>
      </c>
      <c r="G113" s="977" t="s">
        <v>797</v>
      </c>
      <c r="H113" s="975"/>
      <c r="I113" s="975"/>
      <c r="J113" s="277" t="str">
        <f>FHD_NOTE_P_73</f>
        <v/>
      </c>
      <c r="K113" s="549"/>
    </row>
    <row customHeight="1" ht="33.75" hidden="1">
      <c r="A114" s="996" t="s">
        <v>799</v>
      </c>
      <c r="D114" s="1678"/>
      <c r="E114" s="552" t="str">
        <f>FHD_NUM_P_74</f>
        <v/>
      </c>
      <c r="F114" s="1923" t="str">
        <f>FHD_P_74</f>
        <v/>
      </c>
      <c r="G114" s="1919" t="s">
        <v>800</v>
      </c>
      <c r="H114" s="583"/>
      <c r="I114" s="583"/>
      <c r="J114" s="277" t="str">
        <f>FHD_NOTE_P_74</f>
        <v/>
      </c>
      <c r="K114" s="549"/>
    </row>
    <row s="12410" customFormat="1" customHeight="1" ht="18.75" hidden="1">
      <c r="A115" s="2212" t="s">
        <v>801</v>
      </c>
      <c r="B115" s="916"/>
      <c r="C115" s="741"/>
      <c r="D115" s="739"/>
      <c r="E115" s="552" t="str">
        <f>FHD_NUM_P_75</f>
        <v/>
      </c>
      <c r="F115" s="1923" t="str">
        <f>FHD_P_75</f>
        <v/>
      </c>
      <c r="G115" s="1919" t="s">
        <v>765</v>
      </c>
      <c r="H115" s="563"/>
      <c r="I115" s="563"/>
      <c r="J115" s="277" t="str">
        <f>FHD_NOTE_P_75</f>
        <v/>
      </c>
      <c r="K115" s="740"/>
      <c r="L115" s="741"/>
      <c r="M115" s="741"/>
      <c r="N115" s="916"/>
      <c r="O115" s="916"/>
      <c r="P115" s="916"/>
      <c r="Q115" s="916"/>
      <c r="R115" s="741"/>
      <c r="S115" s="916"/>
      <c r="T115" s="916"/>
      <c r="U115" s="742"/>
      <c r="V115" s="916"/>
      <c r="W115" s="916"/>
      <c r="X115" s="916"/>
      <c r="Y115" s="916"/>
      <c r="Z115" s="916"/>
      <c r="AA115" s="743"/>
      <c r="AB115" s="743"/>
      <c r="AC115" s="743"/>
      <c r="AD115" s="743"/>
      <c r="AE115" s="743"/>
    </row>
    <row s="12410" customFormat="1" customHeight="1" ht="18.75" hidden="1">
      <c r="A116" s="2212"/>
      <c r="B116" s="916"/>
      <c r="C116" s="741"/>
      <c r="D116" s="739"/>
      <c r="E116" s="552" t="str">
        <f>FHD_NUM_P_76</f>
        <v/>
      </c>
      <c r="F116" s="1923" t="str">
        <f>FHD_P_76</f>
        <v/>
      </c>
      <c r="G116" s="1919" t="s">
        <v>765</v>
      </c>
      <c r="H116" s="563"/>
      <c r="I116" s="563"/>
      <c r="J116" s="277" t="str">
        <f>FHD_NOTE_P_76</f>
        <v/>
      </c>
      <c r="K116" s="740"/>
      <c r="L116" s="741"/>
      <c r="M116" s="741"/>
      <c r="N116" s="916"/>
      <c r="O116" s="916"/>
      <c r="P116" s="916"/>
      <c r="Q116" s="916"/>
      <c r="R116" s="741"/>
      <c r="S116" s="916"/>
      <c r="T116" s="916"/>
      <c r="U116" s="742"/>
      <c r="V116" s="916"/>
      <c r="W116" s="916"/>
      <c r="X116" s="916"/>
      <c r="Y116" s="916"/>
      <c r="Z116" s="916"/>
      <c r="AA116" s="743"/>
      <c r="AB116" s="743"/>
      <c r="AC116" s="743"/>
      <c r="AD116" s="743"/>
      <c r="AE116" s="743"/>
    </row>
    <row s="12410" customFormat="1" customHeight="1" ht="18.75" hidden="1">
      <c r="A117" s="2212"/>
      <c r="B117" s="916"/>
      <c r="C117" s="741"/>
      <c r="D117" s="739"/>
      <c r="E117" s="552" t="str">
        <f>FHD_NUM_P_77</f>
        <v/>
      </c>
      <c r="F117" s="1923" t="str">
        <f>FHD_P_77</f>
        <v/>
      </c>
      <c r="G117" s="1919" t="s">
        <v>765</v>
      </c>
      <c r="H117" s="563"/>
      <c r="I117" s="563"/>
      <c r="J117" s="277" t="str">
        <f>FHD_NOTE_P_77</f>
        <v/>
      </c>
      <c r="K117" s="740"/>
      <c r="L117" s="741"/>
      <c r="M117" s="741"/>
      <c r="N117" s="916"/>
      <c r="O117" s="916"/>
      <c r="P117" s="916"/>
      <c r="Q117" s="916"/>
      <c r="R117" s="741"/>
      <c r="S117" s="916"/>
      <c r="T117" s="916"/>
      <c r="U117" s="742"/>
      <c r="V117" s="916"/>
      <c r="W117" s="916"/>
      <c r="X117" s="916"/>
      <c r="Y117" s="916"/>
      <c r="Z117" s="916"/>
      <c r="AA117" s="743"/>
      <c r="AB117" s="743"/>
      <c r="AC117" s="743"/>
      <c r="AD117" s="743"/>
      <c r="AE117" s="743"/>
    </row>
    <row s="2691" customFormat="1" customHeight="1" ht="0.75" hidden="1">
      <c r="A118" s="2212"/>
      <c r="D118" s="554"/>
      <c r="E118" s="1020" t="str">
        <f>E117&amp;".0"</f>
        <v>.0</v>
      </c>
      <c r="F118" s="1004"/>
      <c r="G118" s="1691"/>
      <c r="H118" s="999"/>
      <c r="I118" s="999"/>
      <c r="J118" s="1003"/>
    </row>
    <row s="12410" customFormat="1" customHeight="1" ht="15" hidden="1">
      <c r="A119" s="2212"/>
      <c r="B119" s="916"/>
      <c r="C119" s="741"/>
      <c r="D119" s="752"/>
      <c r="E119" s="980"/>
      <c r="F119" s="981" t="s">
        <v>802</v>
      </c>
      <c r="G119" s="753"/>
      <c r="H119" s="754"/>
      <c r="I119" s="754"/>
      <c r="J119" s="1010" t="s">
        <v>803</v>
      </c>
      <c r="K119" s="740"/>
      <c r="L119" s="741"/>
      <c r="M119" s="741"/>
      <c r="N119" s="916"/>
      <c r="O119" s="916"/>
      <c r="P119" s="916"/>
      <c r="Q119" s="916"/>
      <c r="R119" s="741"/>
      <c r="S119" s="916"/>
      <c r="T119" s="916"/>
      <c r="U119" s="742"/>
      <c r="V119" s="916"/>
      <c r="W119" s="916"/>
      <c r="X119" s="916"/>
      <c r="Y119" s="916"/>
      <c r="Z119" s="916"/>
      <c r="AA119" s="743"/>
      <c r="AB119" s="743"/>
      <c r="AC119" s="743"/>
      <c r="AD119" s="743"/>
      <c r="AE119" s="743"/>
    </row>
    <row customHeight="1" ht="22.5">
      <c r="A120" s="2210" t="s">
        <v>804</v>
      </c>
      <c r="D120" s="1678"/>
      <c r="E120" s="552" t="str">
        <f>FHD_NUM_P_78</f>
        <v>15</v>
      </c>
      <c r="F120" s="192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920" t="s">
        <v>767</v>
      </c>
      <c r="H120" s="583"/>
      <c r="I120" s="583"/>
      <c r="J120" s="277" t="str">
        <f>FHD_NOTE_P_78</f>
        <v/>
      </c>
      <c r="K120" s="549"/>
    </row>
    <row s="2691" customFormat="1" customHeight="1" ht="0.75">
      <c r="A121" s="2210"/>
      <c r="D121" s="554"/>
      <c r="E121" s="1020" t="str">
        <f>E120&amp;".0"</f>
        <v>15.0</v>
      </c>
      <c r="F121" s="1004"/>
      <c r="G121" s="1691"/>
      <c r="H121" s="999"/>
      <c r="I121" s="999"/>
      <c r="J121" s="1003"/>
    </row>
    <row customHeight="1" ht="15">
      <c r="A122" s="2210"/>
      <c r="D122" s="1673"/>
      <c r="E122" s="576"/>
      <c r="F122" s="1176" t="s">
        <v>793</v>
      </c>
      <c r="G122" s="578"/>
      <c r="H122" s="579"/>
      <c r="I122" s="579"/>
      <c r="J122" s="1011" t="s">
        <v>805</v>
      </c>
      <c r="K122" s="549"/>
    </row>
    <row customHeight="1" ht="22.5">
      <c r="A123" s="2210"/>
      <c r="D123" s="1678"/>
      <c r="E123" s="552" t="str">
        <f>FHD_NUM_P_79</f>
        <v>16</v>
      </c>
      <c r="F123" s="192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921" t="s">
        <v>769</v>
      </c>
      <c r="H123" s="583"/>
      <c r="I123" s="583"/>
      <c r="J123" s="27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549"/>
    </row>
    <row s="2691" customFormat="1" customHeight="1" ht="0.75">
      <c r="A124" s="2210"/>
      <c r="D124" s="554"/>
      <c r="E124" s="1020" t="str">
        <f>E123&amp;".0"</f>
        <v>16.0</v>
      </c>
      <c r="F124" s="1005"/>
      <c r="G124" s="1691"/>
      <c r="H124" s="999"/>
      <c r="I124" s="999"/>
      <c r="J124" s="1003"/>
    </row>
    <row customHeight="1" ht="15">
      <c r="A125" s="2210"/>
      <c r="D125" s="1673"/>
      <c r="E125" s="576"/>
      <c r="F125" s="1176" t="s">
        <v>793</v>
      </c>
      <c r="G125" s="578"/>
      <c r="H125" s="579"/>
      <c r="I125" s="579"/>
      <c r="J125" s="1011" t="s">
        <v>806</v>
      </c>
      <c r="K125" s="549"/>
    </row>
    <row customHeight="1" ht="22.5">
      <c r="A126" s="2210"/>
      <c r="D126" s="1678"/>
      <c r="E126" s="552" t="str">
        <f>FHD_NUM_P_80</f>
        <v>17</v>
      </c>
      <c r="F126" s="192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921" t="s">
        <v>807</v>
      </c>
      <c r="H126" s="563"/>
      <c r="I126" s="563"/>
      <c r="J126" s="277" t="str">
        <f>FHD_NOTE_P_80</f>
        <v>Регулируемыми организациями указывается информация с по договорам, заключенным в рамках осуществления регулируемой деятельности.</v>
      </c>
      <c r="K126" s="549"/>
    </row>
    <row customHeight="1" ht="18.75">
      <c r="A127" s="2210"/>
      <c r="D127" s="1678"/>
      <c r="E127" s="552" t="str">
        <f>FHD_NUM_P_81</f>
        <v>18</v>
      </c>
      <c r="F127" s="192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921" t="s">
        <v>808</v>
      </c>
      <c r="H127" s="563"/>
      <c r="I127" s="563"/>
      <c r="J127" s="277" t="str">
        <f>FHD_NOTE_P_81</f>
        <v>Регулируемыми организациями указывается информация с по договорам, заключенным в рамках осуществления регулируемой деятельности.</v>
      </c>
      <c r="K127" s="549"/>
    </row>
    <row customHeight="1" ht="18.75">
      <c r="A128" s="2210"/>
      <c r="C128" s="1676" t="s">
        <v>795</v>
      </c>
      <c r="D128" s="1678"/>
      <c r="E128" s="552" t="str">
        <f>FHD_NUM_P_82</f>
        <v>19</v>
      </c>
      <c r="F128" s="192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921" t="s">
        <v>519</v>
      </c>
      <c r="H128" s="407"/>
      <c r="I128" s="407"/>
      <c r="J128" s="277" t="str">
        <f>FHD_NOTE_P_82</f>
        <v>Указывается ссылка на документ, предварительно загруженный в хранилище файлов ФГИС ЕИАС.</v>
      </c>
      <c r="K128" s="549"/>
    </row>
    <row customHeight="1" ht="18.75">
      <c r="A129" s="2210"/>
      <c r="C129" s="1676" t="s">
        <v>795</v>
      </c>
      <c r="D129" s="1678"/>
      <c r="E129" s="552" t="str">
        <f>FHD_NUM_P_83</f>
        <v>19.1</v>
      </c>
      <c r="F129" s="1554" t="str">
        <f>FHD_P_83</f>
        <v>Информация о показателях физического износа объектов теплоснабжения</v>
      </c>
      <c r="G129" s="1921" t="s">
        <v>519</v>
      </c>
      <c r="H129" s="407"/>
      <c r="I129" s="407"/>
      <c r="J129" s="277" t="str">
        <f>FHD_NOTE_P_83</f>
        <v>Указывается ссылка на документ, предварительно загруженный в хранилище файлов ФГИС ЕИАС.</v>
      </c>
      <c r="K129" s="549"/>
    </row>
    <row customHeight="1" ht="18.75">
      <c r="A130" s="2210"/>
      <c r="C130" s="1676" t="s">
        <v>795</v>
      </c>
      <c r="D130" s="1678"/>
      <c r="E130" s="552" t="str">
        <f>FHD_NUM_P_84</f>
        <v>19.2</v>
      </c>
      <c r="F130" s="1554" t="str">
        <f>FHD_P_84</f>
        <v>Информация о показателях энергетической эффективности объектов теплоснабжения</v>
      </c>
      <c r="G130" s="1921" t="s">
        <v>519</v>
      </c>
      <c r="H130" s="407"/>
      <c r="I130" s="407"/>
      <c r="J130" s="277" t="str">
        <f>FHD_NOTE_P_84</f>
        <v>Указывается ссылка на документ, предварительно загруженный в хранилище файлов ФГИС ЕИАС.</v>
      </c>
      <c r="K130" s="549"/>
    </row>
    <row customHeight="1" ht="11.25">
      <c r="D131" s="1678"/>
    </row>
    <row customHeight="1" ht="12.75">
      <c r="D132" s="1678"/>
      <c r="E132" s="332"/>
      <c r="F132" s="369"/>
      <c r="G132" s="369"/>
      <c r="H132" s="369"/>
      <c r="I132" s="1687"/>
      <c r="J132" s="587"/>
    </row>
    <row s="12366" customFormat="1" customHeight="1" ht="11.25">
      <c r="A133" s="994"/>
      <c r="B133" s="1676"/>
      <c r="C133" s="1676"/>
      <c r="D133" s="347"/>
      <c r="F133" s="1680"/>
      <c r="G133" s="1671"/>
      <c r="H133" s="1671"/>
      <c r="I133" s="1671"/>
      <c r="K133" s="1168"/>
      <c r="L133" s="1676"/>
      <c r="M133" s="1676"/>
      <c r="N133" s="1168"/>
      <c r="O133" s="1168"/>
      <c r="P133" s="1168"/>
      <c r="Q133" s="1168"/>
      <c r="R133" s="1676"/>
      <c r="S133" s="1168"/>
      <c r="T133" s="1168"/>
      <c r="U133" s="550"/>
      <c r="V133" s="1168"/>
      <c r="W133" s="1168"/>
      <c r="X133" s="1168"/>
      <c r="Y133" s="1168"/>
      <c r="Z133" s="1168"/>
      <c r="AA133" s="1672"/>
      <c r="AB133" s="572"/>
      <c r="AC133" s="572"/>
      <c r="AD133" s="572"/>
      <c r="AE133" s="572"/>
    </row>
    <row s="12366" customFormat="1" customHeight="1" ht="11.25">
      <c r="A134" s="994"/>
      <c r="B134" s="1676"/>
      <c r="C134" s="1676"/>
      <c r="D134" s="347"/>
      <c r="K134" s="1168"/>
      <c r="L134" s="1676"/>
      <c r="M134" s="1676"/>
      <c r="N134" s="1168"/>
      <c r="O134" s="1168"/>
      <c r="P134" s="1168"/>
      <c r="Q134" s="1168"/>
      <c r="R134" s="1676"/>
      <c r="S134" s="1168"/>
      <c r="T134" s="1168"/>
      <c r="U134" s="550"/>
      <c r="V134" s="1168"/>
      <c r="W134" s="1168"/>
      <c r="X134" s="1168"/>
      <c r="Y134" s="1168"/>
      <c r="Z134" s="1168"/>
      <c r="AA134" s="1672"/>
      <c r="AB134" s="572"/>
      <c r="AC134" s="572"/>
      <c r="AD134" s="572"/>
      <c r="AE134" s="572"/>
    </row>
    <row s="12366" customFormat="1" customHeight="1" ht="11.25">
      <c r="A135" s="994"/>
      <c r="B135" s="1676"/>
      <c r="C135" s="1676"/>
      <c r="D135" s="347"/>
      <c r="K135" s="1168"/>
      <c r="L135" s="1676"/>
      <c r="M135" s="1676"/>
      <c r="N135" s="1168"/>
      <c r="O135" s="1168"/>
      <c r="P135" s="1168"/>
      <c r="Q135" s="1168"/>
      <c r="R135" s="1676"/>
      <c r="S135" s="1168"/>
      <c r="T135" s="1168"/>
      <c r="U135" s="550"/>
      <c r="V135" s="1168"/>
      <c r="W135" s="1168"/>
      <c r="X135" s="1168"/>
      <c r="Y135" s="1168"/>
      <c r="Z135" s="1168"/>
      <c r="AA135" s="1672"/>
      <c r="AB135" s="572"/>
      <c r="AC135" s="572"/>
      <c r="AD135" s="572"/>
      <c r="AE135" s="572"/>
    </row>
    <row s="12366" customFormat="1" customHeight="1" ht="11.25">
      <c r="A136" s="994"/>
      <c r="B136" s="1676"/>
      <c r="C136" s="1676"/>
      <c r="D136" s="347"/>
      <c r="H136" s="572" t="str">
        <f>IF(H30-H31&lt;&gt;H72,"WARNING","")</f>
        <v/>
      </c>
      <c r="I136" s="572" t="str">
        <f>IF(I30-I31&lt;&gt;I72,"WARNING","")</f>
        <v/>
      </c>
      <c r="K136" s="1168"/>
      <c r="L136" s="1676"/>
      <c r="M136" s="1676"/>
      <c r="N136" s="1168"/>
      <c r="O136" s="1168"/>
      <c r="P136" s="1168"/>
      <c r="Q136" s="1168"/>
      <c r="R136" s="1676"/>
      <c r="S136" s="1168"/>
      <c r="T136" s="1168"/>
      <c r="U136" s="550"/>
      <c r="V136" s="1168"/>
      <c r="W136" s="1168"/>
      <c r="X136" s="1168"/>
      <c r="Y136" s="1168"/>
      <c r="Z136" s="1168"/>
      <c r="AA136" s="1672"/>
      <c r="AB136" s="572"/>
      <c r="AC136" s="572"/>
      <c r="AD136" s="572"/>
      <c r="AE136" s="572"/>
    </row>
    <row s="12366" customFormat="1" customHeight="1" ht="11.25">
      <c r="A137" s="994"/>
      <c r="B137" s="1676"/>
      <c r="C137" s="1676"/>
      <c r="D137" s="347"/>
      <c r="K137" s="1168"/>
      <c r="L137" s="1676"/>
      <c r="M137" s="1676"/>
      <c r="N137" s="1168"/>
      <c r="O137" s="1168"/>
      <c r="P137" s="1168"/>
      <c r="Q137" s="1168"/>
      <c r="R137" s="1676"/>
      <c r="S137" s="1168"/>
      <c r="T137" s="1168"/>
      <c r="U137" s="550"/>
      <c r="V137" s="1168"/>
      <c r="W137" s="1168"/>
      <c r="X137" s="1168"/>
      <c r="Y137" s="1168"/>
      <c r="Z137" s="1168"/>
      <c r="AA137" s="1672"/>
      <c r="AB137" s="572"/>
      <c r="AC137" s="572"/>
      <c r="AD137" s="572"/>
      <c r="AE137" s="572"/>
    </row>
    <row s="12366" customFormat="1" customHeight="1" ht="11.25">
      <c r="A138" s="994"/>
      <c r="B138" s="1676"/>
      <c r="C138" s="1676"/>
      <c r="D138" s="347"/>
      <c r="K138" s="1168"/>
      <c r="L138" s="1676"/>
      <c r="M138" s="1676"/>
      <c r="N138" s="1168"/>
      <c r="O138" s="1168"/>
      <c r="P138" s="1168"/>
      <c r="Q138" s="1168"/>
      <c r="R138" s="1676"/>
      <c r="S138" s="1168"/>
      <c r="T138" s="1168"/>
      <c r="U138" s="550"/>
      <c r="V138" s="1168"/>
      <c r="W138" s="1168"/>
      <c r="X138" s="1168"/>
      <c r="Y138" s="1168"/>
      <c r="Z138" s="1168"/>
      <c r="AA138" s="1672"/>
      <c r="AB138" s="572"/>
      <c r="AC138" s="572"/>
      <c r="AD138" s="572"/>
      <c r="AE138" s="572"/>
    </row>
    <row s="12366" customFormat="1" customHeight="1" ht="11.25">
      <c r="A139" s="994"/>
      <c r="B139" s="1676"/>
      <c r="C139" s="1676"/>
      <c r="D139" s="347"/>
      <c r="K139" s="1168"/>
      <c r="L139" s="1676"/>
      <c r="M139" s="1676"/>
      <c r="N139" s="1168"/>
      <c r="O139" s="1168"/>
      <c r="P139" s="1168"/>
      <c r="Q139" s="1168"/>
      <c r="R139" s="1676"/>
      <c r="S139" s="1168"/>
      <c r="T139" s="1168"/>
      <c r="U139" s="550"/>
      <c r="V139" s="1168"/>
      <c r="W139" s="1168"/>
      <c r="X139" s="1168"/>
      <c r="Y139" s="1168"/>
      <c r="Z139" s="1168"/>
      <c r="AA139" s="1672"/>
      <c r="AB139" s="572"/>
      <c r="AC139" s="572"/>
      <c r="AD139" s="572"/>
      <c r="AE139" s="572"/>
    </row>
    <row s="12366" customFormat="1" customHeight="1" ht="11.25">
      <c r="A140" s="994"/>
      <c r="B140" s="1676"/>
      <c r="C140" s="1676"/>
      <c r="D140" s="347"/>
      <c r="K140" s="1168"/>
      <c r="L140" s="1676"/>
      <c r="M140" s="1676"/>
      <c r="N140" s="1168"/>
      <c r="O140" s="1168"/>
      <c r="P140" s="1168"/>
      <c r="Q140" s="1168"/>
      <c r="R140" s="1676"/>
      <c r="S140" s="1168"/>
      <c r="T140" s="1168"/>
      <c r="U140" s="550"/>
      <c r="V140" s="1168"/>
      <c r="W140" s="1168"/>
      <c r="X140" s="1168"/>
      <c r="Y140" s="1168"/>
      <c r="Z140" s="1168"/>
      <c r="AA140" s="1672"/>
      <c r="AB140" s="572"/>
      <c r="AC140" s="572"/>
      <c r="AD140" s="572"/>
      <c r="AE140" s="572"/>
    </row>
    <row s="12366" customFormat="1" customHeight="1" ht="11.25">
      <c r="A141" s="994"/>
      <c r="B141" s="1676"/>
      <c r="C141" s="1676"/>
      <c r="D141" s="347"/>
      <c r="K141" s="1168"/>
      <c r="L141" s="1676"/>
      <c r="M141" s="1676"/>
      <c r="N141" s="1168"/>
      <c r="O141" s="1168"/>
      <c r="P141" s="1168"/>
      <c r="Q141" s="1168"/>
      <c r="R141" s="1676"/>
      <c r="S141" s="1168"/>
      <c r="T141" s="1168"/>
      <c r="U141" s="550"/>
      <c r="V141" s="1168"/>
      <c r="W141" s="1168"/>
      <c r="X141" s="1168"/>
      <c r="Y141" s="1168"/>
      <c r="Z141" s="1168"/>
      <c r="AA141" s="1672"/>
      <c r="AB141" s="572"/>
      <c r="AC141" s="572"/>
      <c r="AD141" s="572"/>
      <c r="AE141" s="572"/>
    </row>
    <row s="12366" customFormat="1" customHeight="1" ht="11.25">
      <c r="A142" s="994"/>
      <c r="B142" s="1676"/>
      <c r="C142" s="1676"/>
      <c r="D142" s="347"/>
      <c r="K142" s="1168"/>
      <c r="L142" s="1676"/>
      <c r="M142" s="1676"/>
      <c r="N142" s="1168"/>
      <c r="O142" s="1168"/>
      <c r="P142" s="1168"/>
      <c r="Q142" s="1168"/>
      <c r="R142" s="1676"/>
      <c r="S142" s="1168"/>
      <c r="T142" s="1168"/>
      <c r="U142" s="550"/>
      <c r="V142" s="1168"/>
      <c r="W142" s="1168"/>
      <c r="X142" s="1168"/>
      <c r="Y142" s="1168"/>
      <c r="Z142" s="1168"/>
      <c r="AA142" s="1672"/>
      <c r="AB142" s="572"/>
      <c r="AC142" s="572"/>
      <c r="AD142" s="572"/>
      <c r="AE142" s="572"/>
    </row>
    <row s="12366" customFormat="1" customHeight="1" ht="11.25">
      <c r="A143" s="994"/>
      <c r="B143" s="1676"/>
      <c r="C143" s="1676"/>
      <c r="D143" s="347"/>
      <c r="K143" s="1168"/>
      <c r="L143" s="1676"/>
      <c r="M143" s="1676"/>
      <c r="N143" s="1168"/>
      <c r="O143" s="1168"/>
      <c r="P143" s="1168"/>
      <c r="Q143" s="1168"/>
      <c r="R143" s="1676"/>
      <c r="S143" s="1168"/>
      <c r="T143" s="1168"/>
      <c r="U143" s="550"/>
      <c r="V143" s="1168"/>
      <c r="W143" s="1168"/>
      <c r="X143" s="1168"/>
      <c r="Y143" s="1168"/>
      <c r="Z143" s="1168"/>
      <c r="AA143" s="1672"/>
      <c r="AB143" s="572"/>
      <c r="AC143" s="572"/>
      <c r="AD143" s="572"/>
      <c r="AE143" s="572"/>
    </row>
    <row s="12366" customFormat="1" customHeight="1" ht="11.25">
      <c r="A144" s="994"/>
      <c r="B144" s="1676"/>
      <c r="C144" s="1676"/>
      <c r="D144" s="347"/>
      <c r="K144" s="1168"/>
      <c r="L144" s="1676"/>
      <c r="M144" s="1676"/>
      <c r="N144" s="1168"/>
      <c r="O144" s="1168"/>
      <c r="P144" s="1168"/>
      <c r="Q144" s="1168"/>
      <c r="R144" s="1676"/>
      <c r="S144" s="1168"/>
      <c r="T144" s="1168"/>
      <c r="U144" s="550"/>
      <c r="V144" s="1168"/>
      <c r="W144" s="1168"/>
      <c r="X144" s="1168"/>
      <c r="Y144" s="1168"/>
      <c r="Z144" s="1168"/>
      <c r="AA144" s="1672"/>
      <c r="AB144" s="572"/>
      <c r="AC144" s="572"/>
      <c r="AD144" s="572"/>
      <c r="AE144" s="572"/>
    </row>
    <row s="12366" customFormat="1" customHeight="1" ht="11.25">
      <c r="A145" s="994"/>
      <c r="B145" s="1676"/>
      <c r="C145" s="1676"/>
      <c r="D145" s="347"/>
      <c r="K145" s="1168"/>
      <c r="L145" s="1676"/>
      <c r="M145" s="1676"/>
      <c r="N145" s="1168"/>
      <c r="O145" s="1168"/>
      <c r="P145" s="1168"/>
      <c r="Q145" s="1168"/>
      <c r="R145" s="1676"/>
      <c r="S145" s="1168"/>
      <c r="T145" s="1168"/>
      <c r="U145" s="550"/>
      <c r="V145" s="1168"/>
      <c r="W145" s="1168"/>
      <c r="X145" s="1168"/>
      <c r="Y145" s="1168"/>
      <c r="Z145" s="1168"/>
      <c r="AA145" s="1672"/>
      <c r="AB145" s="572"/>
      <c r="AC145" s="572"/>
      <c r="AD145" s="572"/>
      <c r="AE145" s="572"/>
    </row>
    <row s="12366" customFormat="1" customHeight="1" ht="11.25">
      <c r="A146" s="994"/>
      <c r="B146" s="1676"/>
      <c r="C146" s="1676"/>
      <c r="D146" s="347"/>
      <c r="K146" s="1168"/>
      <c r="L146" s="1676"/>
      <c r="M146" s="1676"/>
      <c r="N146" s="1168"/>
      <c r="O146" s="1168"/>
      <c r="P146" s="1168"/>
      <c r="Q146" s="1168"/>
      <c r="R146" s="1676"/>
      <c r="S146" s="1168"/>
      <c r="T146" s="1168"/>
      <c r="U146" s="550"/>
      <c r="V146" s="1168"/>
      <c r="W146" s="1168"/>
      <c r="X146" s="1168"/>
      <c r="Y146" s="1168"/>
      <c r="Z146" s="1168"/>
      <c r="AA146" s="1672"/>
      <c r="AB146" s="572"/>
      <c r="AC146" s="572"/>
      <c r="AD146" s="572"/>
      <c r="AE146" s="572"/>
    </row>
    <row s="12366" customFormat="1" customHeight="1" ht="11.25">
      <c r="A147" s="994"/>
      <c r="B147" s="1676"/>
      <c r="C147" s="1676"/>
      <c r="D147" s="347"/>
      <c r="K147" s="1168"/>
      <c r="L147" s="1676"/>
      <c r="M147" s="1676"/>
      <c r="N147" s="1168"/>
      <c r="O147" s="1168"/>
      <c r="P147" s="1168"/>
      <c r="Q147" s="1168"/>
      <c r="R147" s="1676"/>
      <c r="S147" s="1168"/>
      <c r="T147" s="1168"/>
      <c r="U147" s="550"/>
      <c r="V147" s="1168"/>
      <c r="W147" s="1168"/>
      <c r="X147" s="1168"/>
      <c r="Y147" s="1168"/>
      <c r="Z147" s="1168"/>
      <c r="AA147" s="1672"/>
      <c r="AB147" s="572"/>
      <c r="AC147" s="572"/>
      <c r="AD147" s="572"/>
      <c r="AE147" s="572"/>
    </row>
    <row s="12366" customFormat="1" customHeight="1" ht="11.25">
      <c r="A148" s="994"/>
      <c r="B148" s="1676"/>
      <c r="C148" s="1676"/>
      <c r="D148" s="347"/>
      <c r="K148" s="1168"/>
      <c r="L148" s="1676"/>
      <c r="M148" s="1676"/>
      <c r="N148" s="1168"/>
      <c r="O148" s="1168"/>
      <c r="P148" s="1168"/>
      <c r="Q148" s="1168"/>
      <c r="R148" s="1676"/>
      <c r="S148" s="1168"/>
      <c r="T148" s="1168"/>
      <c r="U148" s="550"/>
      <c r="V148" s="1168"/>
      <c r="W148" s="1168"/>
      <c r="X148" s="1168"/>
      <c r="Y148" s="1168"/>
      <c r="Z148" s="1168"/>
      <c r="AA148" s="1672"/>
      <c r="AB148" s="572"/>
      <c r="AC148" s="572"/>
      <c r="AD148" s="572"/>
      <c r="AE148" s="572"/>
    </row>
    <row s="12366" customFormat="1" customHeight="1" ht="11.25">
      <c r="A149" s="994"/>
      <c r="B149" s="1676"/>
      <c r="C149" s="1676"/>
      <c r="D149" s="347"/>
      <c r="K149" s="1168"/>
      <c r="L149" s="1676"/>
      <c r="M149" s="1676"/>
      <c r="N149" s="1168"/>
      <c r="O149" s="1168"/>
      <c r="P149" s="1168"/>
      <c r="Q149" s="1168"/>
      <c r="R149" s="1676"/>
      <c r="S149" s="1168"/>
      <c r="T149" s="1168"/>
      <c r="U149" s="550"/>
      <c r="V149" s="1168"/>
      <c r="W149" s="1168"/>
      <c r="X149" s="1168"/>
      <c r="Y149" s="1168"/>
      <c r="Z149" s="1168"/>
      <c r="AA149" s="1672"/>
      <c r="AB149" s="572"/>
      <c r="AC149" s="572"/>
      <c r="AD149" s="572"/>
      <c r="AE149" s="572"/>
    </row>
    <row s="12366" customFormat="1" customHeight="1" ht="11.25">
      <c r="A150" s="994"/>
      <c r="B150" s="1676"/>
      <c r="C150" s="1676"/>
      <c r="D150" s="347"/>
      <c r="K150" s="1168"/>
      <c r="L150" s="1676"/>
      <c r="M150" s="1676"/>
      <c r="N150" s="1168"/>
      <c r="O150" s="1168"/>
      <c r="P150" s="1168"/>
      <c r="Q150" s="1168"/>
      <c r="R150" s="1676"/>
      <c r="S150" s="1168"/>
      <c r="T150" s="1168"/>
      <c r="U150" s="550"/>
      <c r="V150" s="1168"/>
      <c r="W150" s="1168"/>
      <c r="X150" s="1168"/>
      <c r="Y150" s="1168"/>
      <c r="Z150" s="1168"/>
      <c r="AA150" s="1672"/>
      <c r="AB150" s="572"/>
      <c r="AC150" s="572"/>
      <c r="AD150" s="572"/>
      <c r="AE150" s="572"/>
    </row>
    <row s="12366" customFormat="1" customHeight="1" ht="11.25">
      <c r="A151" s="994"/>
      <c r="B151" s="1676"/>
      <c r="C151" s="1676"/>
      <c r="D151" s="347"/>
      <c r="K151" s="1168"/>
      <c r="L151" s="1676"/>
      <c r="M151" s="1676"/>
      <c r="N151" s="1168"/>
      <c r="O151" s="1168"/>
      <c r="P151" s="1168"/>
      <c r="Q151" s="1168"/>
      <c r="R151" s="1676"/>
      <c r="S151" s="1168"/>
      <c r="T151" s="1168"/>
      <c r="U151" s="550"/>
      <c r="V151" s="1168"/>
      <c r="W151" s="1168"/>
      <c r="X151" s="1168"/>
      <c r="Y151" s="1168"/>
      <c r="Z151" s="1168"/>
      <c r="AA151" s="1672"/>
      <c r="AB151" s="572"/>
      <c r="AC151" s="572"/>
      <c r="AD151" s="572"/>
      <c r="AE151" s="572"/>
    </row>
    <row s="12366" customFormat="1" customHeight="1" ht="11.25">
      <c r="A152" s="994"/>
      <c r="B152" s="1676"/>
      <c r="C152" s="1676"/>
      <c r="D152" s="347"/>
      <c r="K152" s="1168"/>
      <c r="L152" s="1676"/>
      <c r="M152" s="1676"/>
      <c r="N152" s="1168"/>
      <c r="O152" s="1168"/>
      <c r="P152" s="1168"/>
      <c r="Q152" s="1168"/>
      <c r="R152" s="1676"/>
      <c r="S152" s="1168"/>
      <c r="T152" s="1168"/>
      <c r="U152" s="550"/>
      <c r="V152" s="1168"/>
      <c r="W152" s="1168"/>
      <c r="X152" s="1168"/>
      <c r="Y152" s="1168"/>
      <c r="Z152" s="1168"/>
      <c r="AA152" s="1672"/>
      <c r="AB152" s="572"/>
      <c r="AC152" s="572"/>
      <c r="AD152" s="572"/>
      <c r="AE152" s="572"/>
    </row>
    <row s="12366" customFormat="1" customHeight="1" ht="11.25">
      <c r="A153" s="994"/>
      <c r="B153" s="1676"/>
      <c r="C153" s="1676"/>
      <c r="D153" s="347"/>
      <c r="K153" s="1168"/>
      <c r="L153" s="1676"/>
      <c r="M153" s="1676"/>
      <c r="N153" s="1168"/>
      <c r="O153" s="1168"/>
      <c r="P153" s="1168"/>
      <c r="Q153" s="1168"/>
      <c r="R153" s="1676"/>
      <c r="S153" s="1168"/>
      <c r="T153" s="1168"/>
      <c r="U153" s="550"/>
      <c r="V153" s="1168"/>
      <c r="W153" s="1168"/>
      <c r="X153" s="1168"/>
      <c r="Y153" s="1168"/>
      <c r="Z153" s="1168"/>
      <c r="AA153" s="1672"/>
      <c r="AB153" s="572"/>
      <c r="AC153" s="572"/>
      <c r="AD153" s="572"/>
      <c r="AE153" s="572"/>
    </row>
    <row s="12366" customFormat="1" customHeight="1" ht="11.25">
      <c r="A154" s="994"/>
      <c r="B154" s="1676"/>
      <c r="C154" s="1676"/>
      <c r="D154" s="347"/>
      <c r="K154" s="1168"/>
      <c r="L154" s="1676"/>
      <c r="M154" s="1676"/>
      <c r="N154" s="1168"/>
      <c r="O154" s="1168"/>
      <c r="P154" s="1168"/>
      <c r="Q154" s="1168"/>
      <c r="R154" s="1676"/>
      <c r="S154" s="1168"/>
      <c r="T154" s="1168"/>
      <c r="U154" s="550"/>
      <c r="V154" s="1168"/>
      <c r="W154" s="1168"/>
      <c r="X154" s="1168"/>
      <c r="Y154" s="1168"/>
      <c r="Z154" s="1168"/>
      <c r="AA154" s="1672"/>
      <c r="AB154" s="572"/>
      <c r="AC154" s="572"/>
      <c r="AD154" s="572"/>
      <c r="AE154" s="572"/>
    </row>
    <row s="12366" customFormat="1" customHeight="1" ht="11.25">
      <c r="A155" s="994"/>
      <c r="B155" s="1676"/>
      <c r="C155" s="1676"/>
      <c r="D155" s="347"/>
      <c r="K155" s="1168"/>
      <c r="L155" s="1676"/>
      <c r="M155" s="1676"/>
      <c r="N155" s="1168"/>
      <c r="O155" s="1168"/>
      <c r="P155" s="1168"/>
      <c r="Q155" s="1168"/>
      <c r="R155" s="1676"/>
      <c r="S155" s="1168"/>
      <c r="T155" s="1168"/>
      <c r="U155" s="550"/>
      <c r="V155" s="1168"/>
      <c r="W155" s="1168"/>
      <c r="X155" s="1168"/>
      <c r="Y155" s="1168"/>
      <c r="Z155" s="1168"/>
      <c r="AA155" s="1672"/>
      <c r="AB155" s="572"/>
      <c r="AC155" s="572"/>
      <c r="AD155" s="572"/>
      <c r="AE155" s="572"/>
    </row>
    <row s="12366" customFormat="1" customHeight="1" ht="11.25">
      <c r="A156" s="994"/>
      <c r="B156" s="1676"/>
      <c r="C156" s="1676"/>
      <c r="D156" s="347"/>
      <c r="K156" s="1168"/>
      <c r="L156" s="1676"/>
      <c r="M156" s="1676"/>
      <c r="N156" s="1168"/>
      <c r="O156" s="1168"/>
      <c r="P156" s="1168"/>
      <c r="Q156" s="1168"/>
      <c r="R156" s="1676"/>
      <c r="S156" s="1168"/>
      <c r="T156" s="1168"/>
      <c r="U156" s="550"/>
      <c r="V156" s="1168"/>
      <c r="W156" s="1168"/>
      <c r="X156" s="1168"/>
      <c r="Y156" s="1168"/>
      <c r="Z156" s="1168"/>
      <c r="AA156" s="1672"/>
      <c r="AB156" s="572"/>
      <c r="AC156" s="572"/>
      <c r="AD156" s="572"/>
      <c r="AE156" s="572"/>
    </row>
    <row s="12366" customFormat="1" customHeight="1" ht="11.25">
      <c r="A157" s="994"/>
      <c r="B157" s="1676"/>
      <c r="C157" s="1676"/>
      <c r="D157" s="347"/>
      <c r="K157" s="1168"/>
      <c r="L157" s="1676"/>
      <c r="M157" s="1676"/>
      <c r="N157" s="1168"/>
      <c r="O157" s="1168"/>
      <c r="P157" s="1168"/>
      <c r="Q157" s="1168"/>
      <c r="R157" s="1676"/>
      <c r="S157" s="1168"/>
      <c r="T157" s="1168"/>
      <c r="U157" s="550"/>
      <c r="V157" s="1168"/>
      <c r="W157" s="1168"/>
      <c r="X157" s="1168"/>
      <c r="Y157" s="1168"/>
      <c r="Z157" s="1168"/>
      <c r="AA157" s="1672"/>
      <c r="AB157" s="572"/>
      <c r="AC157" s="572"/>
      <c r="AD157" s="572"/>
      <c r="AE157" s="572"/>
    </row>
    <row s="12366" customFormat="1" customHeight="1" ht="11.25">
      <c r="A158" s="994"/>
      <c r="B158" s="1676"/>
      <c r="C158" s="1676"/>
      <c r="D158" s="347"/>
      <c r="K158" s="1168"/>
      <c r="L158" s="1676"/>
      <c r="M158" s="1676"/>
      <c r="N158" s="1168"/>
      <c r="O158" s="1168"/>
      <c r="P158" s="1168"/>
      <c r="Q158" s="1168"/>
      <c r="R158" s="1676"/>
      <c r="S158" s="1168"/>
      <c r="T158" s="1168"/>
      <c r="U158" s="550"/>
      <c r="V158" s="1168"/>
      <c r="W158" s="1168"/>
      <c r="X158" s="1168"/>
      <c r="Y158" s="1168"/>
      <c r="Z158" s="1168"/>
      <c r="AA158" s="1672"/>
      <c r="AB158" s="572"/>
      <c r="AC158" s="572"/>
      <c r="AD158" s="572"/>
      <c r="AE158" s="572"/>
    </row>
    <row s="12366" customFormat="1" customHeight="1" ht="11.25">
      <c r="A159" s="994"/>
      <c r="B159" s="1676"/>
      <c r="C159" s="1676"/>
      <c r="D159" s="347"/>
      <c r="K159" s="1168"/>
      <c r="L159" s="1676"/>
      <c r="M159" s="1676"/>
      <c r="N159" s="1168"/>
      <c r="O159" s="1168"/>
      <c r="P159" s="1168"/>
      <c r="Q159" s="1168"/>
      <c r="R159" s="1676"/>
      <c r="S159" s="1168"/>
      <c r="T159" s="1168"/>
      <c r="U159" s="550"/>
      <c r="V159" s="1168"/>
      <c r="W159" s="1168"/>
      <c r="X159" s="1168"/>
      <c r="Y159" s="1168"/>
      <c r="Z159" s="1168"/>
      <c r="AA159" s="1672"/>
      <c r="AB159" s="572"/>
      <c r="AC159" s="572"/>
      <c r="AD159" s="572"/>
      <c r="AE159" s="572"/>
    </row>
    <row s="12366" customFormat="1" customHeight="1" ht="11.25">
      <c r="A160" s="994"/>
      <c r="B160" s="1676"/>
      <c r="C160" s="1676"/>
      <c r="D160" s="347"/>
      <c r="K160" s="1168"/>
      <c r="L160" s="1676"/>
      <c r="M160" s="1676"/>
      <c r="N160" s="1168"/>
      <c r="O160" s="1168"/>
      <c r="P160" s="1168"/>
      <c r="Q160" s="1168"/>
      <c r="R160" s="1676"/>
      <c r="S160" s="1168"/>
      <c r="T160" s="1168"/>
      <c r="U160" s="550"/>
      <c r="V160" s="1168"/>
      <c r="W160" s="1168"/>
      <c r="X160" s="1168"/>
      <c r="Y160" s="1168"/>
      <c r="Z160" s="1168"/>
      <c r="AA160" s="1672"/>
      <c r="AB160" s="572"/>
      <c r="AC160" s="572"/>
      <c r="AD160" s="572"/>
      <c r="AE160" s="572"/>
    </row>
    <row s="12366" customFormat="1" customHeight="1" ht="11.25">
      <c r="A161" s="994"/>
      <c r="B161" s="1676"/>
      <c r="C161" s="1676"/>
      <c r="D161" s="347"/>
      <c r="K161" s="1168"/>
      <c r="L161" s="1676"/>
      <c r="M161" s="1676"/>
      <c r="N161" s="1168"/>
      <c r="O161" s="1168"/>
      <c r="P161" s="1168"/>
      <c r="Q161" s="1168"/>
      <c r="R161" s="1676"/>
      <c r="S161" s="1168"/>
      <c r="T161" s="1168"/>
      <c r="U161" s="550"/>
      <c r="V161" s="1168"/>
      <c r="W161" s="1168"/>
      <c r="X161" s="1168"/>
      <c r="Y161" s="1168"/>
      <c r="Z161" s="1168"/>
      <c r="AA161" s="1672"/>
      <c r="AB161" s="572"/>
      <c r="AC161" s="572"/>
      <c r="AD161" s="572"/>
      <c r="AE161" s="572"/>
    </row>
    <row s="12366" customFormat="1" customHeight="1" ht="11.25">
      <c r="A162" s="994"/>
      <c r="B162" s="1676"/>
      <c r="C162" s="1676"/>
      <c r="D162" s="347"/>
      <c r="K162" s="1168"/>
      <c r="L162" s="1676"/>
      <c r="M162" s="1676"/>
      <c r="N162" s="1168"/>
      <c r="O162" s="1168"/>
      <c r="P162" s="1168"/>
      <c r="Q162" s="1168"/>
      <c r="R162" s="1676"/>
      <c r="S162" s="1168"/>
      <c r="T162" s="1168"/>
      <c r="U162" s="550"/>
      <c r="V162" s="1168"/>
      <c r="W162" s="1168"/>
      <c r="X162" s="1168"/>
      <c r="Y162" s="1168"/>
      <c r="Z162" s="1168"/>
      <c r="AA162" s="1672"/>
      <c r="AB162" s="572"/>
      <c r="AC162" s="572"/>
      <c r="AD162" s="572"/>
      <c r="AE162" s="572"/>
    </row>
    <row s="12366" customFormat="1" customHeight="1" ht="11.25">
      <c r="A163" s="994"/>
      <c r="B163" s="1676"/>
      <c r="C163" s="1676"/>
      <c r="D163" s="347"/>
      <c r="K163" s="1168"/>
      <c r="L163" s="1676"/>
      <c r="M163" s="1676"/>
      <c r="N163" s="1168"/>
      <c r="O163" s="1168"/>
      <c r="P163" s="1168"/>
      <c r="Q163" s="1168"/>
      <c r="R163" s="1676"/>
      <c r="S163" s="1168"/>
      <c r="T163" s="1168"/>
      <c r="U163" s="550"/>
      <c r="V163" s="1168"/>
      <c r="W163" s="1168"/>
      <c r="X163" s="1168"/>
      <c r="Y163" s="1168"/>
      <c r="Z163" s="1168"/>
      <c r="AA163" s="1672"/>
      <c r="AB163" s="572"/>
      <c r="AC163" s="572"/>
      <c r="AD163" s="572"/>
      <c r="AE163" s="572"/>
    </row>
    <row s="12366" customFormat="1" customHeight="1" ht="11.25">
      <c r="A164" s="994"/>
      <c r="B164" s="1676"/>
      <c r="C164" s="1676"/>
      <c r="D164" s="347"/>
      <c r="K164" s="1168"/>
      <c r="L164" s="1676"/>
      <c r="M164" s="1676"/>
      <c r="N164" s="1168"/>
      <c r="O164" s="1168"/>
      <c r="P164" s="1168"/>
      <c r="Q164" s="1168"/>
      <c r="R164" s="1676"/>
      <c r="S164" s="1168"/>
      <c r="T164" s="1168"/>
      <c r="U164" s="550"/>
      <c r="V164" s="1168"/>
      <c r="W164" s="1168"/>
      <c r="X164" s="1168"/>
      <c r="Y164" s="1168"/>
      <c r="Z164" s="1168"/>
      <c r="AA164" s="1672"/>
      <c r="AB164" s="572"/>
      <c r="AC164" s="572"/>
      <c r="AD164" s="572"/>
      <c r="AE164" s="572"/>
    </row>
    <row s="12366" customFormat="1" customHeight="1" ht="11.25">
      <c r="A165" s="994"/>
      <c r="B165" s="1676"/>
      <c r="C165" s="1676"/>
      <c r="D165" s="347"/>
      <c r="K165" s="1168"/>
      <c r="L165" s="1676"/>
      <c r="M165" s="1676"/>
      <c r="N165" s="1168"/>
      <c r="O165" s="1168"/>
      <c r="P165" s="1168"/>
      <c r="Q165" s="1168"/>
      <c r="R165" s="1676"/>
      <c r="S165" s="1168"/>
      <c r="T165" s="1168"/>
      <c r="U165" s="550"/>
      <c r="V165" s="1168"/>
      <c r="W165" s="1168"/>
      <c r="X165" s="1168"/>
      <c r="Y165" s="1168"/>
      <c r="Z165" s="1168"/>
      <c r="AA165" s="1672"/>
      <c r="AB165" s="572"/>
      <c r="AC165" s="572"/>
      <c r="AD165" s="572"/>
      <c r="AE165" s="572"/>
    </row>
    <row s="12366" customFormat="1" customHeight="1" ht="11.25">
      <c r="A166" s="994"/>
      <c r="B166" s="1676"/>
      <c r="C166" s="1676"/>
      <c r="D166" s="347"/>
      <c r="K166" s="1168"/>
      <c r="L166" s="1676"/>
      <c r="M166" s="1676"/>
      <c r="N166" s="1168"/>
      <c r="O166" s="1168"/>
      <c r="P166" s="1168"/>
      <c r="Q166" s="1168"/>
      <c r="R166" s="1676"/>
      <c r="S166" s="1168"/>
      <c r="T166" s="1168"/>
      <c r="U166" s="550"/>
      <c r="V166" s="1168"/>
      <c r="W166" s="1168"/>
      <c r="X166" s="1168"/>
      <c r="Y166" s="1168"/>
      <c r="Z166" s="1168"/>
      <c r="AA166" s="1672"/>
      <c r="AB166" s="572"/>
      <c r="AC166" s="572"/>
      <c r="AD166" s="572"/>
      <c r="AE166" s="572"/>
    </row>
    <row s="12366" customFormat="1" customHeight="1" ht="11.25">
      <c r="A167" s="994"/>
      <c r="B167" s="1676"/>
      <c r="C167" s="1676"/>
      <c r="D167" s="347"/>
      <c r="K167" s="1168"/>
      <c r="L167" s="1676"/>
      <c r="M167" s="1676"/>
      <c r="N167" s="1168"/>
      <c r="O167" s="1168"/>
      <c r="P167" s="1168"/>
      <c r="Q167" s="1168"/>
      <c r="R167" s="1676"/>
      <c r="S167" s="1168"/>
      <c r="T167" s="1168"/>
      <c r="U167" s="550"/>
      <c r="V167" s="1168"/>
      <c r="W167" s="1168"/>
      <c r="X167" s="1168"/>
      <c r="Y167" s="1168"/>
      <c r="Z167" s="1168"/>
      <c r="AA167" s="1672"/>
      <c r="AB167" s="572"/>
      <c r="AC167" s="572"/>
      <c r="AD167" s="572"/>
      <c r="AE167" s="572"/>
    </row>
    <row s="12366" customFormat="1" customHeight="1" ht="11.25">
      <c r="A168" s="994"/>
      <c r="B168" s="1676"/>
      <c r="C168" s="1676"/>
      <c r="D168" s="347"/>
      <c r="K168" s="1168"/>
      <c r="L168" s="1676"/>
      <c r="M168" s="1676"/>
      <c r="N168" s="1168"/>
      <c r="O168" s="1168"/>
      <c r="P168" s="1168"/>
      <c r="Q168" s="1168"/>
      <c r="R168" s="1676"/>
      <c r="S168" s="1168"/>
      <c r="T168" s="1168"/>
      <c r="U168" s="550"/>
      <c r="V168" s="1168"/>
      <c r="W168" s="1168"/>
      <c r="X168" s="1168"/>
      <c r="Y168" s="1168"/>
      <c r="Z168" s="1168"/>
      <c r="AA168" s="1672"/>
      <c r="AB168" s="572"/>
      <c r="AC168" s="572"/>
      <c r="AD168" s="572"/>
      <c r="AE168" s="572"/>
    </row>
    <row s="12366" customFormat="1" customHeight="1" ht="11.25">
      <c r="A169" s="994"/>
      <c r="B169" s="1676"/>
      <c r="C169" s="1676"/>
      <c r="D169" s="347"/>
      <c r="K169" s="1168"/>
      <c r="L169" s="1676"/>
      <c r="M169" s="1676"/>
      <c r="N169" s="1168"/>
      <c r="O169" s="1168"/>
      <c r="P169" s="1168"/>
      <c r="Q169" s="1168"/>
      <c r="R169" s="1676"/>
      <c r="S169" s="1168"/>
      <c r="T169" s="1168"/>
      <c r="U169" s="550"/>
      <c r="V169" s="1168"/>
      <c r="W169" s="1168"/>
      <c r="X169" s="1168"/>
      <c r="Y169" s="1168"/>
      <c r="Z169" s="1168"/>
      <c r="AA169" s="1672"/>
      <c r="AB169" s="572"/>
      <c r="AC169" s="572"/>
      <c r="AD169" s="572"/>
      <c r="AE169" s="572"/>
    </row>
    <row s="12366" customFormat="1" customHeight="1" ht="11.25">
      <c r="A170" s="994"/>
      <c r="B170" s="1676"/>
      <c r="C170" s="1676"/>
      <c r="D170" s="347"/>
      <c r="K170" s="1168"/>
      <c r="L170" s="1676"/>
      <c r="M170" s="1676"/>
      <c r="N170" s="1168"/>
      <c r="O170" s="1168"/>
      <c r="P170" s="1168"/>
      <c r="Q170" s="1168"/>
      <c r="R170" s="1676"/>
      <c r="S170" s="1168"/>
      <c r="T170" s="1168"/>
      <c r="U170" s="550"/>
      <c r="V170" s="1168"/>
      <c r="W170" s="1168"/>
      <c r="X170" s="1168"/>
      <c r="Y170" s="1168"/>
      <c r="Z170" s="1168"/>
      <c r="AA170" s="1672"/>
      <c r="AB170" s="572"/>
      <c r="AC170" s="572"/>
      <c r="AD170" s="572"/>
      <c r="AE170" s="572"/>
    </row>
    <row s="12366" customFormat="1" customHeight="1" ht="11.25">
      <c r="A171" s="994"/>
      <c r="B171" s="1676"/>
      <c r="C171" s="1676"/>
      <c r="D171" s="347"/>
      <c r="K171" s="1168"/>
      <c r="L171" s="1676"/>
      <c r="M171" s="1676"/>
      <c r="N171" s="1168"/>
      <c r="O171" s="1168"/>
      <c r="P171" s="1168"/>
      <c r="Q171" s="1168"/>
      <c r="R171" s="1676"/>
      <c r="S171" s="1168"/>
      <c r="T171" s="1168"/>
      <c r="U171" s="550"/>
      <c r="V171" s="1168"/>
      <c r="W171" s="1168"/>
      <c r="X171" s="1168"/>
      <c r="Y171" s="1168"/>
      <c r="Z171" s="1168"/>
      <c r="AA171" s="1672"/>
      <c r="AB171" s="572"/>
      <c r="AC171" s="572"/>
      <c r="AD171" s="572"/>
      <c r="AE171" s="572"/>
    </row>
    <row s="12366" customFormat="1" customHeight="1" ht="11.25">
      <c r="A172" s="994"/>
      <c r="B172" s="1676"/>
      <c r="C172" s="1676"/>
      <c r="D172" s="347"/>
      <c r="K172" s="1168"/>
      <c r="L172" s="1676"/>
      <c r="M172" s="1676"/>
      <c r="N172" s="1168"/>
      <c r="O172" s="1168"/>
      <c r="P172" s="1168"/>
      <c r="Q172" s="1168"/>
      <c r="R172" s="1676"/>
      <c r="S172" s="1168"/>
      <c r="T172" s="1168"/>
      <c r="U172" s="550"/>
      <c r="V172" s="1168"/>
      <c r="W172" s="1168"/>
      <c r="X172" s="1168"/>
      <c r="Y172" s="1168"/>
      <c r="Z172" s="1168"/>
      <c r="AA172" s="1672"/>
      <c r="AB172" s="572"/>
      <c r="AC172" s="572"/>
      <c r="AD172" s="572"/>
      <c r="AE172" s="572"/>
    </row>
    <row s="12366" customFormat="1" customHeight="1" ht="11.25">
      <c r="A173" s="994"/>
      <c r="B173" s="1676"/>
      <c r="C173" s="1676"/>
      <c r="D173" s="347"/>
      <c r="K173" s="1168"/>
      <c r="L173" s="1676"/>
      <c r="M173" s="1676"/>
      <c r="N173" s="1168"/>
      <c r="O173" s="1168"/>
      <c r="P173" s="1168"/>
      <c r="Q173" s="1168"/>
      <c r="R173" s="1676"/>
      <c r="S173" s="1168"/>
      <c r="T173" s="1168"/>
      <c r="U173" s="550"/>
      <c r="V173" s="1168"/>
      <c r="W173" s="1168"/>
      <c r="X173" s="1168"/>
      <c r="Y173" s="1168"/>
      <c r="Z173" s="1168"/>
      <c r="AA173" s="1672"/>
      <c r="AB173" s="572"/>
      <c r="AC173" s="572"/>
      <c r="AD173" s="572"/>
      <c r="AE173" s="572"/>
    </row>
    <row s="12366" customFormat="1" customHeight="1" ht="11.25">
      <c r="A174" s="994"/>
      <c r="B174" s="1676"/>
      <c r="C174" s="1676"/>
      <c r="D174" s="347"/>
      <c r="K174" s="1168"/>
      <c r="L174" s="1676"/>
      <c r="M174" s="1676"/>
      <c r="N174" s="1168"/>
      <c r="O174" s="1168"/>
      <c r="P174" s="1168"/>
      <c r="Q174" s="1168"/>
      <c r="R174" s="1676"/>
      <c r="S174" s="1168"/>
      <c r="T174" s="1168"/>
      <c r="U174" s="550"/>
      <c r="V174" s="1168"/>
      <c r="W174" s="1168"/>
      <c r="X174" s="1168"/>
      <c r="Y174" s="1168"/>
      <c r="Z174" s="1168"/>
      <c r="AA174" s="1672"/>
      <c r="AB174" s="572"/>
      <c r="AC174" s="572"/>
      <c r="AD174" s="572"/>
      <c r="AE174" s="572"/>
    </row>
    <row s="12366" customFormat="1" customHeight="1" ht="11.25">
      <c r="A175" s="994"/>
      <c r="B175" s="1676"/>
      <c r="C175" s="1676"/>
      <c r="D175" s="347"/>
      <c r="K175" s="1168"/>
      <c r="L175" s="1676"/>
      <c r="M175" s="1676"/>
      <c r="N175" s="1168"/>
      <c r="O175" s="1168"/>
      <c r="P175" s="1168"/>
      <c r="Q175" s="1168"/>
      <c r="R175" s="1676"/>
      <c r="S175" s="1168"/>
      <c r="T175" s="1168"/>
      <c r="U175" s="550"/>
      <c r="V175" s="1168"/>
      <c r="W175" s="1168"/>
      <c r="X175" s="1168"/>
      <c r="Y175" s="1168"/>
      <c r="Z175" s="1168"/>
      <c r="AA175" s="1672"/>
      <c r="AB175" s="572"/>
      <c r="AC175" s="572"/>
      <c r="AD175" s="572"/>
      <c r="AE175" s="572"/>
    </row>
    <row s="12366" customFormat="1" customHeight="1" ht="11.25">
      <c r="A176" s="994"/>
      <c r="B176" s="1676"/>
      <c r="C176" s="1676"/>
      <c r="D176" s="347"/>
      <c r="K176" s="1168"/>
      <c r="L176" s="1676"/>
      <c r="M176" s="1676"/>
      <c r="N176" s="1168"/>
      <c r="O176" s="1168"/>
      <c r="P176" s="1168"/>
      <c r="Q176" s="1168"/>
      <c r="R176" s="1676"/>
      <c r="S176" s="1168"/>
      <c r="T176" s="1168"/>
      <c r="U176" s="550"/>
      <c r="V176" s="1168"/>
      <c r="W176" s="1168"/>
      <c r="X176" s="1168"/>
      <c r="Y176" s="1168"/>
      <c r="Z176" s="1168"/>
      <c r="AA176" s="1672"/>
      <c r="AB176" s="572"/>
      <c r="AC176" s="572"/>
      <c r="AD176" s="572"/>
      <c r="AE176" s="572"/>
    </row>
    <row s="12366" customFormat="1" customHeight="1" ht="11.25">
      <c r="A177" s="994"/>
      <c r="B177" s="1676"/>
      <c r="C177" s="1676"/>
      <c r="D177" s="347"/>
      <c r="K177" s="1168"/>
      <c r="L177" s="1676"/>
      <c r="M177" s="1676"/>
      <c r="N177" s="1168"/>
      <c r="O177" s="1168"/>
      <c r="P177" s="1168"/>
      <c r="Q177" s="1168"/>
      <c r="R177" s="1676"/>
      <c r="S177" s="1168"/>
      <c r="T177" s="1168"/>
      <c r="U177" s="550"/>
      <c r="V177" s="1168"/>
      <c r="W177" s="1168"/>
      <c r="X177" s="1168"/>
      <c r="Y177" s="1168"/>
      <c r="Z177" s="1168"/>
      <c r="AA177" s="1672"/>
      <c r="AB177" s="572"/>
      <c r="AC177" s="572"/>
      <c r="AD177" s="572"/>
      <c r="AE177" s="572"/>
    </row>
    <row s="12366" customFormat="1" customHeight="1" ht="11.25">
      <c r="A178" s="994"/>
      <c r="B178" s="1676"/>
      <c r="C178" s="1676"/>
      <c r="D178" s="347"/>
      <c r="K178" s="1168"/>
      <c r="L178" s="1676"/>
      <c r="M178" s="1676"/>
      <c r="N178" s="1168"/>
      <c r="O178" s="1168"/>
      <c r="P178" s="1168"/>
      <c r="Q178" s="1168"/>
      <c r="R178" s="1676"/>
      <c r="S178" s="1168"/>
      <c r="T178" s="1168"/>
      <c r="U178" s="550"/>
      <c r="V178" s="1168"/>
      <c r="W178" s="1168"/>
      <c r="X178" s="1168"/>
      <c r="Y178" s="1168"/>
      <c r="Z178" s="1168"/>
      <c r="AA178" s="1672"/>
      <c r="AB178" s="572"/>
      <c r="AC178" s="572"/>
      <c r="AD178" s="572"/>
      <c r="AE178" s="572"/>
    </row>
    <row s="12366" customFormat="1" customHeight="1" ht="11.25">
      <c r="A179" s="994"/>
      <c r="B179" s="1676"/>
      <c r="C179" s="1676"/>
      <c r="D179" s="347"/>
      <c r="K179" s="1168"/>
      <c r="L179" s="1676"/>
      <c r="M179" s="1676"/>
      <c r="N179" s="1168"/>
      <c r="O179" s="1168"/>
      <c r="P179" s="1168"/>
      <c r="Q179" s="1168"/>
      <c r="R179" s="1676"/>
      <c r="S179" s="1168"/>
      <c r="T179" s="1168"/>
      <c r="U179" s="550"/>
      <c r="V179" s="1168"/>
      <c r="W179" s="1168"/>
      <c r="X179" s="1168"/>
      <c r="Y179" s="1168"/>
      <c r="Z179" s="1168"/>
      <c r="AA179" s="1672"/>
      <c r="AB179" s="572"/>
      <c r="AC179" s="572"/>
      <c r="AD179" s="572"/>
      <c r="AE179" s="572"/>
    </row>
    <row s="12366" customFormat="1" customHeight="1" ht="11.25">
      <c r="A180" s="994"/>
      <c r="B180" s="1676"/>
      <c r="C180" s="1676"/>
      <c r="D180" s="347"/>
      <c r="K180" s="1168"/>
      <c r="L180" s="1676"/>
      <c r="M180" s="1676"/>
      <c r="N180" s="1168"/>
      <c r="O180" s="1168"/>
      <c r="P180" s="1168"/>
      <c r="Q180" s="1168"/>
      <c r="R180" s="1676"/>
      <c r="S180" s="1168"/>
      <c r="T180" s="1168"/>
      <c r="U180" s="550"/>
      <c r="V180" s="1168"/>
      <c r="W180" s="1168"/>
      <c r="X180" s="1168"/>
      <c r="Y180" s="1168"/>
      <c r="Z180" s="1168"/>
      <c r="AA180" s="1672"/>
      <c r="AB180" s="572"/>
      <c r="AC180" s="572"/>
      <c r="AD180" s="572"/>
      <c r="AE180" s="572"/>
    </row>
    <row s="12366" customFormat="1" customHeight="1" ht="11.25">
      <c r="A181" s="994"/>
      <c r="B181" s="1676"/>
      <c r="C181" s="1676"/>
      <c r="D181" s="347"/>
      <c r="K181" s="1168"/>
      <c r="L181" s="1676"/>
      <c r="M181" s="1676"/>
      <c r="N181" s="1168"/>
      <c r="O181" s="1168"/>
      <c r="P181" s="1168"/>
      <c r="Q181" s="1168"/>
      <c r="R181" s="1676"/>
      <c r="S181" s="1168"/>
      <c r="T181" s="1168"/>
      <c r="U181" s="550"/>
      <c r="V181" s="1168"/>
      <c r="W181" s="1168"/>
      <c r="X181" s="1168"/>
      <c r="Y181" s="1168"/>
      <c r="Z181" s="1168"/>
      <c r="AA181" s="1672"/>
      <c r="AB181" s="572"/>
      <c r="AC181" s="572"/>
      <c r="AD181" s="572"/>
      <c r="AE181" s="572"/>
    </row>
    <row s="12366" customFormat="1" customHeight="1" ht="11.25">
      <c r="A182" s="994"/>
      <c r="B182" s="1676"/>
      <c r="C182" s="1676"/>
      <c r="D182" s="347"/>
      <c r="K182" s="1168"/>
      <c r="L182" s="1676"/>
      <c r="M182" s="1676"/>
      <c r="N182" s="1168"/>
      <c r="O182" s="1168"/>
      <c r="P182" s="1168"/>
      <c r="Q182" s="1168"/>
      <c r="R182" s="1676"/>
      <c r="S182" s="1168"/>
      <c r="T182" s="1168"/>
      <c r="U182" s="550"/>
      <c r="V182" s="1168"/>
      <c r="W182" s="1168"/>
      <c r="X182" s="1168"/>
      <c r="Y182" s="1168"/>
      <c r="Z182" s="1168"/>
      <c r="AA182" s="1672"/>
      <c r="AB182" s="572"/>
      <c r="AC182" s="572"/>
      <c r="AD182" s="572"/>
      <c r="AE182" s="572"/>
    </row>
    <row s="12366" customFormat="1" customHeight="1" ht="11.25">
      <c r="A183" s="994"/>
      <c r="B183" s="1676"/>
      <c r="C183" s="1676"/>
      <c r="D183" s="347"/>
      <c r="K183" s="1168"/>
      <c r="L183" s="1676"/>
      <c r="M183" s="1676"/>
      <c r="N183" s="1168"/>
      <c r="O183" s="1168"/>
      <c r="P183" s="1168"/>
      <c r="Q183" s="1168"/>
      <c r="R183" s="1676"/>
      <c r="S183" s="1168"/>
      <c r="T183" s="1168"/>
      <c r="U183" s="550"/>
      <c r="V183" s="1168"/>
      <c r="W183" s="1168"/>
      <c r="X183" s="1168"/>
      <c r="Y183" s="1168"/>
      <c r="Z183" s="1168"/>
      <c r="AA183" s="1672"/>
      <c r="AB183" s="572"/>
      <c r="AC183" s="572"/>
      <c r="AD183" s="572"/>
      <c r="AE183" s="572"/>
    </row>
    <row s="12366" customFormat="1" customHeight="1" ht="11.25">
      <c r="A184" s="994"/>
      <c r="B184" s="1676"/>
      <c r="C184" s="1676"/>
      <c r="D184" s="347"/>
      <c r="K184" s="1168"/>
      <c r="L184" s="1676"/>
      <c r="M184" s="1676"/>
      <c r="N184" s="1168"/>
      <c r="O184" s="1168"/>
      <c r="P184" s="1168"/>
      <c r="Q184" s="1168"/>
      <c r="R184" s="1676"/>
      <c r="S184" s="1168"/>
      <c r="T184" s="1168"/>
      <c r="U184" s="550"/>
      <c r="V184" s="1168"/>
      <c r="W184" s="1168"/>
      <c r="X184" s="1168"/>
      <c r="Y184" s="1168"/>
      <c r="Z184" s="1168"/>
      <c r="AA184" s="1672"/>
      <c r="AB184" s="572"/>
      <c r="AC184" s="572"/>
      <c r="AD184" s="572"/>
      <c r="AE184" s="572"/>
    </row>
    <row s="12366" customFormat="1" customHeight="1" ht="11.25">
      <c r="A185" s="994"/>
      <c r="B185" s="1676"/>
      <c r="C185" s="1676"/>
      <c r="D185" s="347"/>
      <c r="K185" s="1168"/>
      <c r="L185" s="1676"/>
      <c r="M185" s="1676"/>
      <c r="N185" s="1168"/>
      <c r="O185" s="1168"/>
      <c r="P185" s="1168"/>
      <c r="Q185" s="1168"/>
      <c r="R185" s="1676"/>
      <c r="S185" s="1168"/>
      <c r="T185" s="1168"/>
      <c r="U185" s="550"/>
      <c r="V185" s="1168"/>
      <c r="W185" s="1168"/>
      <c r="X185" s="1168"/>
      <c r="Y185" s="1168"/>
      <c r="Z185" s="1168"/>
      <c r="AA185" s="1672"/>
      <c r="AB185" s="572"/>
      <c r="AC185" s="572"/>
      <c r="AD185" s="572"/>
      <c r="AE185" s="572"/>
    </row>
    <row s="12366" customFormat="1" customHeight="1" ht="11.25">
      <c r="A186" s="994"/>
      <c r="B186" s="1676"/>
      <c r="C186" s="1676"/>
      <c r="D186" s="347"/>
      <c r="K186" s="1168"/>
      <c r="L186" s="1676"/>
      <c r="M186" s="1676"/>
      <c r="N186" s="1168"/>
      <c r="O186" s="1168"/>
      <c r="P186" s="1168"/>
      <c r="Q186" s="1168"/>
      <c r="R186" s="1676"/>
      <c r="S186" s="1168"/>
      <c r="T186" s="1168"/>
      <c r="U186" s="550"/>
      <c r="V186" s="1168"/>
      <c r="W186" s="1168"/>
      <c r="X186" s="1168"/>
      <c r="Y186" s="1168"/>
      <c r="Z186" s="1168"/>
      <c r="AA186" s="1672"/>
      <c r="AB186" s="572"/>
      <c r="AC186" s="572"/>
      <c r="AD186" s="572"/>
      <c r="AE186" s="572"/>
    </row>
    <row s="12366" customFormat="1" customHeight="1" ht="11.25">
      <c r="A187" s="994"/>
      <c r="B187" s="1676"/>
      <c r="C187" s="1676"/>
      <c r="D187" s="347"/>
      <c r="K187" s="1168"/>
      <c r="L187" s="1676"/>
      <c r="M187" s="1676"/>
      <c r="N187" s="1168"/>
      <c r="O187" s="1168"/>
      <c r="P187" s="1168"/>
      <c r="Q187" s="1168"/>
      <c r="R187" s="1676"/>
      <c r="S187" s="1168"/>
      <c r="T187" s="1168"/>
      <c r="U187" s="550"/>
      <c r="V187" s="1168"/>
      <c r="W187" s="1168"/>
      <c r="X187" s="1168"/>
      <c r="Y187" s="1168"/>
      <c r="Z187" s="1168"/>
      <c r="AA187" s="1672"/>
      <c r="AB187" s="572"/>
      <c r="AC187" s="572"/>
      <c r="AD187" s="572"/>
      <c r="AE187" s="572"/>
    </row>
    <row s="12366" customFormat="1" customHeight="1" ht="11.25">
      <c r="A188" s="994"/>
      <c r="B188" s="1676"/>
      <c r="C188" s="1676"/>
      <c r="D188" s="347"/>
      <c r="K188" s="1168"/>
      <c r="L188" s="1676"/>
      <c r="M188" s="1676"/>
      <c r="N188" s="1168"/>
      <c r="O188" s="1168"/>
      <c r="P188" s="1168"/>
      <c r="Q188" s="1168"/>
      <c r="R188" s="1676"/>
      <c r="S188" s="1168"/>
      <c r="T188" s="1168"/>
      <c r="U188" s="550"/>
      <c r="V188" s="1168"/>
      <c r="W188" s="1168"/>
      <c r="X188" s="1168"/>
      <c r="Y188" s="1168"/>
      <c r="Z188" s="1168"/>
      <c r="AA188" s="1672"/>
      <c r="AB188" s="572"/>
      <c r="AC188" s="572"/>
      <c r="AD188" s="572"/>
      <c r="AE188" s="572"/>
    </row>
    <row s="12366" customFormat="1" customHeight="1" ht="11.25">
      <c r="A189" s="994"/>
      <c r="B189" s="1676"/>
      <c r="C189" s="1676"/>
      <c r="D189" s="347"/>
      <c r="K189" s="1168"/>
      <c r="L189" s="1676"/>
      <c r="M189" s="1676"/>
      <c r="N189" s="1168"/>
      <c r="O189" s="1168"/>
      <c r="P189" s="1168"/>
      <c r="Q189" s="1168"/>
      <c r="R189" s="1676"/>
      <c r="S189" s="1168"/>
      <c r="T189" s="1168"/>
      <c r="U189" s="550"/>
      <c r="V189" s="1168"/>
      <c r="W189" s="1168"/>
      <c r="X189" s="1168"/>
      <c r="Y189" s="1168"/>
      <c r="Z189" s="1168"/>
      <c r="AA189" s="1672"/>
      <c r="AB189" s="572"/>
      <c r="AC189" s="572"/>
      <c r="AD189" s="572"/>
      <c r="AE189" s="572"/>
    </row>
    <row s="12366" customFormat="1" customHeight="1" ht="11.25">
      <c r="A190" s="994"/>
      <c r="B190" s="1676"/>
      <c r="C190" s="1676"/>
      <c r="D190" s="347"/>
      <c r="K190" s="1168"/>
      <c r="L190" s="1676"/>
      <c r="M190" s="1676"/>
      <c r="N190" s="1168"/>
      <c r="O190" s="1168"/>
      <c r="P190" s="1168"/>
      <c r="Q190" s="1168"/>
      <c r="R190" s="1676"/>
      <c r="S190" s="1168"/>
      <c r="T190" s="1168"/>
      <c r="U190" s="550"/>
      <c r="V190" s="1168"/>
      <c r="W190" s="1168"/>
      <c r="X190" s="1168"/>
      <c r="Y190" s="1168"/>
      <c r="Z190" s="1168"/>
      <c r="AA190" s="1672"/>
      <c r="AB190" s="572"/>
      <c r="AC190" s="572"/>
      <c r="AD190" s="572"/>
      <c r="AE190" s="572"/>
    </row>
    <row s="12366" customFormat="1" customHeight="1" ht="11.25">
      <c r="A191" s="994"/>
      <c r="B191" s="1676"/>
      <c r="C191" s="1676"/>
      <c r="D191" s="347"/>
      <c r="K191" s="1168"/>
      <c r="L191" s="1676"/>
      <c r="M191" s="1676"/>
      <c r="N191" s="1168"/>
      <c r="O191" s="1168"/>
      <c r="P191" s="1168"/>
      <c r="Q191" s="1168"/>
      <c r="R191" s="1676"/>
      <c r="S191" s="1168"/>
      <c r="T191" s="1168"/>
      <c r="U191" s="550"/>
      <c r="V191" s="1168"/>
      <c r="W191" s="1168"/>
      <c r="X191" s="1168"/>
      <c r="Y191" s="1168"/>
      <c r="Z191" s="1168"/>
      <c r="AA191" s="1672"/>
      <c r="AB191" s="572"/>
      <c r="AC191" s="572"/>
      <c r="AD191" s="572"/>
      <c r="AE191" s="572"/>
    </row>
    <row s="12366" customFormat="1" customHeight="1" ht="11.25">
      <c r="A192" s="994"/>
      <c r="B192" s="1676"/>
      <c r="C192" s="1676"/>
      <c r="D192" s="347"/>
      <c r="K192" s="1168"/>
      <c r="L192" s="1676"/>
      <c r="M192" s="1676"/>
      <c r="N192" s="1168"/>
      <c r="O192" s="1168"/>
      <c r="P192" s="1168"/>
      <c r="Q192" s="1168"/>
      <c r="R192" s="1676"/>
      <c r="S192" s="1168"/>
      <c r="T192" s="1168"/>
      <c r="U192" s="550"/>
      <c r="V192" s="1168"/>
      <c r="W192" s="1168"/>
      <c r="X192" s="1168"/>
      <c r="Y192" s="1168"/>
      <c r="Z192" s="1168"/>
      <c r="AA192" s="1672"/>
      <c r="AB192" s="572"/>
      <c r="AC192" s="572"/>
      <c r="AD192" s="572"/>
      <c r="AE192" s="572"/>
    </row>
    <row s="12366" customFormat="1" customHeight="1" ht="11.25">
      <c r="A193" s="994"/>
      <c r="B193" s="1676"/>
      <c r="C193" s="1676"/>
      <c r="D193" s="347"/>
      <c r="K193" s="1168"/>
      <c r="L193" s="1676"/>
      <c r="M193" s="1676"/>
      <c r="N193" s="1168"/>
      <c r="O193" s="1168"/>
      <c r="P193" s="1168"/>
      <c r="Q193" s="1168"/>
      <c r="R193" s="1676"/>
      <c r="S193" s="1168"/>
      <c r="T193" s="1168"/>
      <c r="U193" s="550"/>
      <c r="V193" s="1168"/>
      <c r="W193" s="1168"/>
      <c r="X193" s="1168"/>
      <c r="Y193" s="1168"/>
      <c r="Z193" s="1168"/>
      <c r="AA193" s="1672"/>
      <c r="AB193" s="572"/>
      <c r="AC193" s="572"/>
      <c r="AD193" s="572"/>
      <c r="AE193" s="572"/>
    </row>
    <row s="12366" customFormat="1" customHeight="1" ht="11.25">
      <c r="A194" s="994"/>
      <c r="B194" s="1676"/>
      <c r="C194" s="1676"/>
      <c r="D194" s="347"/>
      <c r="K194" s="1168"/>
      <c r="L194" s="1676"/>
      <c r="M194" s="1676"/>
      <c r="N194" s="1168"/>
      <c r="O194" s="1168"/>
      <c r="P194" s="1168"/>
      <c r="Q194" s="1168"/>
      <c r="R194" s="1676"/>
      <c r="S194" s="1168"/>
      <c r="T194" s="1168"/>
      <c r="U194" s="550"/>
      <c r="V194" s="1168"/>
      <c r="W194" s="1168"/>
      <c r="X194" s="1168"/>
      <c r="Y194" s="1168"/>
      <c r="Z194" s="1168"/>
      <c r="AA194" s="1672"/>
      <c r="AB194" s="572"/>
      <c r="AC194" s="572"/>
      <c r="AD194" s="572"/>
      <c r="AE194" s="572"/>
    </row>
    <row s="12366" customFormat="1" customHeight="1" ht="11.25">
      <c r="A195" s="994"/>
      <c r="B195" s="1676"/>
      <c r="C195" s="1676"/>
      <c r="D195" s="347"/>
      <c r="K195" s="1168"/>
      <c r="L195" s="1676"/>
      <c r="M195" s="1676"/>
      <c r="N195" s="1168"/>
      <c r="O195" s="1168"/>
      <c r="P195" s="1168"/>
      <c r="Q195" s="1168"/>
      <c r="R195" s="1676"/>
      <c r="S195" s="1168"/>
      <c r="T195" s="1168"/>
      <c r="U195" s="550"/>
      <c r="V195" s="1168"/>
      <c r="W195" s="1168"/>
      <c r="X195" s="1168"/>
      <c r="Y195" s="1168"/>
      <c r="Z195" s="1168"/>
      <c r="AA195" s="1672"/>
      <c r="AB195" s="572"/>
      <c r="AC195" s="572"/>
      <c r="AD195" s="572"/>
      <c r="AE195" s="572"/>
    </row>
    <row s="12366" customFormat="1" customHeight="1" ht="11.25">
      <c r="A196" s="994"/>
      <c r="B196" s="1676"/>
      <c r="C196" s="1676"/>
      <c r="D196" s="347"/>
      <c r="K196" s="1168"/>
      <c r="L196" s="1676"/>
      <c r="M196" s="1676"/>
      <c r="N196" s="1168"/>
      <c r="O196" s="1168"/>
      <c r="P196" s="1168"/>
      <c r="Q196" s="1168"/>
      <c r="R196" s="1676"/>
      <c r="S196" s="1168"/>
      <c r="T196" s="1168"/>
      <c r="U196" s="550"/>
      <c r="V196" s="1168"/>
      <c r="W196" s="1168"/>
      <c r="X196" s="1168"/>
      <c r="Y196" s="1168"/>
      <c r="Z196" s="1168"/>
      <c r="AA196" s="1672"/>
      <c r="AB196" s="572"/>
      <c r="AC196" s="572"/>
      <c r="AD196" s="572"/>
      <c r="AE196" s="572"/>
    </row>
    <row s="12366" customFormat="1" customHeight="1" ht="11.25">
      <c r="A197" s="994"/>
      <c r="B197" s="1676"/>
      <c r="C197" s="1676"/>
      <c r="D197" s="347"/>
      <c r="K197" s="1168"/>
      <c r="L197" s="1676"/>
      <c r="M197" s="1676"/>
      <c r="N197" s="1168"/>
      <c r="O197" s="1168"/>
      <c r="P197" s="1168"/>
      <c r="Q197" s="1168"/>
      <c r="R197" s="1676"/>
      <c r="S197" s="1168"/>
      <c r="T197" s="1168"/>
      <c r="U197" s="550"/>
      <c r="V197" s="1168"/>
      <c r="W197" s="1168"/>
      <c r="X197" s="1168"/>
      <c r="Y197" s="1168"/>
      <c r="Z197" s="1168"/>
      <c r="AA197" s="1672"/>
      <c r="AB197" s="572"/>
      <c r="AC197" s="572"/>
      <c r="AD197" s="572"/>
      <c r="AE197" s="572"/>
    </row>
    <row s="12366" customFormat="1" customHeight="1" ht="11.25">
      <c r="A198" s="994"/>
      <c r="B198" s="1676"/>
      <c r="C198" s="1676"/>
      <c r="D198" s="347"/>
      <c r="K198" s="1168"/>
      <c r="L198" s="1676"/>
      <c r="M198" s="1676"/>
      <c r="N198" s="1168"/>
      <c r="O198" s="1168"/>
      <c r="P198" s="1168"/>
      <c r="Q198" s="1168"/>
      <c r="R198" s="1676"/>
      <c r="S198" s="1168"/>
      <c r="T198" s="1168"/>
      <c r="U198" s="550"/>
      <c r="V198" s="1168"/>
      <c r="W198" s="1168"/>
      <c r="X198" s="1168"/>
      <c r="Y198" s="1168"/>
      <c r="Z198" s="1168"/>
      <c r="AA198" s="1672"/>
      <c r="AB198" s="572"/>
      <c r="AC198" s="572"/>
      <c r="AD198" s="572"/>
      <c r="AE198" s="572"/>
    </row>
    <row s="12366" customFormat="1" customHeight="1" ht="11.25">
      <c r="A199" s="994"/>
      <c r="B199" s="1676"/>
      <c r="C199" s="1676"/>
      <c r="D199" s="347"/>
      <c r="K199" s="1168"/>
      <c r="L199" s="1676"/>
      <c r="M199" s="1676"/>
      <c r="N199" s="1168"/>
      <c r="O199" s="1168"/>
      <c r="P199" s="1168"/>
      <c r="Q199" s="1168"/>
      <c r="R199" s="1676"/>
      <c r="S199" s="1168"/>
      <c r="T199" s="1168"/>
      <c r="U199" s="550"/>
      <c r="V199" s="1168"/>
      <c r="W199" s="1168"/>
      <c r="X199" s="1168"/>
      <c r="Y199" s="1168"/>
      <c r="Z199" s="1168"/>
      <c r="AA199" s="1672"/>
      <c r="AB199" s="572"/>
      <c r="AC199" s="572"/>
      <c r="AD199" s="572"/>
      <c r="AE199" s="572"/>
    </row>
    <row s="12366" customFormat="1" customHeight="1" ht="11.25">
      <c r="A200" s="994"/>
      <c r="B200" s="1676"/>
      <c r="C200" s="1676"/>
      <c r="D200" s="347"/>
      <c r="K200" s="1168"/>
      <c r="L200" s="1676"/>
      <c r="M200" s="1676"/>
      <c r="N200" s="1168"/>
      <c r="O200" s="1168"/>
      <c r="P200" s="1168"/>
      <c r="Q200" s="1168"/>
      <c r="R200" s="1676"/>
      <c r="S200" s="1168"/>
      <c r="T200" s="1168"/>
      <c r="U200" s="550"/>
      <c r="V200" s="1168"/>
      <c r="W200" s="1168"/>
      <c r="X200" s="1168"/>
      <c r="Y200" s="1168"/>
      <c r="Z200" s="1168"/>
      <c r="AA200" s="1672"/>
      <c r="AB200" s="572"/>
      <c r="AC200" s="572"/>
      <c r="AD200" s="572"/>
      <c r="AE200" s="572"/>
    </row>
    <row s="12366" customFormat="1" customHeight="1" ht="11.25">
      <c r="A201" s="994"/>
      <c r="B201" s="1676"/>
      <c r="C201" s="1676"/>
      <c r="D201" s="347"/>
      <c r="K201" s="1168"/>
      <c r="L201" s="1676"/>
      <c r="M201" s="1676"/>
      <c r="N201" s="1168"/>
      <c r="O201" s="1168"/>
      <c r="P201" s="1168"/>
      <c r="Q201" s="1168"/>
      <c r="R201" s="1676"/>
      <c r="S201" s="1168"/>
      <c r="T201" s="1168"/>
      <c r="U201" s="550"/>
      <c r="V201" s="1168"/>
      <c r="W201" s="1168"/>
      <c r="X201" s="1168"/>
      <c r="Y201" s="1168"/>
      <c r="Z201" s="1168"/>
      <c r="AA201" s="1672"/>
      <c r="AB201" s="572"/>
      <c r="AC201" s="572"/>
      <c r="AD201" s="572"/>
      <c r="AE201" s="572"/>
    </row>
    <row s="12366" customFormat="1" customHeight="1" ht="11.25">
      <c r="A202" s="994"/>
      <c r="B202" s="1676"/>
      <c r="C202" s="1676"/>
      <c r="D202" s="347"/>
      <c r="K202" s="1168"/>
      <c r="L202" s="1676"/>
      <c r="M202" s="1676"/>
      <c r="N202" s="1168"/>
      <c r="O202" s="1168"/>
      <c r="P202" s="1168"/>
      <c r="Q202" s="1168"/>
      <c r="R202" s="1676"/>
      <c r="S202" s="1168"/>
      <c r="T202" s="1168"/>
      <c r="U202" s="550"/>
      <c r="V202" s="1168"/>
      <c r="W202" s="1168"/>
      <c r="X202" s="1168"/>
      <c r="Y202" s="1168"/>
      <c r="Z202" s="1168"/>
      <c r="AA202" s="1672"/>
      <c r="AB202" s="572"/>
      <c r="AC202" s="572"/>
      <c r="AD202" s="572"/>
      <c r="AE202" s="572"/>
    </row>
    <row s="12366" customFormat="1" customHeight="1" ht="11.25">
      <c r="A203" s="994"/>
      <c r="B203" s="1676"/>
      <c r="C203" s="1676"/>
      <c r="D203" s="347"/>
      <c r="K203" s="1168"/>
      <c r="L203" s="1676"/>
      <c r="M203" s="1676"/>
      <c r="N203" s="1168"/>
      <c r="O203" s="1168"/>
      <c r="P203" s="1168"/>
      <c r="Q203" s="1168"/>
      <c r="R203" s="1676"/>
      <c r="S203" s="1168"/>
      <c r="T203" s="1168"/>
      <c r="U203" s="550"/>
      <c r="V203" s="1168"/>
      <c r="W203" s="1168"/>
      <c r="X203" s="1168"/>
      <c r="Y203" s="1168"/>
      <c r="Z203" s="1168"/>
      <c r="AA203" s="1672"/>
      <c r="AB203" s="572"/>
      <c r="AC203" s="572"/>
      <c r="AD203" s="572"/>
      <c r="AE203" s="572"/>
    </row>
    <row s="12366" customFormat="1" customHeight="1" ht="11.25">
      <c r="A204" s="994"/>
      <c r="B204" s="1676"/>
      <c r="C204" s="1676"/>
      <c r="D204" s="347"/>
      <c r="K204" s="1168"/>
      <c r="L204" s="1676"/>
      <c r="M204" s="1676"/>
      <c r="N204" s="1168"/>
      <c r="O204" s="1168"/>
      <c r="P204" s="1168"/>
      <c r="Q204" s="1168"/>
      <c r="R204" s="1676"/>
      <c r="S204" s="1168"/>
      <c r="T204" s="1168"/>
      <c r="U204" s="550"/>
      <c r="V204" s="1168"/>
      <c r="W204" s="1168"/>
      <c r="X204" s="1168"/>
      <c r="Y204" s="1168"/>
      <c r="Z204" s="1168"/>
      <c r="AA204" s="1672"/>
      <c r="AB204" s="572"/>
      <c r="AC204" s="572"/>
      <c r="AD204" s="572"/>
      <c r="AE204" s="572"/>
    </row>
    <row s="12366" customFormat="1" customHeight="1" ht="11.25">
      <c r="A205" s="994"/>
      <c r="B205" s="1676"/>
      <c r="C205" s="1676"/>
      <c r="D205" s="347"/>
      <c r="K205" s="1168"/>
      <c r="L205" s="1676"/>
      <c r="M205" s="1676"/>
      <c r="N205" s="1168"/>
      <c r="O205" s="1168"/>
      <c r="P205" s="1168"/>
      <c r="Q205" s="1168"/>
      <c r="R205" s="1676"/>
      <c r="S205" s="1168"/>
      <c r="T205" s="1168"/>
      <c r="U205" s="550"/>
      <c r="V205" s="1168"/>
      <c r="W205" s="1168"/>
      <c r="X205" s="1168"/>
      <c r="Y205" s="1168"/>
      <c r="Z205" s="1168"/>
      <c r="AA205" s="1672"/>
      <c r="AB205" s="572"/>
      <c r="AC205" s="572"/>
      <c r="AD205" s="572"/>
      <c r="AE205" s="572"/>
    </row>
    <row s="12366" customFormat="1" customHeight="1" ht="11.25">
      <c r="A206" s="994"/>
      <c r="B206" s="1676"/>
      <c r="C206" s="1676"/>
      <c r="D206" s="347"/>
      <c r="K206" s="1168"/>
      <c r="L206" s="1676"/>
      <c r="M206" s="1676"/>
      <c r="N206" s="1168"/>
      <c r="O206" s="1168"/>
      <c r="P206" s="1168"/>
      <c r="Q206" s="1168"/>
      <c r="R206" s="1676"/>
      <c r="S206" s="1168"/>
      <c r="T206" s="1168"/>
      <c r="U206" s="550"/>
      <c r="V206" s="1168"/>
      <c r="W206" s="1168"/>
      <c r="X206" s="1168"/>
      <c r="Y206" s="1168"/>
      <c r="Z206" s="1168"/>
      <c r="AA206" s="1672"/>
      <c r="AB206" s="572"/>
      <c r="AC206" s="572"/>
      <c r="AD206" s="572"/>
      <c r="AE206" s="572"/>
    </row>
    <row s="12366" customFormat="1" customHeight="1" ht="11.25">
      <c r="A207" s="994"/>
      <c r="B207" s="1676"/>
      <c r="C207" s="1676"/>
      <c r="D207" s="347"/>
      <c r="K207" s="1168"/>
      <c r="L207" s="1676"/>
      <c r="M207" s="1676"/>
      <c r="N207" s="1168"/>
      <c r="O207" s="1168"/>
      <c r="P207" s="1168"/>
      <c r="Q207" s="1168"/>
      <c r="R207" s="1676"/>
      <c r="S207" s="1168"/>
      <c r="T207" s="1168"/>
      <c r="U207" s="550"/>
      <c r="V207" s="1168"/>
      <c r="W207" s="1168"/>
      <c r="X207" s="1168"/>
      <c r="Y207" s="1168"/>
      <c r="Z207" s="1168"/>
      <c r="AA207" s="1672"/>
      <c r="AB207" s="572"/>
      <c r="AC207" s="572"/>
      <c r="AD207" s="572"/>
      <c r="AE207" s="572"/>
    </row>
    <row s="12366" customFormat="1" customHeight="1" ht="11.25">
      <c r="A208" s="994"/>
      <c r="B208" s="1676"/>
      <c r="C208" s="1676"/>
      <c r="D208" s="347"/>
      <c r="K208" s="1168"/>
      <c r="L208" s="1676"/>
      <c r="M208" s="1676"/>
      <c r="N208" s="1168"/>
      <c r="O208" s="1168"/>
      <c r="P208" s="1168"/>
      <c r="Q208" s="1168"/>
      <c r="R208" s="1676"/>
      <c r="S208" s="1168"/>
      <c r="T208" s="1168"/>
      <c r="U208" s="550"/>
      <c r="V208" s="1168"/>
      <c r="W208" s="1168"/>
      <c r="X208" s="1168"/>
      <c r="Y208" s="1168"/>
      <c r="Z208" s="1168"/>
      <c r="AA208" s="1672"/>
      <c r="AB208" s="572"/>
      <c r="AC208" s="572"/>
      <c r="AD208" s="572"/>
      <c r="AE208" s="572"/>
    </row>
    <row s="12366" customFormat="1" customHeight="1" ht="11.25">
      <c r="A209" s="994"/>
      <c r="B209" s="1676"/>
      <c r="C209" s="1676"/>
      <c r="D209" s="347"/>
      <c r="K209" s="1168"/>
      <c r="L209" s="1676"/>
      <c r="M209" s="1676"/>
      <c r="N209" s="1168"/>
      <c r="O209" s="1168"/>
      <c r="P209" s="1168"/>
      <c r="Q209" s="1168"/>
      <c r="R209" s="1676"/>
      <c r="S209" s="1168"/>
      <c r="T209" s="1168"/>
      <c r="U209" s="550"/>
      <c r="V209" s="1168"/>
      <c r="W209" s="1168"/>
      <c r="X209" s="1168"/>
      <c r="Y209" s="1168"/>
      <c r="Z209" s="1168"/>
      <c r="AA209" s="1672"/>
      <c r="AB209" s="572"/>
      <c r="AC209" s="572"/>
      <c r="AD209" s="572"/>
      <c r="AE209" s="572"/>
    </row>
    <row s="12366" customFormat="1" customHeight="1" ht="11.25">
      <c r="A210" s="994"/>
      <c r="B210" s="1676"/>
      <c r="C210" s="1676"/>
      <c r="D210" s="347"/>
      <c r="K210" s="1168"/>
      <c r="L210" s="1676"/>
      <c r="M210" s="1676"/>
      <c r="N210" s="1168"/>
      <c r="O210" s="1168"/>
      <c r="P210" s="1168"/>
      <c r="Q210" s="1168"/>
      <c r="R210" s="1676"/>
      <c r="S210" s="1168"/>
      <c r="T210" s="1168"/>
      <c r="U210" s="550"/>
      <c r="V210" s="1168"/>
      <c r="W210" s="1168"/>
      <c r="X210" s="1168"/>
      <c r="Y210" s="1168"/>
      <c r="Z210" s="1168"/>
      <c r="AA210" s="1672"/>
      <c r="AB210" s="572"/>
      <c r="AC210" s="572"/>
      <c r="AD210" s="572"/>
      <c r="AE210" s="572"/>
    </row>
    <row s="12366" customFormat="1" customHeight="1" ht="11.25">
      <c r="A211" s="994"/>
      <c r="B211" s="1676"/>
      <c r="C211" s="1676"/>
      <c r="D211" s="347"/>
      <c r="K211" s="1168"/>
      <c r="L211" s="1676"/>
      <c r="M211" s="1676"/>
      <c r="N211" s="1168"/>
      <c r="O211" s="1168"/>
      <c r="P211" s="1168"/>
      <c r="Q211" s="1168"/>
      <c r="R211" s="1676"/>
      <c r="S211" s="1168"/>
      <c r="T211" s="1168"/>
      <c r="U211" s="550"/>
      <c r="V211" s="1168"/>
      <c r="W211" s="1168"/>
      <c r="X211" s="1168"/>
      <c r="Y211" s="1168"/>
      <c r="Z211" s="1168"/>
      <c r="AA211" s="1672"/>
      <c r="AB211" s="572"/>
      <c r="AC211" s="572"/>
      <c r="AD211" s="572"/>
      <c r="AE211" s="572"/>
    </row>
    <row s="12366" customFormat="1" customHeight="1" ht="11.25">
      <c r="A212" s="994"/>
      <c r="B212" s="1676"/>
      <c r="C212" s="1676"/>
      <c r="D212" s="347"/>
      <c r="K212" s="1168"/>
      <c r="L212" s="1676"/>
      <c r="M212" s="1676"/>
      <c r="N212" s="1168"/>
      <c r="O212" s="1168"/>
      <c r="P212" s="1168"/>
      <c r="Q212" s="1168"/>
      <c r="R212" s="1676"/>
      <c r="S212" s="1168"/>
      <c r="T212" s="1168"/>
      <c r="U212" s="550"/>
      <c r="V212" s="1168"/>
      <c r="W212" s="1168"/>
      <c r="X212" s="1168"/>
      <c r="Y212" s="1168"/>
      <c r="Z212" s="1168"/>
      <c r="AA212" s="1672"/>
      <c r="AB212" s="572"/>
      <c r="AC212" s="572"/>
      <c r="AD212" s="572"/>
      <c r="AE212" s="572"/>
    </row>
    <row s="12366" customFormat="1" customHeight="1" ht="11.25">
      <c r="A213" s="994"/>
      <c r="B213" s="1676"/>
      <c r="C213" s="1676"/>
      <c r="D213" s="347"/>
      <c r="K213" s="1168"/>
      <c r="L213" s="1676"/>
      <c r="M213" s="1676"/>
      <c r="N213" s="1168"/>
      <c r="O213" s="1168"/>
      <c r="P213" s="1168"/>
      <c r="Q213" s="1168"/>
      <c r="R213" s="1676"/>
      <c r="S213" s="1168"/>
      <c r="T213" s="1168"/>
      <c r="U213" s="550"/>
      <c r="V213" s="1168"/>
      <c r="W213" s="1168"/>
      <c r="X213" s="1168"/>
      <c r="Y213" s="1168"/>
      <c r="Z213" s="1168"/>
      <c r="AA213" s="1672"/>
      <c r="AB213" s="572"/>
      <c r="AC213" s="572"/>
      <c r="AD213" s="572"/>
      <c r="AE213" s="572"/>
    </row>
    <row s="12366" customFormat="1" customHeight="1" ht="11.25">
      <c r="A214" s="994"/>
      <c r="B214" s="1676"/>
      <c r="C214" s="1676"/>
      <c r="D214" s="347"/>
      <c r="K214" s="1168"/>
      <c r="L214" s="1676"/>
      <c r="M214" s="1676"/>
      <c r="N214" s="1168"/>
      <c r="O214" s="1168"/>
      <c r="P214" s="1168"/>
      <c r="Q214" s="1168"/>
      <c r="R214" s="1676"/>
      <c r="S214" s="1168"/>
      <c r="T214" s="1168"/>
      <c r="U214" s="550"/>
      <c r="V214" s="1168"/>
      <c r="W214" s="1168"/>
      <c r="X214" s="1168"/>
      <c r="Y214" s="1168"/>
      <c r="Z214" s="1168"/>
      <c r="AA214" s="1672"/>
      <c r="AB214" s="572"/>
      <c r="AC214" s="572"/>
      <c r="AD214" s="572"/>
      <c r="AE214" s="572"/>
    </row>
    <row s="12366" customFormat="1" customHeight="1" ht="11.25">
      <c r="A215" s="994"/>
      <c r="B215" s="1676"/>
      <c r="C215" s="1676"/>
      <c r="D215" s="347"/>
      <c r="K215" s="1168"/>
      <c r="L215" s="1676"/>
      <c r="M215" s="1676"/>
      <c r="N215" s="1168"/>
      <c r="O215" s="1168"/>
      <c r="P215" s="1168"/>
      <c r="Q215" s="1168"/>
      <c r="R215" s="1676"/>
      <c r="S215" s="1168"/>
      <c r="T215" s="1168"/>
      <c r="U215" s="550"/>
      <c r="V215" s="1168"/>
      <c r="W215" s="1168"/>
      <c r="X215" s="1168"/>
      <c r="Y215" s="1168"/>
      <c r="Z215" s="1168"/>
      <c r="AA215" s="1672"/>
      <c r="AB215" s="572"/>
      <c r="AC215" s="572"/>
      <c r="AD215" s="572"/>
      <c r="AE215" s="572"/>
    </row>
    <row s="12366" customFormat="1" customHeight="1" ht="11.25">
      <c r="A216" s="994"/>
      <c r="B216" s="1676"/>
      <c r="C216" s="1676"/>
      <c r="D216" s="347"/>
      <c r="K216" s="1168"/>
      <c r="L216" s="1676"/>
      <c r="M216" s="1676"/>
      <c r="N216" s="1168"/>
      <c r="O216" s="1168"/>
      <c r="P216" s="1168"/>
      <c r="Q216" s="1168"/>
      <c r="R216" s="1676"/>
      <c r="S216" s="1168"/>
      <c r="T216" s="1168"/>
      <c r="U216" s="550"/>
      <c r="V216" s="1168"/>
      <c r="W216" s="1168"/>
      <c r="X216" s="1168"/>
      <c r="Y216" s="1168"/>
      <c r="Z216" s="1168"/>
      <c r="AA216" s="1672"/>
      <c r="AB216" s="572"/>
      <c r="AC216" s="572"/>
      <c r="AD216" s="572"/>
      <c r="AE216" s="572"/>
    </row>
    <row s="12366" customFormat="1" customHeight="1" ht="11.25">
      <c r="A217" s="994"/>
      <c r="B217" s="1676"/>
      <c r="C217" s="1676"/>
      <c r="D217" s="347"/>
      <c r="K217" s="1168"/>
      <c r="L217" s="1676"/>
      <c r="M217" s="1676"/>
      <c r="N217" s="1168"/>
      <c r="O217" s="1168"/>
      <c r="P217" s="1168"/>
      <c r="Q217" s="1168"/>
      <c r="R217" s="1676"/>
      <c r="S217" s="1168"/>
      <c r="T217" s="1168"/>
      <c r="U217" s="550"/>
      <c r="V217" s="1168"/>
      <c r="W217" s="1168"/>
      <c r="X217" s="1168"/>
      <c r="Y217" s="1168"/>
      <c r="Z217" s="1168"/>
      <c r="AA217" s="1672"/>
      <c r="AB217" s="572"/>
      <c r="AC217" s="572"/>
      <c r="AD217" s="572"/>
      <c r="AE217" s="572"/>
    </row>
    <row s="12366" customFormat="1" customHeight="1" ht="11.25">
      <c r="A218" s="994"/>
      <c r="B218" s="1676"/>
      <c r="C218" s="1676"/>
      <c r="D218" s="347"/>
      <c r="K218" s="1168"/>
      <c r="L218" s="1676"/>
      <c r="M218" s="1676"/>
      <c r="N218" s="1168"/>
      <c r="O218" s="1168"/>
      <c r="P218" s="1168"/>
      <c r="Q218" s="1168"/>
      <c r="R218" s="1676"/>
      <c r="S218" s="1168"/>
      <c r="T218" s="1168"/>
      <c r="U218" s="550"/>
      <c r="V218" s="1168"/>
      <c r="W218" s="1168"/>
      <c r="X218" s="1168"/>
      <c r="Y218" s="1168"/>
      <c r="Z218" s="1168"/>
      <c r="AA218" s="1672"/>
      <c r="AB218" s="572"/>
      <c r="AC218" s="572"/>
      <c r="AD218" s="572"/>
      <c r="AE218" s="572"/>
    </row>
    <row s="12366" customFormat="1" customHeight="1" ht="11.25">
      <c r="A219" s="994"/>
      <c r="B219" s="1676"/>
      <c r="C219" s="1676"/>
      <c r="D219" s="347"/>
      <c r="K219" s="1168"/>
      <c r="L219" s="1676"/>
      <c r="M219" s="1676"/>
      <c r="N219" s="1168"/>
      <c r="O219" s="1168"/>
      <c r="P219" s="1168"/>
      <c r="Q219" s="1168"/>
      <c r="R219" s="1676"/>
      <c r="S219" s="1168"/>
      <c r="T219" s="1168"/>
      <c r="U219" s="550"/>
      <c r="V219" s="1168"/>
      <c r="W219" s="1168"/>
      <c r="X219" s="1168"/>
      <c r="Y219" s="1168"/>
      <c r="Z219" s="1168"/>
      <c r="AA219" s="1672"/>
      <c r="AB219" s="572"/>
      <c r="AC219" s="572"/>
      <c r="AD219" s="572"/>
      <c r="AE219" s="572"/>
    </row>
    <row s="12366" customFormat="1" customHeight="1" ht="11.25">
      <c r="A220" s="994"/>
      <c r="B220" s="1676"/>
      <c r="C220" s="1676"/>
      <c r="D220" s="347"/>
      <c r="K220" s="1168"/>
      <c r="L220" s="1676"/>
      <c r="M220" s="1676"/>
      <c r="N220" s="1168"/>
      <c r="O220" s="1168"/>
      <c r="P220" s="1168"/>
      <c r="Q220" s="1168"/>
      <c r="R220" s="1676"/>
      <c r="S220" s="1168"/>
      <c r="T220" s="1168"/>
      <c r="U220" s="550"/>
      <c r="V220" s="1168"/>
      <c r="W220" s="1168"/>
      <c r="X220" s="1168"/>
      <c r="Y220" s="1168"/>
      <c r="Z220" s="1168"/>
      <c r="AA220" s="1672"/>
      <c r="AB220" s="572"/>
      <c r="AC220" s="572"/>
      <c r="AD220" s="572"/>
      <c r="AE220" s="572"/>
    </row>
    <row s="12366" customFormat="1" customHeight="1" ht="11.25">
      <c r="A221" s="994"/>
      <c r="B221" s="1676"/>
      <c r="C221" s="1676"/>
      <c r="D221" s="347"/>
      <c r="K221" s="1168"/>
      <c r="L221" s="1676"/>
      <c r="M221" s="1676"/>
      <c r="N221" s="1168"/>
      <c r="O221" s="1168"/>
      <c r="P221" s="1168"/>
      <c r="Q221" s="1168"/>
      <c r="R221" s="1676"/>
      <c r="S221" s="1168"/>
      <c r="T221" s="1168"/>
      <c r="U221" s="550"/>
      <c r="V221" s="1168"/>
      <c r="W221" s="1168"/>
      <c r="X221" s="1168"/>
      <c r="Y221" s="1168"/>
      <c r="Z221" s="1168"/>
      <c r="AA221" s="1672"/>
      <c r="AB221" s="572"/>
      <c r="AC221" s="572"/>
      <c r="AD221" s="572"/>
      <c r="AE221" s="572"/>
    </row>
    <row s="12366" customFormat="1" customHeight="1" ht="11.25">
      <c r="A222" s="994"/>
      <c r="B222" s="1676"/>
      <c r="C222" s="1676"/>
      <c r="D222" s="347"/>
      <c r="K222" s="1168"/>
      <c r="L222" s="1676"/>
      <c r="M222" s="1676"/>
      <c r="N222" s="1168"/>
      <c r="O222" s="1168"/>
      <c r="P222" s="1168"/>
      <c r="Q222" s="1168"/>
      <c r="R222" s="1676"/>
      <c r="S222" s="1168"/>
      <c r="T222" s="1168"/>
      <c r="U222" s="550"/>
      <c r="V222" s="1168"/>
      <c r="W222" s="1168"/>
      <c r="X222" s="1168"/>
      <c r="Y222" s="1168"/>
      <c r="Z222" s="1168"/>
      <c r="AA222" s="1672"/>
      <c r="AB222" s="572"/>
      <c r="AC222" s="572"/>
      <c r="AD222" s="572"/>
      <c r="AE222" s="572"/>
    </row>
    <row s="12366" customFormat="1" customHeight="1" ht="11.25">
      <c r="A223" s="994"/>
      <c r="B223" s="1676"/>
      <c r="C223" s="1676"/>
      <c r="D223" s="347"/>
      <c r="K223" s="1168"/>
      <c r="L223" s="1676"/>
      <c r="M223" s="1676"/>
      <c r="N223" s="1168"/>
      <c r="O223" s="1168"/>
      <c r="P223" s="1168"/>
      <c r="Q223" s="1168"/>
      <c r="R223" s="1676"/>
      <c r="S223" s="1168"/>
      <c r="T223" s="1168"/>
      <c r="U223" s="550"/>
      <c r="V223" s="1168"/>
      <c r="W223" s="1168"/>
      <c r="X223" s="1168"/>
      <c r="Y223" s="1168"/>
      <c r="Z223" s="1168"/>
      <c r="AA223" s="1672"/>
      <c r="AB223" s="572"/>
      <c r="AC223" s="572"/>
      <c r="AD223" s="572"/>
      <c r="AE223" s="572"/>
    </row>
    <row s="12366" customFormat="1" customHeight="1" ht="11.25">
      <c r="A224" s="994"/>
      <c r="B224" s="1676"/>
      <c r="C224" s="1676"/>
      <c r="D224" s="347"/>
      <c r="K224" s="1168"/>
      <c r="L224" s="1676"/>
      <c r="M224" s="1676"/>
      <c r="N224" s="1168"/>
      <c r="O224" s="1168"/>
      <c r="P224" s="1168"/>
      <c r="Q224" s="1168"/>
      <c r="R224" s="1676"/>
      <c r="S224" s="1168"/>
      <c r="T224" s="1168"/>
      <c r="U224" s="550"/>
      <c r="V224" s="1168"/>
      <c r="W224" s="1168"/>
      <c r="X224" s="1168"/>
      <c r="Y224" s="1168"/>
      <c r="Z224" s="1168"/>
      <c r="AA224" s="1672"/>
      <c r="AB224" s="572"/>
      <c r="AC224" s="572"/>
      <c r="AD224" s="572"/>
      <c r="AE224" s="572"/>
    </row>
    <row s="12366" customFormat="1" customHeight="1" ht="11.25">
      <c r="A225" s="994"/>
      <c r="B225" s="1676"/>
      <c r="C225" s="1676"/>
      <c r="D225" s="347"/>
      <c r="K225" s="1168"/>
      <c r="L225" s="1676"/>
      <c r="M225" s="1676"/>
      <c r="N225" s="1168"/>
      <c r="O225" s="1168"/>
      <c r="P225" s="1168"/>
      <c r="Q225" s="1168"/>
      <c r="R225" s="1676"/>
      <c r="S225" s="1168"/>
      <c r="T225" s="1168"/>
      <c r="U225" s="550"/>
      <c r="V225" s="1168"/>
      <c r="W225" s="1168"/>
      <c r="X225" s="1168"/>
      <c r="Y225" s="1168"/>
      <c r="Z225" s="1168"/>
      <c r="AA225" s="1672"/>
      <c r="AB225" s="572"/>
      <c r="AC225" s="572"/>
      <c r="AD225" s="572"/>
      <c r="AE225" s="572"/>
    </row>
    <row s="12366" customFormat="1" customHeight="1" ht="11.25">
      <c r="A226" s="994"/>
      <c r="B226" s="1676"/>
      <c r="C226" s="1676"/>
      <c r="D226" s="347"/>
      <c r="K226" s="1168"/>
      <c r="L226" s="1676"/>
      <c r="M226" s="1676"/>
      <c r="N226" s="1168"/>
      <c r="O226" s="1168"/>
      <c r="P226" s="1168"/>
      <c r="Q226" s="1168"/>
      <c r="R226" s="1676"/>
      <c r="S226" s="1168"/>
      <c r="T226" s="1168"/>
      <c r="U226" s="550"/>
      <c r="V226" s="1168"/>
      <c r="W226" s="1168"/>
      <c r="X226" s="1168"/>
      <c r="Y226" s="1168"/>
      <c r="Z226" s="1168"/>
      <c r="AA226" s="1672"/>
      <c r="AB226" s="572"/>
      <c r="AC226" s="572"/>
      <c r="AD226" s="572"/>
      <c r="AE226" s="572"/>
    </row>
    <row s="12366" customFormat="1" customHeight="1" ht="11.25">
      <c r="A227" s="994"/>
      <c r="B227" s="1676"/>
      <c r="C227" s="1676"/>
      <c r="D227" s="347"/>
      <c r="K227" s="1168"/>
      <c r="L227" s="1676"/>
      <c r="M227" s="1676"/>
      <c r="N227" s="1168"/>
      <c r="O227" s="1168"/>
      <c r="P227" s="1168"/>
      <c r="Q227" s="1168"/>
      <c r="R227" s="1676"/>
      <c r="S227" s="1168"/>
      <c r="T227" s="1168"/>
      <c r="U227" s="550"/>
      <c r="V227" s="1168"/>
      <c r="W227" s="1168"/>
      <c r="X227" s="1168"/>
      <c r="Y227" s="1168"/>
      <c r="Z227" s="1168"/>
      <c r="AA227" s="1672"/>
      <c r="AB227" s="572"/>
      <c r="AC227" s="572"/>
      <c r="AD227" s="572"/>
      <c r="AE227" s="572"/>
    </row>
    <row s="12366" customFormat="1" customHeight="1" ht="11.25">
      <c r="A228" s="994"/>
      <c r="B228" s="1676"/>
      <c r="C228" s="1676"/>
      <c r="D228" s="347"/>
      <c r="K228" s="1168"/>
      <c r="L228" s="1676"/>
      <c r="M228" s="1676"/>
      <c r="N228" s="1168"/>
      <c r="O228" s="1168"/>
      <c r="P228" s="1168"/>
      <c r="Q228" s="1168"/>
      <c r="R228" s="1676"/>
      <c r="S228" s="1168"/>
      <c r="T228" s="1168"/>
      <c r="U228" s="550"/>
      <c r="V228" s="1168"/>
      <c r="W228" s="1168"/>
      <c r="X228" s="1168"/>
      <c r="Y228" s="1168"/>
      <c r="Z228" s="1168"/>
      <c r="AA228" s="1672"/>
      <c r="AB228" s="572"/>
      <c r="AC228" s="572"/>
      <c r="AD228" s="572"/>
      <c r="AE228" s="572"/>
    </row>
    <row s="12366" customFormat="1" customHeight="1" ht="11.25">
      <c r="A229" s="994"/>
      <c r="B229" s="1676"/>
      <c r="C229" s="1676"/>
      <c r="D229" s="347"/>
      <c r="K229" s="1168"/>
      <c r="L229" s="1676"/>
      <c r="M229" s="1676"/>
      <c r="N229" s="1168"/>
      <c r="O229" s="1168"/>
      <c r="P229" s="1168"/>
      <c r="Q229" s="1168"/>
      <c r="R229" s="1676"/>
      <c r="S229" s="1168"/>
      <c r="T229" s="1168"/>
      <c r="U229" s="550"/>
      <c r="V229" s="1168"/>
      <c r="W229" s="1168"/>
      <c r="X229" s="1168"/>
      <c r="Y229" s="1168"/>
      <c r="Z229" s="1168"/>
      <c r="AA229" s="1672"/>
      <c r="AB229" s="572"/>
      <c r="AC229" s="572"/>
      <c r="AD229" s="572"/>
      <c r="AE229" s="572"/>
    </row>
    <row s="12366" customFormat="1" customHeight="1" ht="11.25">
      <c r="A230" s="994"/>
      <c r="B230" s="1676"/>
      <c r="C230" s="1676"/>
      <c r="D230" s="347"/>
      <c r="K230" s="1168"/>
      <c r="L230" s="1676"/>
      <c r="M230" s="1676"/>
      <c r="N230" s="1168"/>
      <c r="O230" s="1168"/>
      <c r="P230" s="1168"/>
      <c r="Q230" s="1168"/>
      <c r="R230" s="1676"/>
      <c r="S230" s="1168"/>
      <c r="T230" s="1168"/>
      <c r="U230" s="550"/>
      <c r="V230" s="1168"/>
      <c r="W230" s="1168"/>
      <c r="X230" s="1168"/>
      <c r="Y230" s="1168"/>
      <c r="Z230" s="1168"/>
      <c r="AA230" s="1672"/>
      <c r="AB230" s="572"/>
      <c r="AC230" s="572"/>
      <c r="AD230" s="572"/>
      <c r="AE230" s="572"/>
    </row>
    <row s="12366" customFormat="1" customHeight="1" ht="11.25">
      <c r="A231" s="994"/>
      <c r="B231" s="1676"/>
      <c r="C231" s="1676"/>
      <c r="D231" s="347"/>
      <c r="K231" s="1168"/>
      <c r="L231" s="1676"/>
      <c r="M231" s="1676"/>
      <c r="N231" s="1168"/>
      <c r="O231" s="1168"/>
      <c r="P231" s="1168"/>
      <c r="Q231" s="1168"/>
      <c r="R231" s="1676"/>
      <c r="S231" s="1168"/>
      <c r="T231" s="1168"/>
      <c r="U231" s="550"/>
      <c r="V231" s="1168"/>
      <c r="W231" s="1168"/>
      <c r="X231" s="1168"/>
      <c r="Y231" s="1168"/>
      <c r="Z231" s="1168"/>
      <c r="AA231" s="1672"/>
      <c r="AB231" s="572"/>
      <c r="AC231" s="572"/>
      <c r="AD231" s="572"/>
      <c r="AE231" s="572"/>
    </row>
    <row s="12366" customFormat="1" customHeight="1" ht="11.25">
      <c r="A232" s="994"/>
      <c r="B232" s="1676"/>
      <c r="C232" s="1676"/>
      <c r="D232" s="347"/>
      <c r="K232" s="1168"/>
      <c r="L232" s="1676"/>
      <c r="M232" s="1676"/>
      <c r="N232" s="1168"/>
      <c r="O232" s="1168"/>
      <c r="P232" s="1168"/>
      <c r="Q232" s="1168"/>
      <c r="R232" s="1676"/>
      <c r="S232" s="1168"/>
      <c r="T232" s="1168"/>
      <c r="U232" s="550"/>
      <c r="V232" s="1168"/>
      <c r="W232" s="1168"/>
      <c r="X232" s="1168"/>
      <c r="Y232" s="1168"/>
      <c r="Z232" s="1168"/>
      <c r="AA232" s="1672"/>
      <c r="AB232" s="572"/>
      <c r="AC232" s="572"/>
      <c r="AD232" s="572"/>
      <c r="AE232" s="572"/>
    </row>
    <row s="12366" customFormat="1" customHeight="1" ht="11.25">
      <c r="A233" s="994"/>
      <c r="B233" s="1676"/>
      <c r="C233" s="1676"/>
      <c r="D233" s="347"/>
      <c r="K233" s="1168"/>
      <c r="L233" s="1676"/>
      <c r="M233" s="1676"/>
      <c r="N233" s="1168"/>
      <c r="O233" s="1168"/>
      <c r="P233" s="1168"/>
      <c r="Q233" s="1168"/>
      <c r="R233" s="1676"/>
      <c r="S233" s="1168"/>
      <c r="T233" s="1168"/>
      <c r="U233" s="550"/>
      <c r="V233" s="1168"/>
      <c r="W233" s="1168"/>
      <c r="X233" s="1168"/>
      <c r="Y233" s="1168"/>
      <c r="Z233" s="1168"/>
      <c r="AA233" s="1672"/>
      <c r="AB233" s="572"/>
      <c r="AC233" s="572"/>
      <c r="AD233" s="572"/>
      <c r="AE233" s="572"/>
    </row>
    <row s="12366" customFormat="1" customHeight="1" ht="11.25">
      <c r="A234" s="994"/>
      <c r="B234" s="1676"/>
      <c r="C234" s="1676"/>
      <c r="D234" s="347"/>
      <c r="K234" s="1168"/>
      <c r="L234" s="1676"/>
      <c r="M234" s="1676"/>
      <c r="N234" s="1168"/>
      <c r="O234" s="1168"/>
      <c r="P234" s="1168"/>
      <c r="Q234" s="1168"/>
      <c r="R234" s="1676"/>
      <c r="S234" s="1168"/>
      <c r="T234" s="1168"/>
      <c r="U234" s="550"/>
      <c r="V234" s="1168"/>
      <c r="W234" s="1168"/>
      <c r="X234" s="1168"/>
      <c r="Y234" s="1168"/>
      <c r="Z234" s="1168"/>
      <c r="AA234" s="1672"/>
      <c r="AB234" s="572"/>
      <c r="AC234" s="572"/>
      <c r="AD234" s="572"/>
      <c r="AE234" s="572"/>
    </row>
    <row s="12366" customFormat="1" customHeight="1" ht="11.25">
      <c r="A235" s="994"/>
      <c r="B235" s="1676"/>
      <c r="C235" s="1676"/>
      <c r="D235" s="347"/>
      <c r="K235" s="1168"/>
      <c r="L235" s="1676"/>
      <c r="M235" s="1676"/>
      <c r="N235" s="1168"/>
      <c r="O235" s="1168"/>
      <c r="P235" s="1168"/>
      <c r="Q235" s="1168"/>
      <c r="R235" s="1676"/>
      <c r="S235" s="1168"/>
      <c r="T235" s="1168"/>
      <c r="U235" s="550"/>
      <c r="V235" s="1168"/>
      <c r="W235" s="1168"/>
      <c r="X235" s="1168"/>
      <c r="Y235" s="1168"/>
      <c r="Z235" s="1168"/>
      <c r="AA235" s="1672"/>
      <c r="AB235" s="572"/>
      <c r="AC235" s="572"/>
      <c r="AD235" s="572"/>
      <c r="AE235" s="572"/>
    </row>
    <row s="12366" customFormat="1" customHeight="1" ht="11.25">
      <c r="A236" s="994"/>
      <c r="B236" s="1676"/>
      <c r="C236" s="1676"/>
      <c r="D236" s="347"/>
      <c r="K236" s="1168"/>
      <c r="L236" s="1676"/>
      <c r="M236" s="1676"/>
      <c r="N236" s="1168"/>
      <c r="O236" s="1168"/>
      <c r="P236" s="1168"/>
      <c r="Q236" s="1168"/>
      <c r="R236" s="1676"/>
      <c r="S236" s="1168"/>
      <c r="T236" s="1168"/>
      <c r="U236" s="550"/>
      <c r="V236" s="1168"/>
      <c r="W236" s="1168"/>
      <c r="X236" s="1168"/>
      <c r="Y236" s="1168"/>
      <c r="Z236" s="1168"/>
      <c r="AA236" s="1672"/>
      <c r="AB236" s="572"/>
      <c r="AC236" s="572"/>
      <c r="AD236" s="572"/>
      <c r="AE236" s="572"/>
    </row>
    <row s="12366" customFormat="1" customHeight="1" ht="11.25">
      <c r="A237" s="994"/>
      <c r="B237" s="1676"/>
      <c r="C237" s="1676"/>
      <c r="D237" s="347"/>
      <c r="K237" s="1168"/>
      <c r="L237" s="1676"/>
      <c r="M237" s="1676"/>
      <c r="N237" s="1168"/>
      <c r="O237" s="1168"/>
      <c r="P237" s="1168"/>
      <c r="Q237" s="1168"/>
      <c r="R237" s="1676"/>
      <c r="S237" s="1168"/>
      <c r="T237" s="1168"/>
      <c r="U237" s="550"/>
      <c r="V237" s="1168"/>
      <c r="W237" s="1168"/>
      <c r="X237" s="1168"/>
      <c r="Y237" s="1168"/>
      <c r="Z237" s="1168"/>
      <c r="AA237" s="1672"/>
      <c r="AB237" s="572"/>
      <c r="AC237" s="572"/>
      <c r="AD237" s="572"/>
      <c r="AE237" s="572"/>
    </row>
    <row s="12366" customFormat="1" customHeight="1" ht="11.25">
      <c r="A238" s="994"/>
      <c r="B238" s="1676"/>
      <c r="C238" s="1676"/>
      <c r="D238" s="347"/>
      <c r="K238" s="1168"/>
      <c r="L238" s="1676"/>
      <c r="M238" s="1676"/>
      <c r="N238" s="1168"/>
      <c r="O238" s="1168"/>
      <c r="P238" s="1168"/>
      <c r="Q238" s="1168"/>
      <c r="R238" s="1676"/>
      <c r="S238" s="1168"/>
      <c r="T238" s="1168"/>
      <c r="U238" s="550"/>
      <c r="V238" s="1168"/>
      <c r="W238" s="1168"/>
      <c r="X238" s="1168"/>
      <c r="Y238" s="1168"/>
      <c r="Z238" s="1168"/>
      <c r="AA238" s="1672"/>
      <c r="AB238" s="572"/>
      <c r="AC238" s="572"/>
      <c r="AD238" s="572"/>
      <c r="AE238" s="572"/>
    </row>
    <row s="12366" customFormat="1" customHeight="1" ht="11.25">
      <c r="A239" s="994"/>
      <c r="B239" s="1676"/>
      <c r="C239" s="1676"/>
      <c r="D239" s="347"/>
      <c r="K239" s="1168"/>
      <c r="L239" s="1676"/>
      <c r="M239" s="1676"/>
      <c r="N239" s="1168"/>
      <c r="O239" s="1168"/>
      <c r="P239" s="1168"/>
      <c r="Q239" s="1168"/>
      <c r="R239" s="1676"/>
      <c r="S239" s="1168"/>
      <c r="T239" s="1168"/>
      <c r="U239" s="550"/>
      <c r="V239" s="1168"/>
      <c r="W239" s="1168"/>
      <c r="X239" s="1168"/>
      <c r="Y239" s="1168"/>
      <c r="Z239" s="1168"/>
      <c r="AA239" s="1672"/>
      <c r="AB239" s="572"/>
      <c r="AC239" s="572"/>
      <c r="AD239" s="572"/>
      <c r="AE239" s="572"/>
    </row>
    <row s="12366" customFormat="1" customHeight="1" ht="11.25">
      <c r="A240" s="994"/>
      <c r="B240" s="1676"/>
      <c r="C240" s="1676"/>
      <c r="D240" s="347"/>
      <c r="K240" s="1168"/>
      <c r="L240" s="1676"/>
      <c r="M240" s="1676"/>
      <c r="N240" s="1168"/>
      <c r="O240" s="1168"/>
      <c r="P240" s="1168"/>
      <c r="Q240" s="1168"/>
      <c r="R240" s="1676"/>
      <c r="S240" s="1168"/>
      <c r="T240" s="1168"/>
      <c r="U240" s="550"/>
      <c r="V240" s="1168"/>
      <c r="W240" s="1168"/>
      <c r="X240" s="1168"/>
      <c r="Y240" s="1168"/>
      <c r="Z240" s="1168"/>
      <c r="AA240" s="1672"/>
      <c r="AB240" s="572"/>
      <c r="AC240" s="572"/>
      <c r="AD240" s="572"/>
      <c r="AE240" s="572"/>
    </row>
    <row s="12366" customFormat="1" customHeight="1" ht="11.25">
      <c r="A241" s="994"/>
      <c r="B241" s="1676"/>
      <c r="C241" s="1676"/>
      <c r="D241" s="347"/>
      <c r="K241" s="1168"/>
      <c r="L241" s="1676"/>
      <c r="M241" s="1676"/>
      <c r="N241" s="1168"/>
      <c r="O241" s="1168"/>
      <c r="P241" s="1168"/>
      <c r="Q241" s="1168"/>
      <c r="R241" s="1676"/>
      <c r="S241" s="1168"/>
      <c r="T241" s="1168"/>
      <c r="U241" s="550"/>
      <c r="V241" s="1168"/>
      <c r="W241" s="1168"/>
      <c r="X241" s="1168"/>
      <c r="Y241" s="1168"/>
      <c r="Z241" s="1168"/>
      <c r="AA241" s="1672"/>
      <c r="AB241" s="572"/>
      <c r="AC241" s="572"/>
      <c r="AD241" s="572"/>
      <c r="AE241" s="572"/>
    </row>
    <row s="12366" customFormat="1" customHeight="1" ht="11.25">
      <c r="A242" s="994"/>
      <c r="B242" s="1676"/>
      <c r="C242" s="1676"/>
      <c r="D242" s="347"/>
      <c r="K242" s="1168"/>
      <c r="L242" s="1676"/>
      <c r="M242" s="1676"/>
      <c r="N242" s="1168"/>
      <c r="O242" s="1168"/>
      <c r="P242" s="1168"/>
      <c r="Q242" s="1168"/>
      <c r="R242" s="1676"/>
      <c r="S242" s="1168"/>
      <c r="T242" s="1168"/>
      <c r="U242" s="550"/>
      <c r="V242" s="1168"/>
      <c r="W242" s="1168"/>
      <c r="X242" s="1168"/>
      <c r="Y242" s="1168"/>
      <c r="Z242" s="1168"/>
      <c r="AA242" s="1672"/>
      <c r="AB242" s="572"/>
      <c r="AC242" s="572"/>
      <c r="AD242" s="572"/>
      <c r="AE242" s="572"/>
    </row>
    <row s="12366" customFormat="1" customHeight="1" ht="11.25">
      <c r="A243" s="994"/>
      <c r="B243" s="1676"/>
      <c r="C243" s="1676"/>
      <c r="D243" s="347"/>
      <c r="K243" s="1168"/>
      <c r="L243" s="1676"/>
      <c r="M243" s="1676"/>
      <c r="N243" s="1168"/>
      <c r="O243" s="1168"/>
      <c r="P243" s="1168"/>
      <c r="Q243" s="1168"/>
      <c r="R243" s="1676"/>
      <c r="S243" s="1168"/>
      <c r="T243" s="1168"/>
      <c r="U243" s="550"/>
      <c r="V243" s="1168"/>
      <c r="W243" s="1168"/>
      <c r="X243" s="1168"/>
      <c r="Y243" s="1168"/>
      <c r="Z243" s="1168"/>
      <c r="AA243" s="1672"/>
      <c r="AB243" s="572"/>
      <c r="AC243" s="572"/>
      <c r="AD243" s="572"/>
      <c r="AE243" s="572"/>
    </row>
    <row s="12366" customFormat="1" customHeight="1" ht="11.25">
      <c r="A244" s="994"/>
      <c r="B244" s="1676"/>
      <c r="C244" s="1676"/>
      <c r="D244" s="347"/>
      <c r="K244" s="1168"/>
      <c r="L244" s="1676"/>
      <c r="M244" s="1676"/>
      <c r="N244" s="1168"/>
      <c r="O244" s="1168"/>
      <c r="P244" s="1168"/>
      <c r="Q244" s="1168"/>
      <c r="R244" s="1676"/>
      <c r="S244" s="1168"/>
      <c r="T244" s="1168"/>
      <c r="U244" s="550"/>
      <c r="V244" s="1168"/>
      <c r="W244" s="1168"/>
      <c r="X244" s="1168"/>
      <c r="Y244" s="1168"/>
      <c r="Z244" s="1168"/>
      <c r="AA244" s="1672"/>
      <c r="AB244" s="572"/>
      <c r="AC244" s="572"/>
      <c r="AD244" s="572"/>
      <c r="AE244" s="572"/>
    </row>
    <row s="12366" customFormat="1" customHeight="1" ht="11.25">
      <c r="A245" s="994"/>
      <c r="B245" s="1676"/>
      <c r="C245" s="1676"/>
      <c r="D245" s="347"/>
      <c r="K245" s="1168"/>
      <c r="L245" s="1676"/>
      <c r="M245" s="1676"/>
      <c r="N245" s="1168"/>
      <c r="O245" s="1168"/>
      <c r="P245" s="1168"/>
      <c r="Q245" s="1168"/>
      <c r="R245" s="1676"/>
      <c r="S245" s="1168"/>
      <c r="T245" s="1168"/>
      <c r="U245" s="550"/>
      <c r="V245" s="1168"/>
      <c r="W245" s="1168"/>
      <c r="X245" s="1168"/>
      <c r="Y245" s="1168"/>
      <c r="Z245" s="1168"/>
      <c r="AA245" s="1672"/>
      <c r="AB245" s="572"/>
      <c r="AC245" s="572"/>
      <c r="AD245" s="572"/>
      <c r="AE245" s="572"/>
    </row>
    <row s="12366" customFormat="1" customHeight="1" ht="11.25">
      <c r="A246" s="994"/>
      <c r="B246" s="1676"/>
      <c r="C246" s="1676"/>
      <c r="D246" s="347"/>
      <c r="K246" s="1168"/>
      <c r="L246" s="1676"/>
      <c r="M246" s="1676"/>
      <c r="N246" s="1168"/>
      <c r="O246" s="1168"/>
      <c r="P246" s="1168"/>
      <c r="Q246" s="1168"/>
      <c r="R246" s="1676"/>
      <c r="S246" s="1168"/>
      <c r="T246" s="1168"/>
      <c r="U246" s="550"/>
      <c r="V246" s="1168"/>
      <c r="W246" s="1168"/>
      <c r="X246" s="1168"/>
      <c r="Y246" s="1168"/>
      <c r="Z246" s="1168"/>
      <c r="AA246" s="1672"/>
      <c r="AB246" s="572"/>
      <c r="AC246" s="572"/>
      <c r="AD246" s="572"/>
      <c r="AE246" s="572"/>
    </row>
    <row s="12366" customFormat="1" customHeight="1" ht="11.25">
      <c r="A247" s="994"/>
      <c r="B247" s="1676"/>
      <c r="C247" s="1676"/>
      <c r="D247" s="347"/>
      <c r="K247" s="1168"/>
      <c r="L247" s="1676"/>
      <c r="M247" s="1676"/>
      <c r="N247" s="1168"/>
      <c r="O247" s="1168"/>
      <c r="P247" s="1168"/>
      <c r="Q247" s="1168"/>
      <c r="R247" s="1676"/>
      <c r="S247" s="1168"/>
      <c r="T247" s="1168"/>
      <c r="U247" s="550"/>
      <c r="V247" s="1168"/>
      <c r="W247" s="1168"/>
      <c r="X247" s="1168"/>
      <c r="Y247" s="1168"/>
      <c r="Z247" s="1168"/>
      <c r="AA247" s="1672"/>
      <c r="AB247" s="572"/>
      <c r="AC247" s="572"/>
      <c r="AD247" s="572"/>
      <c r="AE247" s="572"/>
    </row>
    <row s="12366" customFormat="1" customHeight="1" ht="11.25">
      <c r="A248" s="994"/>
      <c r="B248" s="1676"/>
      <c r="C248" s="1676"/>
      <c r="D248" s="347"/>
      <c r="K248" s="1168"/>
      <c r="L248" s="1676"/>
      <c r="M248" s="1676"/>
      <c r="N248" s="1168"/>
      <c r="O248" s="1168"/>
      <c r="P248" s="1168"/>
      <c r="Q248" s="1168"/>
      <c r="R248" s="1676"/>
      <c r="S248" s="1168"/>
      <c r="T248" s="1168"/>
      <c r="U248" s="550"/>
      <c r="V248" s="1168"/>
      <c r="W248" s="1168"/>
      <c r="X248" s="1168"/>
      <c r="Y248" s="1168"/>
      <c r="Z248" s="1168"/>
      <c r="AA248" s="1672"/>
      <c r="AB248" s="572"/>
      <c r="AC248" s="572"/>
      <c r="AD248" s="572"/>
      <c r="AE248" s="572"/>
    </row>
    <row s="12366" customFormat="1" customHeight="1" ht="11.25">
      <c r="A249" s="994"/>
      <c r="B249" s="1676"/>
      <c r="C249" s="1676"/>
      <c r="D249" s="347"/>
      <c r="K249" s="1168"/>
      <c r="L249" s="1676"/>
      <c r="M249" s="1676"/>
      <c r="N249" s="1168"/>
      <c r="O249" s="1168"/>
      <c r="P249" s="1168"/>
      <c r="Q249" s="1168"/>
      <c r="R249" s="1676"/>
      <c r="S249" s="1168"/>
      <c r="T249" s="1168"/>
      <c r="U249" s="550"/>
      <c r="V249" s="1168"/>
      <c r="W249" s="1168"/>
      <c r="X249" s="1168"/>
      <c r="Y249" s="1168"/>
      <c r="Z249" s="1168"/>
      <c r="AA249" s="1672"/>
      <c r="AB249" s="572"/>
      <c r="AC249" s="572"/>
      <c r="AD249" s="572"/>
      <c r="AE249" s="572"/>
    </row>
    <row s="12366" customFormat="1" customHeight="1" ht="11.25">
      <c r="A250" s="994"/>
      <c r="B250" s="1676"/>
      <c r="C250" s="1676"/>
      <c r="D250" s="347"/>
      <c r="K250" s="1168"/>
      <c r="L250" s="1676"/>
      <c r="M250" s="1676"/>
      <c r="N250" s="1168"/>
      <c r="O250" s="1168"/>
      <c r="P250" s="1168"/>
      <c r="Q250" s="1168"/>
      <c r="R250" s="1676"/>
      <c r="S250" s="1168"/>
      <c r="T250" s="1168"/>
      <c r="U250" s="550"/>
      <c r="V250" s="1168"/>
      <c r="W250" s="1168"/>
      <c r="X250" s="1168"/>
      <c r="Y250" s="1168"/>
      <c r="Z250" s="1168"/>
      <c r="AA250" s="1672"/>
      <c r="AB250" s="572"/>
      <c r="AC250" s="572"/>
      <c r="AD250" s="572"/>
      <c r="AE250" s="572"/>
    </row>
    <row s="12366" customFormat="1" customHeight="1" ht="11.25">
      <c r="A251" s="994"/>
      <c r="B251" s="1676"/>
      <c r="C251" s="1676"/>
      <c r="D251" s="347"/>
      <c r="K251" s="1168"/>
      <c r="L251" s="1676"/>
      <c r="M251" s="1676"/>
      <c r="N251" s="1168"/>
      <c r="O251" s="1168"/>
      <c r="P251" s="1168"/>
      <c r="Q251" s="1168"/>
      <c r="R251" s="1676"/>
      <c r="S251" s="1168"/>
      <c r="T251" s="1168"/>
      <c r="U251" s="550"/>
      <c r="V251" s="1168"/>
      <c r="W251" s="1168"/>
      <c r="X251" s="1168"/>
      <c r="Y251" s="1168"/>
      <c r="Z251" s="1168"/>
      <c r="AA251" s="1672"/>
      <c r="AB251" s="572"/>
      <c r="AC251" s="572"/>
      <c r="AD251" s="572"/>
      <c r="AE251" s="572"/>
    </row>
    <row s="12366" customFormat="1" customHeight="1" ht="11.25">
      <c r="A252" s="994"/>
      <c r="B252" s="1676"/>
      <c r="C252" s="1676"/>
      <c r="D252" s="347"/>
      <c r="K252" s="1168"/>
      <c r="L252" s="1676"/>
      <c r="M252" s="1676"/>
      <c r="N252" s="1168"/>
      <c r="O252" s="1168"/>
      <c r="P252" s="1168"/>
      <c r="Q252" s="1168"/>
      <c r="R252" s="1676"/>
      <c r="S252" s="1168"/>
      <c r="T252" s="1168"/>
      <c r="U252" s="550"/>
      <c r="V252" s="1168"/>
      <c r="W252" s="1168"/>
      <c r="X252" s="1168"/>
      <c r="Y252" s="1168"/>
      <c r="Z252" s="1168"/>
      <c r="AA252" s="1672"/>
      <c r="AB252" s="572"/>
      <c r="AC252" s="572"/>
      <c r="AD252" s="572"/>
      <c r="AE252" s="572"/>
    </row>
    <row s="12366" customFormat="1" customHeight="1" ht="11.25">
      <c r="A253" s="994"/>
      <c r="B253" s="1676"/>
      <c r="C253" s="1676"/>
      <c r="D253" s="347"/>
      <c r="K253" s="1168"/>
      <c r="L253" s="1676"/>
      <c r="M253" s="1676"/>
      <c r="N253" s="1168"/>
      <c r="O253" s="1168"/>
      <c r="P253" s="1168"/>
      <c r="Q253" s="1168"/>
      <c r="R253" s="1676"/>
      <c r="S253" s="1168"/>
      <c r="T253" s="1168"/>
      <c r="U253" s="550"/>
      <c r="V253" s="1168"/>
      <c r="W253" s="1168"/>
      <c r="X253" s="1168"/>
      <c r="Y253" s="1168"/>
      <c r="Z253" s="1168"/>
      <c r="AA253" s="1672"/>
      <c r="AB253" s="572"/>
      <c r="AC253" s="572"/>
      <c r="AD253" s="572"/>
      <c r="AE253" s="572"/>
    </row>
    <row s="12366" customFormat="1" customHeight="1" ht="11.25">
      <c r="A254" s="994"/>
      <c r="B254" s="1676"/>
      <c r="C254" s="1676"/>
      <c r="D254" s="347"/>
      <c r="K254" s="1168"/>
      <c r="L254" s="1676"/>
      <c r="M254" s="1676"/>
      <c r="N254" s="1168"/>
      <c r="O254" s="1168"/>
      <c r="P254" s="1168"/>
      <c r="Q254" s="1168"/>
      <c r="R254" s="1676"/>
      <c r="S254" s="1168"/>
      <c r="T254" s="1168"/>
      <c r="U254" s="550"/>
      <c r="V254" s="1168"/>
      <c r="W254" s="1168"/>
      <c r="X254" s="1168"/>
      <c r="Y254" s="1168"/>
      <c r="Z254" s="1168"/>
      <c r="AA254" s="1672"/>
      <c r="AB254" s="572"/>
      <c r="AC254" s="572"/>
      <c r="AD254" s="572"/>
      <c r="AE254" s="572"/>
    </row>
    <row s="12366" customFormat="1" customHeight="1" ht="11.25">
      <c r="A255" s="994"/>
      <c r="B255" s="1676"/>
      <c r="C255" s="1676"/>
      <c r="D255" s="347"/>
      <c r="K255" s="1168"/>
      <c r="L255" s="1676"/>
      <c r="M255" s="1676"/>
      <c r="N255" s="1168"/>
      <c r="O255" s="1168"/>
      <c r="P255" s="1168"/>
      <c r="Q255" s="1168"/>
      <c r="R255" s="1676"/>
      <c r="S255" s="1168"/>
      <c r="T255" s="1168"/>
      <c r="U255" s="550"/>
      <c r="V255" s="1168"/>
      <c r="W255" s="1168"/>
      <c r="X255" s="1168"/>
      <c r="Y255" s="1168"/>
      <c r="Z255" s="1168"/>
      <c r="AA255" s="1672"/>
      <c r="AB255" s="572"/>
      <c r="AC255" s="572"/>
      <c r="AD255" s="572"/>
      <c r="AE255" s="572"/>
    </row>
    <row s="12366" customFormat="1" customHeight="1" ht="11.25">
      <c r="A256" s="994"/>
      <c r="B256" s="1676"/>
      <c r="C256" s="1676"/>
      <c r="D256" s="347"/>
      <c r="K256" s="1168"/>
      <c r="L256" s="1676"/>
      <c r="M256" s="1676"/>
      <c r="N256" s="1168"/>
      <c r="O256" s="1168"/>
      <c r="P256" s="1168"/>
      <c r="Q256" s="1168"/>
      <c r="R256" s="1676"/>
      <c r="S256" s="1168"/>
      <c r="T256" s="1168"/>
      <c r="U256" s="550"/>
      <c r="V256" s="1168"/>
      <c r="W256" s="1168"/>
      <c r="X256" s="1168"/>
      <c r="Y256" s="1168"/>
      <c r="Z256" s="1168"/>
      <c r="AA256" s="1672"/>
      <c r="AB256" s="572"/>
      <c r="AC256" s="572"/>
      <c r="AD256" s="572"/>
      <c r="AE256" s="572"/>
    </row>
    <row s="12366" customFormat="1" customHeight="1" ht="11.25">
      <c r="A257" s="994"/>
      <c r="B257" s="1676"/>
      <c r="C257" s="1676"/>
      <c r="D257" s="347"/>
      <c r="K257" s="1168"/>
      <c r="L257" s="1676"/>
      <c r="M257" s="1676"/>
      <c r="N257" s="1168"/>
      <c r="O257" s="1168"/>
      <c r="P257" s="1168"/>
      <c r="Q257" s="1168"/>
      <c r="R257" s="1676"/>
      <c r="S257" s="1168"/>
      <c r="T257" s="1168"/>
      <c r="U257" s="550"/>
      <c r="V257" s="1168"/>
      <c r="W257" s="1168"/>
      <c r="X257" s="1168"/>
      <c r="Y257" s="1168"/>
      <c r="Z257" s="1168"/>
      <c r="AA257" s="1672"/>
      <c r="AB257" s="572"/>
      <c r="AC257" s="572"/>
      <c r="AD257" s="572"/>
      <c r="AE257" s="572"/>
    </row>
    <row s="12366" customFormat="1" customHeight="1" ht="11.25">
      <c r="A258" s="994"/>
      <c r="B258" s="1676"/>
      <c r="C258" s="1676"/>
      <c r="D258" s="347"/>
      <c r="K258" s="1168"/>
      <c r="L258" s="1676"/>
      <c r="M258" s="1676"/>
      <c r="N258" s="1168"/>
      <c r="O258" s="1168"/>
      <c r="P258" s="1168"/>
      <c r="Q258" s="1168"/>
      <c r="R258" s="1676"/>
      <c r="S258" s="1168"/>
      <c r="T258" s="1168"/>
      <c r="U258" s="550"/>
      <c r="V258" s="1168"/>
      <c r="W258" s="1168"/>
      <c r="X258" s="1168"/>
      <c r="Y258" s="1168"/>
      <c r="Z258" s="1168"/>
      <c r="AA258" s="1672"/>
      <c r="AB258" s="572"/>
      <c r="AC258" s="572"/>
      <c r="AD258" s="572"/>
      <c r="AE258" s="572"/>
    </row>
    <row s="12366" customFormat="1" customHeight="1" ht="11.25">
      <c r="A259" s="994"/>
      <c r="B259" s="1676"/>
      <c r="C259" s="1676"/>
      <c r="D259" s="347"/>
      <c r="K259" s="1168"/>
      <c r="L259" s="1676"/>
      <c r="M259" s="1676"/>
      <c r="N259" s="1168"/>
      <c r="O259" s="1168"/>
      <c r="P259" s="1168"/>
      <c r="Q259" s="1168"/>
      <c r="R259" s="1676"/>
      <c r="S259" s="1168"/>
      <c r="T259" s="1168"/>
      <c r="U259" s="550"/>
      <c r="V259" s="1168"/>
      <c r="W259" s="1168"/>
      <c r="X259" s="1168"/>
      <c r="Y259" s="1168"/>
      <c r="Z259" s="1168"/>
      <c r="AA259" s="1672"/>
      <c r="AB259" s="572"/>
      <c r="AC259" s="572"/>
      <c r="AD259" s="572"/>
      <c r="AE259" s="572"/>
    </row>
    <row s="12366" customFormat="1" customHeight="1" ht="11.25">
      <c r="A260" s="994"/>
      <c r="B260" s="1676"/>
      <c r="C260" s="1676"/>
      <c r="D260" s="347"/>
      <c r="K260" s="1168"/>
      <c r="L260" s="1676"/>
      <c r="M260" s="1676"/>
      <c r="N260" s="1168"/>
      <c r="O260" s="1168"/>
      <c r="P260" s="1168"/>
      <c r="Q260" s="1168"/>
      <c r="R260" s="1676"/>
      <c r="S260" s="1168"/>
      <c r="T260" s="1168"/>
      <c r="U260" s="550"/>
      <c r="V260" s="1168"/>
      <c r="W260" s="1168"/>
      <c r="X260" s="1168"/>
      <c r="Y260" s="1168"/>
      <c r="Z260" s="1168"/>
      <c r="AA260" s="1672"/>
      <c r="AB260" s="572"/>
      <c r="AC260" s="572"/>
      <c r="AD260" s="572"/>
      <c r="AE260" s="572"/>
    </row>
    <row s="12366" customFormat="1" customHeight="1" ht="11.25">
      <c r="A261" s="994"/>
      <c r="B261" s="1676"/>
      <c r="C261" s="1676"/>
      <c r="D261" s="347"/>
      <c r="K261" s="1168"/>
      <c r="L261" s="1676"/>
      <c r="M261" s="1676"/>
      <c r="N261" s="1168"/>
      <c r="O261" s="1168"/>
      <c r="P261" s="1168"/>
      <c r="Q261" s="1168"/>
      <c r="R261" s="1676"/>
      <c r="S261" s="1168"/>
      <c r="T261" s="1168"/>
      <c r="U261" s="550"/>
      <c r="V261" s="1168"/>
      <c r="W261" s="1168"/>
      <c r="X261" s="1168"/>
      <c r="Y261" s="1168"/>
      <c r="Z261" s="1168"/>
      <c r="AA261" s="1672"/>
      <c r="AB261" s="572"/>
      <c r="AC261" s="572"/>
      <c r="AD261" s="572"/>
      <c r="AE261" s="572"/>
    </row>
    <row s="12366" customFormat="1" customHeight="1" ht="11.25">
      <c r="A262" s="994"/>
      <c r="B262" s="1676"/>
      <c r="C262" s="1676"/>
      <c r="D262" s="347"/>
      <c r="K262" s="1168"/>
      <c r="L262" s="1676"/>
      <c r="M262" s="1676"/>
      <c r="N262" s="1168"/>
      <c r="O262" s="1168"/>
      <c r="P262" s="1168"/>
      <c r="Q262" s="1168"/>
      <c r="R262" s="1676"/>
      <c r="S262" s="1168"/>
      <c r="T262" s="1168"/>
      <c r="U262" s="550"/>
      <c r="V262" s="1168"/>
      <c r="W262" s="1168"/>
      <c r="X262" s="1168"/>
      <c r="Y262" s="1168"/>
      <c r="Z262" s="1168"/>
      <c r="AA262" s="1672"/>
      <c r="AB262" s="572"/>
      <c r="AC262" s="572"/>
      <c r="AD262" s="572"/>
      <c r="AE262" s="572"/>
    </row>
    <row s="12366" customFormat="1" customHeight="1" ht="11.25">
      <c r="A263" s="994"/>
      <c r="B263" s="1676"/>
      <c r="C263" s="1676"/>
      <c r="D263" s="347"/>
      <c r="K263" s="1168"/>
      <c r="L263" s="1676"/>
      <c r="M263" s="1676"/>
      <c r="N263" s="1168"/>
      <c r="O263" s="1168"/>
      <c r="P263" s="1168"/>
      <c r="Q263" s="1168"/>
      <c r="R263" s="1676"/>
      <c r="S263" s="1168"/>
      <c r="T263" s="1168"/>
      <c r="U263" s="550"/>
      <c r="V263" s="1168"/>
      <c r="W263" s="1168"/>
      <c r="X263" s="1168"/>
      <c r="Y263" s="1168"/>
      <c r="Z263" s="1168"/>
      <c r="AA263" s="1672"/>
      <c r="AB263" s="572"/>
      <c r="AC263" s="572"/>
      <c r="AD263" s="572"/>
      <c r="AE263" s="572"/>
    </row>
    <row s="12366" customFormat="1" customHeight="1" ht="11.25">
      <c r="A264" s="994"/>
      <c r="B264" s="1676"/>
      <c r="C264" s="1676"/>
      <c r="D264" s="347"/>
      <c r="K264" s="1168"/>
      <c r="L264" s="1676"/>
      <c r="M264" s="1676"/>
      <c r="N264" s="1168"/>
      <c r="O264" s="1168"/>
      <c r="P264" s="1168"/>
      <c r="Q264" s="1168"/>
      <c r="R264" s="1676"/>
      <c r="S264" s="1168"/>
      <c r="T264" s="1168"/>
      <c r="U264" s="550"/>
      <c r="V264" s="1168"/>
      <c r="W264" s="1168"/>
      <c r="X264" s="1168"/>
      <c r="Y264" s="1168"/>
      <c r="Z264" s="1168"/>
      <c r="AA264" s="1672"/>
      <c r="AB264" s="572"/>
      <c r="AC264" s="572"/>
      <c r="AD264" s="572"/>
      <c r="AE264" s="572"/>
    </row>
    <row s="12366" customFormat="1" customHeight="1" ht="11.25">
      <c r="A265" s="994"/>
      <c r="B265" s="1676"/>
      <c r="C265" s="1676"/>
      <c r="D265" s="347"/>
      <c r="K265" s="1168"/>
      <c r="L265" s="1676"/>
      <c r="M265" s="1676"/>
      <c r="N265" s="1168"/>
      <c r="O265" s="1168"/>
      <c r="P265" s="1168"/>
      <c r="Q265" s="1168"/>
      <c r="R265" s="1676"/>
      <c r="S265" s="1168"/>
      <c r="T265" s="1168"/>
      <c r="U265" s="550"/>
      <c r="V265" s="1168"/>
      <c r="W265" s="1168"/>
      <c r="X265" s="1168"/>
      <c r="Y265" s="1168"/>
      <c r="Z265" s="1168"/>
      <c r="AA265" s="1672"/>
      <c r="AB265" s="572"/>
      <c r="AC265" s="572"/>
      <c r="AD265" s="572"/>
      <c r="AE265" s="572"/>
    </row>
    <row s="12366" customFormat="1" customHeight="1" ht="11.25">
      <c r="A266" s="994"/>
      <c r="B266" s="1676"/>
      <c r="C266" s="1676"/>
      <c r="D266" s="347"/>
      <c r="K266" s="1168"/>
      <c r="L266" s="1676"/>
      <c r="M266" s="1676"/>
      <c r="N266" s="1168"/>
      <c r="O266" s="1168"/>
      <c r="P266" s="1168"/>
      <c r="Q266" s="1168"/>
      <c r="R266" s="1676"/>
      <c r="S266" s="1168"/>
      <c r="T266" s="1168"/>
      <c r="U266" s="550"/>
      <c r="V266" s="1168"/>
      <c r="W266" s="1168"/>
      <c r="X266" s="1168"/>
      <c r="Y266" s="1168"/>
      <c r="Z266" s="1168"/>
      <c r="AA266" s="1672"/>
      <c r="AB266" s="572"/>
      <c r="AC266" s="572"/>
      <c r="AD266" s="572"/>
      <c r="AE266" s="572"/>
    </row>
    <row s="12366" customFormat="1" customHeight="1" ht="11.25">
      <c r="A267" s="994"/>
      <c r="B267" s="1676"/>
      <c r="C267" s="1676"/>
      <c r="D267" s="347"/>
      <c r="K267" s="1168"/>
      <c r="L267" s="1676"/>
      <c r="M267" s="1676"/>
      <c r="N267" s="1168"/>
      <c r="O267" s="1168"/>
      <c r="P267" s="1168"/>
      <c r="Q267" s="1168"/>
      <c r="R267" s="1676"/>
      <c r="S267" s="1168"/>
      <c r="T267" s="1168"/>
      <c r="U267" s="550"/>
      <c r="V267" s="1168"/>
      <c r="W267" s="1168"/>
      <c r="X267" s="1168"/>
      <c r="Y267" s="1168"/>
      <c r="Z267" s="1168"/>
      <c r="AA267" s="1672"/>
      <c r="AB267" s="572"/>
      <c r="AC267" s="572"/>
      <c r="AD267" s="572"/>
      <c r="AE267" s="572"/>
    </row>
    <row s="12366" customFormat="1" customHeight="1" ht="11.25">
      <c r="A268" s="994"/>
      <c r="B268" s="1676"/>
      <c r="C268" s="1676"/>
      <c r="D268" s="347"/>
      <c r="K268" s="1168"/>
      <c r="L268" s="1676"/>
      <c r="M268" s="1676"/>
      <c r="N268" s="1168"/>
      <c r="O268" s="1168"/>
      <c r="P268" s="1168"/>
      <c r="Q268" s="1168"/>
      <c r="R268" s="1676"/>
      <c r="S268" s="1168"/>
      <c r="T268" s="1168"/>
      <c r="U268" s="550"/>
      <c r="V268" s="1168"/>
      <c r="W268" s="1168"/>
      <c r="X268" s="1168"/>
      <c r="Y268" s="1168"/>
      <c r="Z268" s="1168"/>
      <c r="AA268" s="1672"/>
      <c r="AB268" s="572"/>
      <c r="AC268" s="572"/>
      <c r="AD268" s="572"/>
      <c r="AE268" s="572"/>
    </row>
    <row s="12366" customFormat="1" customHeight="1" ht="11.25">
      <c r="A269" s="994"/>
      <c r="B269" s="1676"/>
      <c r="C269" s="1676"/>
      <c r="D269" s="347"/>
      <c r="K269" s="1168"/>
      <c r="L269" s="1676"/>
      <c r="M269" s="1676"/>
      <c r="N269" s="1168"/>
      <c r="O269" s="1168"/>
      <c r="P269" s="1168"/>
      <c r="Q269" s="1168"/>
      <c r="R269" s="1676"/>
      <c r="S269" s="1168"/>
      <c r="T269" s="1168"/>
      <c r="U269" s="550"/>
      <c r="V269" s="1168"/>
      <c r="W269" s="1168"/>
      <c r="X269" s="1168"/>
      <c r="Y269" s="1168"/>
      <c r="Z269" s="1168"/>
      <c r="AA269" s="1672"/>
      <c r="AB269" s="572"/>
      <c r="AC269" s="572"/>
      <c r="AD269" s="572"/>
      <c r="AE269" s="572"/>
    </row>
    <row s="12366" customFormat="1" customHeight="1" ht="11.25">
      <c r="A270" s="994"/>
      <c r="B270" s="1676"/>
      <c r="C270" s="1676"/>
      <c r="D270" s="347"/>
      <c r="K270" s="1168"/>
      <c r="L270" s="1676"/>
      <c r="M270" s="1676"/>
      <c r="N270" s="1168"/>
      <c r="O270" s="1168"/>
      <c r="P270" s="1168"/>
      <c r="Q270" s="1168"/>
      <c r="R270" s="1676"/>
      <c r="S270" s="1168"/>
      <c r="T270" s="1168"/>
      <c r="U270" s="550"/>
      <c r="V270" s="1168"/>
      <c r="W270" s="1168"/>
      <c r="X270" s="1168"/>
      <c r="Y270" s="1168"/>
      <c r="Z270" s="1168"/>
      <c r="AA270" s="1672"/>
      <c r="AB270" s="572"/>
      <c r="AC270" s="572"/>
      <c r="AD270" s="572"/>
      <c r="AE270" s="572"/>
    </row>
    <row s="12366" customFormat="1" customHeight="1" ht="11.25">
      <c r="A271" s="994"/>
      <c r="B271" s="1676"/>
      <c r="C271" s="1676"/>
      <c r="D271" s="347"/>
      <c r="K271" s="1168"/>
      <c r="L271" s="1676"/>
      <c r="M271" s="1676"/>
      <c r="N271" s="1168"/>
      <c r="O271" s="1168"/>
      <c r="P271" s="1168"/>
      <c r="Q271" s="1168"/>
      <c r="R271" s="1676"/>
      <c r="S271" s="1168"/>
      <c r="T271" s="1168"/>
      <c r="U271" s="550"/>
      <c r="V271" s="1168"/>
      <c r="W271" s="1168"/>
      <c r="X271" s="1168"/>
      <c r="Y271" s="1168"/>
      <c r="Z271" s="1168"/>
      <c r="AA271" s="1672"/>
      <c r="AB271" s="572"/>
      <c r="AC271" s="572"/>
      <c r="AD271" s="572"/>
      <c r="AE271" s="572"/>
    </row>
    <row s="12366" customFormat="1" customHeight="1" ht="11.25">
      <c r="A272" s="994"/>
      <c r="B272" s="1676"/>
      <c r="C272" s="1676"/>
      <c r="D272" s="347"/>
      <c r="K272" s="1168"/>
      <c r="L272" s="1676"/>
      <c r="M272" s="1676"/>
      <c r="N272" s="1168"/>
      <c r="O272" s="1168"/>
      <c r="P272" s="1168"/>
      <c r="Q272" s="1168"/>
      <c r="R272" s="1676"/>
      <c r="S272" s="1168"/>
      <c r="T272" s="1168"/>
      <c r="U272" s="550"/>
      <c r="V272" s="1168"/>
      <c r="W272" s="1168"/>
      <c r="X272" s="1168"/>
      <c r="Y272" s="1168"/>
      <c r="Z272" s="1168"/>
      <c r="AA272" s="1672"/>
      <c r="AB272" s="572"/>
      <c r="AC272" s="572"/>
      <c r="AD272" s="572"/>
      <c r="AE272" s="572"/>
    </row>
    <row s="12366" customFormat="1" customHeight="1" ht="11.25">
      <c r="A273" s="994"/>
      <c r="B273" s="1676"/>
      <c r="C273" s="1676"/>
      <c r="D273" s="347"/>
      <c r="K273" s="1168"/>
      <c r="L273" s="1676"/>
      <c r="M273" s="1676"/>
      <c r="N273" s="1168"/>
      <c r="O273" s="1168"/>
      <c r="P273" s="1168"/>
      <c r="Q273" s="1168"/>
      <c r="R273" s="1676"/>
      <c r="S273" s="1168"/>
      <c r="T273" s="1168"/>
      <c r="U273" s="550"/>
      <c r="V273" s="1168"/>
      <c r="W273" s="1168"/>
      <c r="X273" s="1168"/>
      <c r="Y273" s="1168"/>
      <c r="Z273" s="1168"/>
      <c r="AA273" s="1672"/>
      <c r="AB273" s="572"/>
      <c r="AC273" s="572"/>
      <c r="AD273" s="572"/>
      <c r="AE273" s="572"/>
    </row>
    <row s="12366" customFormat="1" customHeight="1" ht="11.25">
      <c r="A274" s="994"/>
      <c r="B274" s="1676"/>
      <c r="C274" s="1676"/>
      <c r="D274" s="347"/>
      <c r="K274" s="1168"/>
      <c r="L274" s="1676"/>
      <c r="M274" s="1676"/>
      <c r="N274" s="1168"/>
      <c r="O274" s="1168"/>
      <c r="P274" s="1168"/>
      <c r="Q274" s="1168"/>
      <c r="R274" s="1676"/>
      <c r="S274" s="1168"/>
      <c r="T274" s="1168"/>
      <c r="U274" s="550"/>
      <c r="V274" s="1168"/>
      <c r="W274" s="1168"/>
      <c r="X274" s="1168"/>
      <c r="Y274" s="1168"/>
      <c r="Z274" s="1168"/>
      <c r="AA274" s="1672"/>
      <c r="AB274" s="572"/>
      <c r="AC274" s="572"/>
      <c r="AD274" s="572"/>
      <c r="AE274" s="572"/>
    </row>
    <row s="12366" customFormat="1" customHeight="1" ht="11.25">
      <c r="A275" s="994"/>
      <c r="B275" s="1676"/>
      <c r="C275" s="1676"/>
      <c r="D275" s="347"/>
      <c r="K275" s="1168"/>
      <c r="L275" s="1676"/>
      <c r="M275" s="1676"/>
      <c r="N275" s="1168"/>
      <c r="O275" s="1168"/>
      <c r="P275" s="1168"/>
      <c r="Q275" s="1168"/>
      <c r="R275" s="1676"/>
      <c r="S275" s="1168"/>
      <c r="T275" s="1168"/>
      <c r="U275" s="550"/>
      <c r="V275" s="1168"/>
      <c r="W275" s="1168"/>
      <c r="X275" s="1168"/>
      <c r="Y275" s="1168"/>
      <c r="Z275" s="1168"/>
      <c r="AA275" s="1672"/>
      <c r="AB275" s="572"/>
      <c r="AC275" s="572"/>
      <c r="AD275" s="572"/>
      <c r="AE275" s="572"/>
    </row>
    <row s="12366" customFormat="1" customHeight="1" ht="11.25">
      <c r="A276" s="994"/>
      <c r="B276" s="1676"/>
      <c r="C276" s="1676"/>
      <c r="D276" s="347"/>
      <c r="K276" s="1168"/>
      <c r="L276" s="1676"/>
      <c r="M276" s="1676"/>
      <c r="N276" s="1168"/>
      <c r="O276" s="1168"/>
      <c r="P276" s="1168"/>
      <c r="Q276" s="1168"/>
      <c r="R276" s="1676"/>
      <c r="S276" s="1168"/>
      <c r="T276" s="1168"/>
      <c r="U276" s="550"/>
      <c r="V276" s="1168"/>
      <c r="W276" s="1168"/>
      <c r="X276" s="1168"/>
      <c r="Y276" s="1168"/>
      <c r="Z276" s="1168"/>
      <c r="AA276" s="1672"/>
      <c r="AB276" s="572"/>
      <c r="AC276" s="572"/>
      <c r="AD276" s="572"/>
      <c r="AE276" s="572"/>
    </row>
    <row s="12366" customFormat="1" customHeight="1" ht="11.25">
      <c r="A277" s="994"/>
      <c r="B277" s="1676"/>
      <c r="C277" s="1676"/>
      <c r="D277" s="347"/>
      <c r="K277" s="1168"/>
      <c r="L277" s="1676"/>
      <c r="M277" s="1676"/>
      <c r="N277" s="1168"/>
      <c r="O277" s="1168"/>
      <c r="P277" s="1168"/>
      <c r="Q277" s="1168"/>
      <c r="R277" s="1676"/>
      <c r="S277" s="1168"/>
      <c r="T277" s="1168"/>
      <c r="U277" s="550"/>
      <c r="V277" s="1168"/>
      <c r="W277" s="1168"/>
      <c r="X277" s="1168"/>
      <c r="Y277" s="1168"/>
      <c r="Z277" s="1168"/>
      <c r="AA277" s="1672"/>
      <c r="AB277" s="572"/>
      <c r="AC277" s="572"/>
      <c r="AD277" s="572"/>
      <c r="AE277" s="572"/>
    </row>
    <row s="12366" customFormat="1" customHeight="1" ht="11.25">
      <c r="A278" s="994"/>
      <c r="B278" s="1676"/>
      <c r="C278" s="1676"/>
      <c r="D278" s="347"/>
      <c r="K278" s="1168"/>
      <c r="L278" s="1676"/>
      <c r="M278" s="1676"/>
      <c r="N278" s="1168"/>
      <c r="O278" s="1168"/>
      <c r="P278" s="1168"/>
      <c r="Q278" s="1168"/>
      <c r="R278" s="1676"/>
      <c r="S278" s="1168"/>
      <c r="T278" s="1168"/>
      <c r="U278" s="550"/>
      <c r="V278" s="1168"/>
      <c r="W278" s="1168"/>
      <c r="X278" s="1168"/>
      <c r="Y278" s="1168"/>
      <c r="Z278" s="1168"/>
      <c r="AA278" s="1672"/>
      <c r="AB278" s="572"/>
      <c r="AC278" s="572"/>
      <c r="AD278" s="572"/>
      <c r="AE278" s="572"/>
    </row>
    <row s="12366" customFormat="1" customHeight="1" ht="11.25">
      <c r="A279" s="994"/>
      <c r="B279" s="1676"/>
      <c r="C279" s="1676"/>
      <c r="D279" s="347"/>
      <c r="K279" s="1168"/>
      <c r="L279" s="1676"/>
      <c r="M279" s="1676"/>
      <c r="N279" s="1168"/>
      <c r="O279" s="1168"/>
      <c r="P279" s="1168"/>
      <c r="Q279" s="1168"/>
      <c r="R279" s="1676"/>
      <c r="S279" s="1168"/>
      <c r="T279" s="1168"/>
      <c r="U279" s="550"/>
      <c r="V279" s="1168"/>
      <c r="W279" s="1168"/>
      <c r="X279" s="1168"/>
      <c r="Y279" s="1168"/>
      <c r="Z279" s="1168"/>
      <c r="AA279" s="1672"/>
      <c r="AB279" s="572"/>
      <c r="AC279" s="572"/>
      <c r="AD279" s="572"/>
      <c r="AE279" s="572"/>
    </row>
    <row s="12366" customFormat="1" customHeight="1" ht="11.25">
      <c r="A280" s="994"/>
      <c r="B280" s="1676"/>
      <c r="C280" s="1676"/>
      <c r="D280" s="347"/>
      <c r="K280" s="1168"/>
      <c r="L280" s="1676"/>
      <c r="M280" s="1676"/>
      <c r="N280" s="1168"/>
      <c r="O280" s="1168"/>
      <c r="P280" s="1168"/>
      <c r="Q280" s="1168"/>
      <c r="R280" s="1676"/>
      <c r="S280" s="1168"/>
      <c r="T280" s="1168"/>
      <c r="U280" s="550"/>
      <c r="V280" s="1168"/>
      <c r="W280" s="1168"/>
      <c r="X280" s="1168"/>
      <c r="Y280" s="1168"/>
      <c r="Z280" s="1168"/>
      <c r="AA280" s="1672"/>
      <c r="AB280" s="572"/>
      <c r="AC280" s="572"/>
      <c r="AD280" s="572"/>
      <c r="AE280" s="572"/>
    </row>
    <row s="12366" customFormat="1" customHeight="1" ht="11.25">
      <c r="A281" s="994"/>
      <c r="B281" s="1676"/>
      <c r="C281" s="1676"/>
      <c r="D281" s="347"/>
      <c r="K281" s="1168"/>
      <c r="L281" s="1676"/>
      <c r="M281" s="1676"/>
      <c r="N281" s="1168"/>
      <c r="O281" s="1168"/>
      <c r="P281" s="1168"/>
      <c r="Q281" s="1168"/>
      <c r="R281" s="1676"/>
      <c r="S281" s="1168"/>
      <c r="T281" s="1168"/>
      <c r="U281" s="550"/>
      <c r="V281" s="1168"/>
      <c r="W281" s="1168"/>
      <c r="X281" s="1168"/>
      <c r="Y281" s="1168"/>
      <c r="Z281" s="1168"/>
      <c r="AA281" s="1672"/>
      <c r="AB281" s="572"/>
      <c r="AC281" s="572"/>
      <c r="AD281" s="572"/>
      <c r="AE281" s="572"/>
    </row>
    <row s="12366" customFormat="1" customHeight="1" ht="11.25">
      <c r="A282" s="994"/>
      <c r="B282" s="1676"/>
      <c r="C282" s="1676"/>
      <c r="D282" s="347"/>
      <c r="K282" s="1168"/>
      <c r="L282" s="1676"/>
      <c r="M282" s="1676"/>
      <c r="N282" s="1168"/>
      <c r="O282" s="1168"/>
      <c r="P282" s="1168"/>
      <c r="Q282" s="1168"/>
      <c r="R282" s="1676"/>
      <c r="S282" s="1168"/>
      <c r="T282" s="1168"/>
      <c r="U282" s="550"/>
      <c r="V282" s="1168"/>
      <c r="W282" s="1168"/>
      <c r="X282" s="1168"/>
      <c r="Y282" s="1168"/>
      <c r="Z282" s="1168"/>
      <c r="AA282" s="1672"/>
      <c r="AB282" s="572"/>
      <c r="AC282" s="572"/>
      <c r="AD282" s="572"/>
      <c r="AE282" s="572"/>
    </row>
    <row s="12366" customFormat="1" customHeight="1" ht="11.25">
      <c r="A283" s="994"/>
      <c r="B283" s="1676"/>
      <c r="C283" s="1676"/>
      <c r="D283" s="347"/>
      <c r="K283" s="1168"/>
      <c r="L283" s="1676"/>
      <c r="M283" s="1676"/>
      <c r="N283" s="1168"/>
      <c r="O283" s="1168"/>
      <c r="P283" s="1168"/>
      <c r="Q283" s="1168"/>
      <c r="R283" s="1676"/>
      <c r="S283" s="1168"/>
      <c r="T283" s="1168"/>
      <c r="U283" s="550"/>
      <c r="V283" s="1168"/>
      <c r="W283" s="1168"/>
      <c r="X283" s="1168"/>
      <c r="Y283" s="1168"/>
      <c r="Z283" s="1168"/>
      <c r="AA283" s="1672"/>
      <c r="AB283" s="572"/>
      <c r="AC283" s="572"/>
      <c r="AD283" s="572"/>
      <c r="AE283" s="572"/>
    </row>
    <row s="12366" customFormat="1" customHeight="1" ht="11.25">
      <c r="A284" s="994"/>
      <c r="B284" s="1676"/>
      <c r="C284" s="1676"/>
      <c r="D284" s="347"/>
      <c r="K284" s="1168"/>
      <c r="L284" s="1676"/>
      <c r="M284" s="1676"/>
      <c r="N284" s="1168"/>
      <c r="O284" s="1168"/>
      <c r="P284" s="1168"/>
      <c r="Q284" s="1168"/>
      <c r="R284" s="1676"/>
      <c r="S284" s="1168"/>
      <c r="T284" s="1168"/>
      <c r="U284" s="550"/>
      <c r="V284" s="1168"/>
      <c r="W284" s="1168"/>
      <c r="X284" s="1168"/>
      <c r="Y284" s="1168"/>
      <c r="Z284" s="1168"/>
      <c r="AA284" s="1672"/>
      <c r="AB284" s="572"/>
      <c r="AC284" s="572"/>
      <c r="AD284" s="572"/>
      <c r="AE284" s="572"/>
    </row>
    <row s="12366" customFormat="1" customHeight="1" ht="11.25">
      <c r="A285" s="994"/>
      <c r="B285" s="1676"/>
      <c r="C285" s="1676"/>
      <c r="D285" s="347"/>
      <c r="K285" s="1168"/>
      <c r="L285" s="1676"/>
      <c r="M285" s="1676"/>
      <c r="N285" s="1168"/>
      <c r="O285" s="1168"/>
      <c r="P285" s="1168"/>
      <c r="Q285" s="1168"/>
      <c r="R285" s="1676"/>
      <c r="S285" s="1168"/>
      <c r="T285" s="1168"/>
      <c r="U285" s="550"/>
      <c r="V285" s="1168"/>
      <c r="W285" s="1168"/>
      <c r="X285" s="1168"/>
      <c r="Y285" s="1168"/>
      <c r="Z285" s="1168"/>
      <c r="AA285" s="1672"/>
      <c r="AB285" s="572"/>
      <c r="AC285" s="572"/>
      <c r="AD285" s="572"/>
      <c r="AE285" s="572"/>
    </row>
    <row s="12366" customFormat="1" customHeight="1" ht="11.25">
      <c r="A286" s="994"/>
      <c r="B286" s="1676"/>
      <c r="C286" s="1676"/>
      <c r="D286" s="347"/>
      <c r="K286" s="1168"/>
      <c r="L286" s="1676"/>
      <c r="M286" s="1676"/>
      <c r="N286" s="1168"/>
      <c r="O286" s="1168"/>
      <c r="P286" s="1168"/>
      <c r="Q286" s="1168"/>
      <c r="R286" s="1676"/>
      <c r="S286" s="1168"/>
      <c r="T286" s="1168"/>
      <c r="U286" s="550"/>
      <c r="V286" s="1168"/>
      <c r="W286" s="1168"/>
      <c r="X286" s="1168"/>
      <c r="Y286" s="1168"/>
      <c r="Z286" s="1168"/>
      <c r="AA286" s="1672"/>
      <c r="AB286" s="572"/>
      <c r="AC286" s="572"/>
      <c r="AD286" s="572"/>
      <c r="AE286" s="572"/>
    </row>
    <row s="12366" customFormat="1" customHeight="1" ht="11.25">
      <c r="A287" s="994"/>
      <c r="B287" s="1676"/>
      <c r="C287" s="1676"/>
      <c r="D287" s="347"/>
      <c r="K287" s="1168"/>
      <c r="L287" s="1676"/>
      <c r="M287" s="1676"/>
      <c r="N287" s="1168"/>
      <c r="O287" s="1168"/>
      <c r="P287" s="1168"/>
      <c r="Q287" s="1168"/>
      <c r="R287" s="1676"/>
      <c r="S287" s="1168"/>
      <c r="T287" s="1168"/>
      <c r="U287" s="550"/>
      <c r="V287" s="1168"/>
      <c r="W287" s="1168"/>
      <c r="X287" s="1168"/>
      <c r="Y287" s="1168"/>
      <c r="Z287" s="1168"/>
      <c r="AA287" s="1672"/>
      <c r="AB287" s="572"/>
      <c r="AC287" s="572"/>
      <c r="AD287" s="572"/>
      <c r="AE287" s="572"/>
    </row>
    <row s="12366" customFormat="1" customHeight="1" ht="11.25">
      <c r="A288" s="994"/>
      <c r="B288" s="1676"/>
      <c r="C288" s="1676"/>
      <c r="D288" s="347"/>
      <c r="K288" s="1168"/>
      <c r="L288" s="1676"/>
      <c r="M288" s="1676"/>
      <c r="N288" s="1168"/>
      <c r="O288" s="1168"/>
      <c r="P288" s="1168"/>
      <c r="Q288" s="1168"/>
      <c r="R288" s="1676"/>
      <c r="S288" s="1168"/>
      <c r="T288" s="1168"/>
      <c r="U288" s="550"/>
      <c r="V288" s="1168"/>
      <c r="W288" s="1168"/>
      <c r="X288" s="1168"/>
      <c r="Y288" s="1168"/>
      <c r="Z288" s="1168"/>
      <c r="AA288" s="1672"/>
      <c r="AB288" s="572"/>
      <c r="AC288" s="572"/>
      <c r="AD288" s="572"/>
      <c r="AE288" s="572"/>
    </row>
    <row r="292" customHeight="1" ht="11.25">
      <c r="A292" s="997"/>
      <c r="B292" s="1671"/>
      <c r="D292" s="1671"/>
      <c r="K292" s="1671"/>
      <c r="N292" s="1671"/>
      <c r="O292" s="1671"/>
      <c r="P292" s="1671"/>
      <c r="Q292" s="1671"/>
      <c r="S292" s="1671"/>
      <c r="T292" s="1671"/>
      <c r="U292" s="1671"/>
      <c r="V292" s="1671"/>
      <c r="W292" s="1671"/>
      <c r="X292" s="1671"/>
      <c r="Y292" s="1671"/>
      <c r="Z292" s="1671"/>
      <c r="AA292" s="1671"/>
      <c r="AB292" s="1671"/>
      <c r="AC292" s="1671"/>
      <c r="AD292" s="1671"/>
      <c r="AE292" s="1671"/>
    </row>
    <row customHeight="1" ht="11.25">
      <c r="A293" s="997"/>
      <c r="B293" s="1671"/>
      <c r="D293" s="1671"/>
      <c r="K293" s="1671"/>
      <c r="N293" s="1671"/>
      <c r="O293" s="1671"/>
      <c r="P293" s="1671"/>
      <c r="Q293" s="1671"/>
      <c r="S293" s="1671"/>
      <c r="T293" s="1671"/>
      <c r="U293" s="1671"/>
      <c r="V293" s="1671"/>
      <c r="W293" s="1671"/>
      <c r="X293" s="1671"/>
      <c r="Y293" s="1671"/>
      <c r="Z293" s="1671"/>
      <c r="AA293" s="1671"/>
      <c r="AB293" s="1671"/>
      <c r="AC293" s="1671"/>
      <c r="AD293" s="1671"/>
      <c r="AE293" s="1671"/>
    </row>
    <row customHeight="1" ht="11.25">
      <c r="A294" s="997"/>
      <c r="B294" s="1671"/>
      <c r="D294" s="1671"/>
      <c r="K294" s="1671"/>
      <c r="N294" s="1671"/>
      <c r="O294" s="1671"/>
      <c r="P294" s="1671"/>
      <c r="Q294" s="1671"/>
      <c r="S294" s="1671"/>
      <c r="T294" s="1671"/>
      <c r="U294" s="1671"/>
      <c r="V294" s="1671"/>
      <c r="W294" s="1671"/>
      <c r="X294" s="1671"/>
      <c r="Y294" s="1671"/>
      <c r="Z294" s="1671"/>
      <c r="AA294" s="1671"/>
      <c r="AB294" s="1671"/>
      <c r="AC294" s="1671"/>
      <c r="AD294" s="1671"/>
      <c r="AE294" s="1671"/>
    </row>
    <row customHeight="1" ht="11.25">
      <c r="A295" s="997"/>
      <c r="B295" s="1671"/>
      <c r="D295" s="1671"/>
      <c r="K295" s="1671"/>
      <c r="N295" s="1671"/>
      <c r="O295" s="1671"/>
      <c r="P295" s="1671"/>
      <c r="Q295" s="1671"/>
      <c r="S295" s="1671"/>
      <c r="T295" s="1671"/>
      <c r="U295" s="1671"/>
      <c r="V295" s="1671"/>
      <c r="W295" s="1671"/>
      <c r="X295" s="1671"/>
      <c r="Y295" s="1671"/>
      <c r="Z295" s="1671"/>
      <c r="AA295" s="1671"/>
      <c r="AB295" s="1671"/>
      <c r="AC295" s="1671"/>
      <c r="AD295" s="1671"/>
      <c r="AE295" s="1671"/>
    </row>
    <row customHeight="1" ht="11.25">
      <c r="A296" s="997"/>
      <c r="B296" s="1671"/>
      <c r="D296" s="1671"/>
      <c r="K296" s="1671"/>
      <c r="N296" s="1671"/>
      <c r="O296" s="1671"/>
      <c r="P296" s="1671"/>
      <c r="Q296" s="1671"/>
      <c r="S296" s="1671"/>
      <c r="T296" s="1671"/>
      <c r="U296" s="1671"/>
      <c r="V296" s="1671"/>
      <c r="W296" s="1671"/>
      <c r="X296" s="1671"/>
      <c r="Y296" s="1671"/>
      <c r="Z296" s="1671"/>
      <c r="AA296" s="1671"/>
      <c r="AB296" s="1671"/>
      <c r="AC296" s="1671"/>
      <c r="AD296" s="1671"/>
      <c r="AE296" s="1671"/>
    </row>
    <row customHeight="1" ht="11.25">
      <c r="A297" s="997"/>
      <c r="B297" s="1671"/>
      <c r="D297" s="1671"/>
      <c r="K297" s="1671"/>
      <c r="N297" s="1671"/>
      <c r="O297" s="1671"/>
      <c r="P297" s="1671"/>
      <c r="Q297" s="1671"/>
      <c r="S297" s="1671"/>
      <c r="T297" s="1671"/>
      <c r="U297" s="1671"/>
      <c r="V297" s="1671"/>
      <c r="W297" s="1671"/>
      <c r="X297" s="1671"/>
      <c r="Y297" s="1671"/>
      <c r="Z297" s="1671"/>
      <c r="AA297" s="1671"/>
      <c r="AB297" s="1671"/>
      <c r="AC297" s="1671"/>
      <c r="AD297" s="1671"/>
      <c r="AE297" s="1671"/>
    </row>
    <row customHeight="1" ht="11.25">
      <c r="A298" s="997"/>
      <c r="B298" s="1671"/>
      <c r="D298" s="1671"/>
      <c r="K298" s="1671"/>
      <c r="N298" s="1671"/>
      <c r="O298" s="1671"/>
      <c r="P298" s="1671"/>
      <c r="Q298" s="1671"/>
      <c r="S298" s="1671"/>
      <c r="T298" s="1671"/>
      <c r="U298" s="1671"/>
      <c r="V298" s="1671"/>
      <c r="W298" s="1671"/>
      <c r="X298" s="1671"/>
      <c r="Y298" s="1671"/>
      <c r="Z298" s="1671"/>
      <c r="AA298" s="1671"/>
      <c r="AB298" s="1671"/>
      <c r="AC298" s="1671"/>
      <c r="AD298" s="1671"/>
      <c r="AE298" s="1671"/>
    </row>
    <row customHeight="1" ht="11.25">
      <c r="A299" s="997"/>
      <c r="B299" s="1671"/>
      <c r="D299" s="1671"/>
      <c r="K299" s="1671"/>
      <c r="N299" s="1671"/>
      <c r="O299" s="1671"/>
      <c r="P299" s="1671"/>
      <c r="Q299" s="1671"/>
      <c r="S299" s="1671"/>
      <c r="T299" s="1671"/>
      <c r="U299" s="1671"/>
      <c r="V299" s="1671"/>
      <c r="W299" s="1671"/>
      <c r="X299" s="1671"/>
      <c r="Y299" s="1671"/>
      <c r="Z299" s="1671"/>
      <c r="AA299" s="1671"/>
      <c r="AB299" s="1671"/>
      <c r="AC299" s="1671"/>
      <c r="AD299" s="1671"/>
      <c r="AE299" s="1671"/>
    </row>
    <row customHeight="1" ht="11.25">
      <c r="A300" s="997"/>
      <c r="B300" s="1671"/>
      <c r="D300" s="1671"/>
      <c r="K300" s="1671"/>
      <c r="N300" s="1671"/>
      <c r="O300" s="1671"/>
      <c r="P300" s="1671"/>
      <c r="Q300" s="1671"/>
      <c r="S300" s="1671"/>
      <c r="T300" s="1671"/>
      <c r="U300" s="1671"/>
      <c r="V300" s="1671"/>
      <c r="W300" s="1671"/>
      <c r="X300" s="1671"/>
      <c r="Y300" s="1671"/>
      <c r="Z300" s="1671"/>
      <c r="AA300" s="1671"/>
      <c r="AB300" s="1671"/>
      <c r="AC300" s="1671"/>
      <c r="AD300" s="1671"/>
      <c r="AE300" s="1671"/>
    </row>
    <row customHeight="1" ht="11.25">
      <c r="A301" s="997"/>
      <c r="B301" s="1671"/>
      <c r="D301" s="1671"/>
      <c r="K301" s="1671"/>
      <c r="N301" s="1671"/>
      <c r="O301" s="1671"/>
      <c r="P301" s="1671"/>
      <c r="Q301" s="1671"/>
      <c r="S301" s="1671"/>
      <c r="T301" s="1671"/>
      <c r="U301" s="1671"/>
      <c r="V301" s="1671"/>
      <c r="W301" s="1671"/>
      <c r="X301" s="1671"/>
      <c r="Y301" s="1671"/>
      <c r="Z301" s="1671"/>
      <c r="AA301" s="1671"/>
      <c r="AB301" s="1671"/>
      <c r="AC301" s="1671"/>
      <c r="AD301" s="1671"/>
      <c r="AE301" s="1671"/>
    </row>
    <row customHeight="1" ht="11.25">
      <c r="A302" s="997"/>
      <c r="B302" s="1671"/>
      <c r="D302" s="1671"/>
      <c r="K302" s="1671"/>
      <c r="N302" s="1671"/>
      <c r="O302" s="1671"/>
      <c r="P302" s="1671"/>
      <c r="Q302" s="1671"/>
      <c r="S302" s="1671"/>
      <c r="T302" s="1671"/>
      <c r="U302" s="1671"/>
      <c r="V302" s="1671"/>
      <c r="W302" s="1671"/>
      <c r="X302" s="1671"/>
      <c r="Y302" s="1671"/>
      <c r="Z302" s="1671"/>
      <c r="AA302" s="1671"/>
      <c r="AB302" s="1671"/>
      <c r="AC302" s="1671"/>
      <c r="AD302" s="1671"/>
      <c r="AE302" s="1671"/>
    </row>
  </sheetData>
  <sheetProtection formatColumns="0" formatRows="0" autoFilter="0" sort="0" insertRows="0" insertColumns="1" deleteRows="0" deleteColumns="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108453-C52A-DBE9-9CE3-EAA1F1166795}" mc:Ignorable="x14ac xr xr2 xr3">
  <sheetPr>
    <tabColor theme="9" tint="-0.25"/>
  </sheetPr>
  <dimension ref="A1:CE28"/>
  <sheetViews>
    <sheetView topLeftCell="A1" showGridLines="0" zoomScale="90" workbookViewId="0">
      <selection activeCell="A1" sqref="A1"/>
    </sheetView>
  </sheetViews>
  <sheetFormatPr defaultColWidth="9.140625" customHeight="1" defaultRowHeight="11.25"/>
  <cols>
    <col min="1" max="1" style="12445" width="14.7109375" hidden="1" customWidth="1"/>
    <col min="2" max="2" style="3193" width="17.00390625" hidden="1" customWidth="1"/>
    <col min="3" max="3" style="3195" width="3.7109375" customWidth="1"/>
    <col min="4" max="4" style="3195" width="1.8515625" hidden="1" customWidth="1"/>
    <col min="5" max="6" style="3195" width="7.7109375" customWidth="1"/>
    <col min="7" max="7" style="3195" width="29.7109375" customWidth="1"/>
    <col min="8" max="8" style="3195" width="3.7109375" customWidth="1"/>
    <col min="9" max="9" style="3195" width="5.421875" customWidth="1"/>
    <col min="10" max="10" style="3195" width="24.57421875" customWidth="1"/>
    <col min="11" max="11" style="3195" width="24.421875" customWidth="1"/>
    <col min="12" max="12" style="3195" width="3.7109375" customWidth="1"/>
    <col min="13" max="13" style="3195" width="6.28125" customWidth="1"/>
    <col min="14" max="14" style="3195" width="25.8515625" customWidth="1"/>
    <col min="15" max="18" style="3195" width="18.7109375" customWidth="1"/>
    <col min="19" max="19" style="3195" width="93.421875" customWidth="1"/>
    <col min="20" max="20" style="3195" width="10.57421875" customWidth="1"/>
    <col min="21" max="21" style="12447" width="10.57421875" customWidth="1"/>
    <col min="22" max="22" style="12447" width="11.7109375" customWidth="1"/>
    <col min="23" max="23" style="12448" width="10.57421875" customWidth="1"/>
    <col min="24" max="27" style="3193" width="10.57421875" customWidth="1"/>
    <col min="28" max="83" style="3195" width="9.140625"/>
  </cols>
  <sheetData>
    <row customHeight="1" ht="11.25" hidden="1"/>
    <row customHeight="1" ht="11.25" hidden="1"/>
    <row customHeight="1" ht="11.25" hidden="1"/>
    <row customHeight="1" ht="3">
      <c r="C4" s="515"/>
      <c r="D4" s="515"/>
      <c r="E4" s="515"/>
      <c r="F4" s="515"/>
      <c r="G4" s="515"/>
      <c r="H4" s="515"/>
      <c r="I4" s="515"/>
      <c r="J4" s="515"/>
      <c r="K4" s="152"/>
      <c r="L4" s="152"/>
      <c r="M4" s="152"/>
    </row>
    <row customHeight="1" ht="28.5">
      <c r="C5" s="515"/>
      <c r="D5" s="1064"/>
      <c r="E5" s="2085" t="str">
        <f>FHD20_NAME_FORM</f>
        <v>Форма 11. Информация о расходах на капитальный и текущий ремонт основных средств</v>
      </c>
      <c r="F5" s="2085"/>
      <c r="G5" s="2085"/>
      <c r="H5" s="2085"/>
      <c r="I5" s="2085"/>
      <c r="J5" s="2085"/>
      <c r="K5" s="2085"/>
      <c r="L5" s="619"/>
      <c r="M5" s="619"/>
    </row>
    <row s="2624" customFormat="1" customHeight="1" ht="16.5">
      <c r="A6" s="616"/>
      <c r="B6" s="765"/>
      <c r="C6" s="515"/>
      <c r="D6" s="1065"/>
      <c r="E6" s="2053" t="str">
        <f>IF(org=0,"Не определено",org)</f>
        <v>АО "Мурманэнергосбыт"</v>
      </c>
      <c r="F6" s="2053"/>
      <c r="G6" s="2053"/>
      <c r="H6" s="2053"/>
      <c r="I6" s="2053"/>
      <c r="J6" s="2053"/>
      <c r="K6" s="2053"/>
      <c r="L6" s="619"/>
      <c r="M6" s="619"/>
      <c r="U6" s="617"/>
      <c r="V6" s="617"/>
      <c r="W6" s="618"/>
      <c r="X6" s="765"/>
      <c r="Y6" s="765"/>
      <c r="Z6" s="765"/>
      <c r="AA6" s="765"/>
    </row>
    <row customHeight="1" ht="11.25">
      <c r="C7" s="515"/>
      <c r="D7" s="515"/>
      <c r="E7" s="515"/>
      <c r="F7" s="515"/>
      <c r="G7" s="528"/>
      <c r="H7" s="528"/>
      <c r="I7" s="528"/>
      <c r="J7" s="528"/>
      <c r="K7" s="620"/>
      <c r="L7" s="620"/>
      <c r="M7" s="620"/>
      <c r="R7" s="758"/>
    </row>
    <row s="2611" customFormat="1" customHeight="1" ht="5.25">
      <c r="A8" s="627"/>
      <c r="B8" s="572"/>
      <c r="C8" s="347"/>
      <c r="D8" s="347"/>
      <c r="E8" s="347"/>
      <c r="F8" s="347"/>
      <c r="G8" s="982"/>
      <c r="H8" s="982"/>
      <c r="I8" s="982"/>
      <c r="J8" s="982"/>
      <c r="K8" s="1025"/>
      <c r="L8" s="1025"/>
      <c r="M8" s="1025"/>
      <c r="R8" s="1026"/>
      <c r="U8" s="617"/>
      <c r="V8" s="617"/>
      <c r="W8" s="628"/>
      <c r="X8" s="572"/>
      <c r="Y8" s="572"/>
      <c r="Z8" s="572"/>
      <c r="AA8" s="572"/>
    </row>
    <row customHeight="1" ht="18.75">
      <c r="D9" s="277"/>
      <c r="E9" s="1955" t="s">
        <v>513</v>
      </c>
      <c r="F9" s="1956"/>
      <c r="G9" s="1956"/>
      <c r="H9" s="1956"/>
      <c r="I9" s="1956"/>
      <c r="J9" s="1956"/>
      <c r="K9" s="1956"/>
      <c r="L9" s="1956"/>
      <c r="M9" s="1956"/>
      <c r="N9" s="1956"/>
      <c r="O9" s="1956"/>
      <c r="P9" s="1956"/>
      <c r="Q9" s="1956"/>
      <c r="R9" s="1957"/>
      <c r="S9" s="1971" t="s">
        <v>514</v>
      </c>
      <c r="T9" s="330"/>
    </row>
    <row customHeight="1" ht="33.75">
      <c r="D10" s="557" t="s">
        <v>89</v>
      </c>
      <c r="E10" s="1971" t="s">
        <v>89</v>
      </c>
      <c r="F10" s="1971"/>
      <c r="G10" s="527" t="s">
        <v>515</v>
      </c>
      <c r="H10" s="1971" t="s">
        <v>89</v>
      </c>
      <c r="I10" s="1971"/>
      <c r="J10" s="527" t="s">
        <v>809</v>
      </c>
      <c r="K10" s="527" t="s">
        <v>810</v>
      </c>
      <c r="L10" s="1971" t="s">
        <v>89</v>
      </c>
      <c r="M10" s="1971"/>
      <c r="N10" s="527" t="s">
        <v>811</v>
      </c>
      <c r="O10" s="527" t="s">
        <v>812</v>
      </c>
      <c r="P10" s="527" t="s">
        <v>813</v>
      </c>
      <c r="Q10" s="527" t="s">
        <v>814</v>
      </c>
      <c r="R10" s="527" t="s">
        <v>815</v>
      </c>
      <c r="S10" s="1971"/>
      <c r="T10" s="330"/>
    </row>
    <row s="2612" customFormat="1" customHeight="1" ht="15" hidden="1">
      <c r="A11" s="1059"/>
      <c r="D11" s="1032" t="s">
        <v>193</v>
      </c>
      <c r="E11" s="1032"/>
      <c r="F11" s="1032" t="s">
        <v>104</v>
      </c>
      <c r="G11" s="1032" t="s">
        <v>91</v>
      </c>
      <c r="H11" s="1032"/>
      <c r="I11" s="1032" t="s">
        <v>92</v>
      </c>
      <c r="J11" s="1032" t="s">
        <v>116</v>
      </c>
      <c r="K11" s="1032" t="s">
        <v>93</v>
      </c>
      <c r="L11" s="1032"/>
      <c r="M11" s="1032" t="s">
        <v>94</v>
      </c>
      <c r="N11" s="1032" t="s">
        <v>130</v>
      </c>
      <c r="O11" s="1032" t="s">
        <v>135</v>
      </c>
      <c r="P11" s="1032" t="s">
        <v>139</v>
      </c>
      <c r="Q11" s="1032" t="s">
        <v>143</v>
      </c>
      <c r="R11" s="1032" t="s">
        <v>148</v>
      </c>
      <c r="S11" s="1032" t="s">
        <v>152</v>
      </c>
      <c r="U11" s="617"/>
      <c r="V11" s="617"/>
      <c r="W11" s="617"/>
    </row>
    <row s="2628" customFormat="1" customHeight="1" ht="0.75">
      <c r="A12" s="621"/>
      <c r="B12" s="360"/>
      <c r="D12" s="554"/>
      <c r="E12" s="342"/>
      <c r="F12" s="342"/>
      <c r="Q12" s="622"/>
      <c r="R12" s="623"/>
      <c r="T12" s="624"/>
      <c r="U12" s="625"/>
      <c r="V12" s="625"/>
      <c r="W12" s="626"/>
      <c r="X12" s="360"/>
      <c r="Y12" s="360"/>
      <c r="Z12" s="360"/>
      <c r="AA12" s="360"/>
    </row>
    <row s="2611" customFormat="1" customHeight="1" ht="0.75">
      <c r="A13" s="627"/>
      <c r="B13" s="572"/>
      <c r="D13" s="554" t="s">
        <v>591</v>
      </c>
      <c r="E13" s="566"/>
      <c r="F13" s="566"/>
      <c r="G13" s="566"/>
      <c r="H13" s="566"/>
      <c r="I13" s="566"/>
      <c r="J13" s="566"/>
      <c r="K13" s="566"/>
      <c r="L13" s="566"/>
      <c r="M13" s="566"/>
      <c r="N13" s="566"/>
      <c r="O13" s="566"/>
      <c r="P13" s="566"/>
      <c r="Q13" s="566"/>
      <c r="R13" s="566"/>
      <c r="T13" s="330"/>
      <c r="U13" s="617"/>
      <c r="V13" s="617"/>
      <c r="W13" s="628"/>
      <c r="X13" s="572"/>
      <c r="Y13" s="572"/>
      <c r="Z13" s="572"/>
      <c r="AA13" s="572"/>
    </row>
    <row s="2757" customFormat="1" customHeight="1" ht="15" hidden="1">
      <c r="A14" s="629" t="s">
        <v>198</v>
      </c>
      <c r="B14" s="630"/>
      <c r="C14" s="630"/>
      <c r="D14" s="2217" t="s">
        <v>193</v>
      </c>
      <c r="E14" s="2225" t="s">
        <v>189</v>
      </c>
      <c r="F14" s="2226"/>
      <c r="G14" s="2227"/>
      <c r="H14" s="2220">
        <f>IF(A14="","",INDEX(DIFFERENTIATION_UNMERGE_VD,MATCH(A14,DIFFERENTIATION_ID_DIFF,0)))</f>
        <v>0</v>
      </c>
      <c r="I14" s="2220"/>
      <c r="J14" s="2220"/>
      <c r="K14" s="2220"/>
      <c r="L14" s="2220"/>
      <c r="M14" s="2220"/>
      <c r="N14" s="2220"/>
      <c r="O14" s="2220"/>
      <c r="P14" s="2220"/>
      <c r="Q14" s="2220"/>
      <c r="R14" s="2220"/>
      <c r="S14" s="725"/>
      <c r="T14" s="722"/>
      <c r="U14" s="631"/>
      <c r="V14" s="631"/>
      <c r="W14" s="632"/>
      <c r="X14" s="632"/>
      <c r="Y14" s="632"/>
      <c r="Z14" s="632"/>
      <c r="AA14" s="633"/>
      <c r="AB14" s="634"/>
      <c r="AC14" s="2224"/>
      <c r="AD14" s="635"/>
      <c r="AE14" s="636" t="s">
        <v>24</v>
      </c>
      <c r="AF14" s="636"/>
      <c r="AG14" s="637" t="s">
        <v>816</v>
      </c>
      <c r="AH14" s="638">
        <v>3</v>
      </c>
      <c r="AI14" s="631"/>
      <c r="AJ14" s="631"/>
      <c r="AK14" s="631"/>
      <c r="AL14" s="631"/>
      <c r="AM14" s="631"/>
      <c r="AN14" s="631"/>
      <c r="AO14" s="631"/>
      <c r="AP14" s="631"/>
      <c r="AQ14" s="631"/>
      <c r="AR14" s="631"/>
      <c r="AS14" s="631"/>
      <c r="AT14" s="631"/>
      <c r="AU14" s="631"/>
      <c r="AV14" s="631"/>
      <c r="AW14" s="631"/>
      <c r="AX14" s="631"/>
      <c r="AY14" s="631"/>
      <c r="AZ14" s="631"/>
      <c r="BA14" s="631"/>
      <c r="BB14" s="631"/>
      <c r="BC14" s="631"/>
      <c r="BD14" s="631"/>
      <c r="BE14" s="631"/>
      <c r="BF14" s="631"/>
      <c r="BG14" s="631"/>
      <c r="BH14" s="631"/>
      <c r="BI14" s="631"/>
      <c r="BJ14" s="631"/>
      <c r="BK14" s="631"/>
      <c r="BL14" s="631"/>
      <c r="BM14" s="631"/>
      <c r="BN14" s="631"/>
      <c r="BO14" s="631"/>
      <c r="BP14" s="631"/>
      <c r="BQ14" s="631"/>
      <c r="BR14" s="631"/>
      <c r="BS14" s="631"/>
      <c r="BT14" s="631"/>
      <c r="BU14" s="631"/>
      <c r="BV14" s="632"/>
      <c r="BW14" s="632"/>
      <c r="BX14" s="632"/>
      <c r="BY14" s="632"/>
      <c r="BZ14" s="632"/>
      <c r="CA14" s="632"/>
      <c r="CB14" s="632"/>
      <c r="CC14" s="632"/>
      <c r="CD14" s="632"/>
      <c r="CE14" s="632"/>
    </row>
    <row s="2757" customFormat="1" customHeight="1" ht="15" hidden="1">
      <c r="A15" s="629"/>
      <c r="B15" s="630"/>
      <c r="C15" s="630"/>
      <c r="D15" s="2218"/>
      <c r="E15" s="2225" t="s">
        <v>771</v>
      </c>
      <c r="F15" s="2226"/>
      <c r="G15" s="2227"/>
      <c r="H15" s="2220" t="str">
        <f>IF(A14="","",INDEX(DIFFERENTIATION_UNMERGE_AREA,MATCH(A14,DIFFERENTIATION_ID_DIFF,0)))</f>
        <v/>
      </c>
      <c r="I15" s="2220"/>
      <c r="J15" s="2220"/>
      <c r="K15" s="2220"/>
      <c r="L15" s="2220"/>
      <c r="M15" s="2220"/>
      <c r="N15" s="2220"/>
      <c r="O15" s="2220"/>
      <c r="P15" s="2220"/>
      <c r="Q15" s="2220"/>
      <c r="R15" s="2220"/>
      <c r="S15" s="725"/>
      <c r="T15" s="722"/>
      <c r="U15" s="631"/>
      <c r="V15" s="631"/>
      <c r="W15" s="632"/>
      <c r="X15" s="632"/>
      <c r="Y15" s="632"/>
      <c r="Z15" s="632"/>
      <c r="AA15" s="633"/>
      <c r="AB15" s="634"/>
      <c r="AC15" s="2224"/>
      <c r="AD15" s="635"/>
      <c r="AE15" s="636"/>
      <c r="AF15" s="636"/>
      <c r="AG15" s="637"/>
      <c r="AH15" s="638"/>
      <c r="AI15" s="631"/>
      <c r="AJ15" s="631"/>
      <c r="AK15" s="631"/>
      <c r="AL15" s="631"/>
      <c r="AM15" s="631"/>
      <c r="AN15" s="631"/>
      <c r="AO15" s="631"/>
      <c r="AP15" s="631"/>
      <c r="AQ15" s="631"/>
      <c r="AR15" s="631"/>
      <c r="AS15" s="631"/>
      <c r="AT15" s="631"/>
      <c r="AU15" s="631"/>
      <c r="AV15" s="631"/>
      <c r="AW15" s="631"/>
      <c r="AX15" s="631"/>
      <c r="AY15" s="631"/>
      <c r="AZ15" s="631"/>
      <c r="BA15" s="631"/>
      <c r="BB15" s="631"/>
      <c r="BC15" s="631"/>
      <c r="BD15" s="631"/>
      <c r="BE15" s="631"/>
      <c r="BF15" s="631"/>
      <c r="BG15" s="631"/>
      <c r="BH15" s="631"/>
      <c r="BI15" s="631"/>
      <c r="BJ15" s="631"/>
      <c r="BK15" s="631"/>
      <c r="BL15" s="631"/>
      <c r="BM15" s="631"/>
      <c r="BN15" s="631"/>
      <c r="BO15" s="631"/>
      <c r="BP15" s="631"/>
      <c r="BQ15" s="631"/>
      <c r="BR15" s="631"/>
      <c r="BS15" s="631"/>
      <c r="BT15" s="631"/>
      <c r="BU15" s="631"/>
      <c r="BV15" s="632"/>
      <c r="BW15" s="632"/>
      <c r="BX15" s="632"/>
      <c r="BY15" s="632"/>
      <c r="BZ15" s="632"/>
      <c r="CA15" s="632"/>
      <c r="CB15" s="632"/>
      <c r="CC15" s="632"/>
      <c r="CD15" s="632"/>
      <c r="CE15" s="632"/>
    </row>
    <row s="2757" customFormat="1" customHeight="1" ht="15" hidden="1">
      <c r="A16" s="629"/>
      <c r="B16" s="630"/>
      <c r="C16" s="630"/>
      <c r="D16" s="2218"/>
      <c r="E16" s="2225" t="s">
        <v>772</v>
      </c>
      <c r="F16" s="2226"/>
      <c r="G16" s="2227"/>
      <c r="H16" s="2220" t="str">
        <f>IF(A14="","",INDEX(DIFFERENTIATION_UNMERGE_SYSTEM,MATCH(A14,DIFFERENTIATION_ID_DIFF,0)))</f>
        <v>без дифференциации</v>
      </c>
      <c r="I16" s="2220"/>
      <c r="J16" s="2220"/>
      <c r="K16" s="2220"/>
      <c r="L16" s="2220"/>
      <c r="M16" s="2220"/>
      <c r="N16" s="2220"/>
      <c r="O16" s="2220"/>
      <c r="P16" s="2220"/>
      <c r="Q16" s="2220"/>
      <c r="R16" s="2220"/>
      <c r="S16" s="725"/>
      <c r="T16" s="722"/>
      <c r="U16" s="631"/>
      <c r="V16" s="631"/>
      <c r="W16" s="632"/>
      <c r="X16" s="632"/>
      <c r="Y16" s="632"/>
      <c r="Z16" s="632"/>
      <c r="AA16" s="633"/>
      <c r="AB16" s="634"/>
      <c r="AC16" s="2224"/>
      <c r="AD16" s="635"/>
      <c r="AE16" s="636"/>
      <c r="AF16" s="636"/>
      <c r="AG16" s="637"/>
      <c r="AH16" s="638"/>
      <c r="AI16" s="631"/>
      <c r="AJ16" s="631"/>
      <c r="AK16" s="631"/>
      <c r="AL16" s="631"/>
      <c r="AM16" s="631"/>
      <c r="AN16" s="631"/>
      <c r="AO16" s="631"/>
      <c r="AP16" s="631"/>
      <c r="AQ16" s="631"/>
      <c r="AR16" s="631"/>
      <c r="AS16" s="631"/>
      <c r="AT16" s="631"/>
      <c r="AU16" s="631"/>
      <c r="AV16" s="631"/>
      <c r="AW16" s="631"/>
      <c r="AX16" s="631"/>
      <c r="AY16" s="631"/>
      <c r="AZ16" s="631"/>
      <c r="BA16" s="631"/>
      <c r="BB16" s="631"/>
      <c r="BC16" s="631"/>
      <c r="BD16" s="631"/>
      <c r="BE16" s="631"/>
      <c r="BF16" s="631"/>
      <c r="BG16" s="631"/>
      <c r="BH16" s="631"/>
      <c r="BI16" s="631"/>
      <c r="BJ16" s="631"/>
      <c r="BK16" s="631"/>
      <c r="BL16" s="631"/>
      <c r="BM16" s="631"/>
      <c r="BN16" s="631"/>
      <c r="BO16" s="631"/>
      <c r="BP16" s="631"/>
      <c r="BQ16" s="631"/>
      <c r="BR16" s="631"/>
      <c r="BS16" s="631"/>
      <c r="BT16" s="631"/>
      <c r="BU16" s="631"/>
      <c r="BV16" s="632"/>
      <c r="BW16" s="632"/>
      <c r="BX16" s="632"/>
      <c r="BY16" s="632"/>
      <c r="BZ16" s="632"/>
      <c r="CA16" s="632"/>
      <c r="CB16" s="632"/>
      <c r="CC16" s="632"/>
      <c r="CD16" s="632"/>
      <c r="CE16" s="632"/>
    </row>
    <row s="2757" customFormat="1" customHeight="1" ht="22.5" hidden="1">
      <c r="A17" s="639"/>
      <c r="B17" s="423"/>
      <c r="C17" s="418"/>
      <c r="D17" s="2218"/>
      <c r="E17" s="2222" t="s">
        <v>817</v>
      </c>
      <c r="F17" s="2222"/>
      <c r="G17" s="2222"/>
      <c r="H17" s="2222"/>
      <c r="I17" s="2222"/>
      <c r="J17" s="2222"/>
      <c r="K17" s="2222"/>
      <c r="L17" s="2222"/>
      <c r="M17" s="2222"/>
      <c r="N17" s="2222"/>
      <c r="O17" s="2222"/>
      <c r="P17" s="2222"/>
      <c r="Q17" s="564">
        <f>SUMIF(T18:T19,"i",Q18:Q19)</f>
        <v>0</v>
      </c>
      <c r="R17" s="1024"/>
      <c r="S17" s="903" t="s">
        <v>818</v>
      </c>
      <c r="T17" s="723" t="s">
        <v>819</v>
      </c>
      <c r="U17" s="2223">
        <v>1</v>
      </c>
      <c r="V17" s="2223" t="str">
        <f>INDEX(B_FHD_FLAG_INDEX_1,1,MATCH(A14,B_FHD_FLAG_DIFFERENTIATION,0))</f>
        <v>отсутствует</v>
      </c>
      <c r="W17" s="423"/>
      <c r="X17" s="423"/>
      <c r="Y17" s="423"/>
      <c r="Z17" s="423"/>
      <c r="AA17" s="517"/>
      <c r="AB17" s="423"/>
      <c r="AC17" s="2224"/>
      <c r="AD17" s="635"/>
      <c r="AE17" s="423"/>
      <c r="AF17" s="423"/>
      <c r="AG17" s="517"/>
      <c r="AH17" s="517"/>
      <c r="AI17" s="517"/>
      <c r="AJ17" s="517"/>
      <c r="AK17" s="517"/>
      <c r="AL17" s="517"/>
      <c r="AM17" s="517"/>
      <c r="AN17" s="517"/>
      <c r="AO17" s="517"/>
      <c r="AP17" s="517"/>
      <c r="AQ17" s="517"/>
      <c r="AR17" s="517"/>
      <c r="AS17" s="517"/>
      <c r="AT17" s="517"/>
      <c r="AU17" s="517"/>
      <c r="AV17" s="517"/>
      <c r="AW17" s="517"/>
      <c r="AX17" s="517"/>
      <c r="AY17" s="517"/>
      <c r="AZ17" s="517"/>
      <c r="BA17" s="517"/>
      <c r="BB17" s="517"/>
      <c r="BC17" s="517"/>
      <c r="BD17" s="517"/>
      <c r="BE17" s="517"/>
      <c r="BF17" s="517"/>
      <c r="BG17" s="517"/>
      <c r="BH17" s="517"/>
      <c r="BI17" s="517"/>
      <c r="BJ17" s="517"/>
      <c r="BK17" s="517"/>
      <c r="BL17" s="517"/>
      <c r="BM17" s="517"/>
      <c r="BN17" s="517"/>
      <c r="BO17" s="517"/>
      <c r="BP17" s="517"/>
      <c r="BQ17" s="517"/>
      <c r="BR17" s="517"/>
      <c r="BS17" s="517"/>
      <c r="BT17" s="517"/>
      <c r="BU17" s="517"/>
      <c r="BV17" s="423"/>
      <c r="BW17" s="423"/>
      <c r="BX17" s="423"/>
      <c r="BY17" s="423"/>
      <c r="BZ17" s="423"/>
      <c r="CA17" s="423"/>
      <c r="CB17" s="423"/>
      <c r="CC17" s="423"/>
      <c r="CD17" s="423"/>
      <c r="CE17" s="423"/>
    </row>
    <row s="2757" customFormat="1" customHeight="1" ht="11.25" hidden="1">
      <c r="A18" s="640"/>
      <c r="B18" s="517"/>
      <c r="C18" s="517"/>
      <c r="D18" s="2218"/>
      <c r="E18" s="641"/>
      <c r="F18" s="641">
        <v>0</v>
      </c>
      <c r="G18" s="641"/>
      <c r="H18" s="641"/>
      <c r="I18" s="641"/>
      <c r="J18" s="641"/>
      <c r="K18" s="641"/>
      <c r="L18" s="641"/>
      <c r="M18" s="641"/>
      <c r="N18" s="641"/>
      <c r="O18" s="641"/>
      <c r="P18" s="641"/>
      <c r="Q18" s="641"/>
      <c r="R18" s="641"/>
      <c r="S18" s="642"/>
      <c r="T18" s="724"/>
      <c r="U18" s="2223"/>
      <c r="V18" s="2223"/>
      <c r="W18" s="517"/>
      <c r="X18" s="517"/>
      <c r="Y18" s="517"/>
      <c r="Z18" s="517"/>
      <c r="AA18" s="517"/>
      <c r="AB18" s="423"/>
      <c r="AC18" s="2224"/>
      <c r="AD18" s="635"/>
      <c r="AE18" s="423"/>
      <c r="AF18" s="423"/>
      <c r="AG18" s="517"/>
      <c r="AH18" s="517"/>
      <c r="AI18" s="517"/>
      <c r="AJ18" s="517"/>
      <c r="AK18" s="517"/>
      <c r="AL18" s="517"/>
      <c r="AM18" s="517"/>
      <c r="AN18" s="517"/>
      <c r="AO18" s="517"/>
      <c r="AP18" s="517"/>
      <c r="AQ18" s="517"/>
      <c r="AR18" s="517"/>
      <c r="AS18" s="517"/>
      <c r="AT18" s="517"/>
      <c r="AU18" s="517"/>
      <c r="AV18" s="517"/>
      <c r="AW18" s="517"/>
      <c r="AX18" s="517"/>
      <c r="AY18" s="517"/>
      <c r="AZ18" s="517"/>
      <c r="BA18" s="517"/>
      <c r="BB18" s="517"/>
      <c r="BC18" s="517"/>
      <c r="BD18" s="517"/>
      <c r="BE18" s="517"/>
      <c r="BF18" s="517"/>
      <c r="BG18" s="517"/>
      <c r="BH18" s="517"/>
      <c r="BI18" s="517"/>
      <c r="BJ18" s="517"/>
      <c r="BK18" s="517"/>
      <c r="BL18" s="517"/>
      <c r="BM18" s="517"/>
      <c r="BN18" s="517"/>
      <c r="BO18" s="517"/>
      <c r="BP18" s="517"/>
      <c r="BQ18" s="517"/>
      <c r="BR18" s="517"/>
      <c r="BS18" s="517"/>
      <c r="BT18" s="517"/>
      <c r="BU18" s="517"/>
      <c r="BV18" s="517"/>
      <c r="BW18" s="517"/>
      <c r="BX18" s="517"/>
      <c r="BY18" s="517"/>
      <c r="BZ18" s="517"/>
      <c r="CA18" s="517"/>
      <c r="CB18" s="517"/>
      <c r="CC18" s="517"/>
      <c r="CD18" s="517"/>
      <c r="CE18" s="517"/>
    </row>
    <row s="2757" customFormat="1" customHeight="1" ht="11.25" hidden="1">
      <c r="A19" s="639"/>
      <c r="B19" s="423"/>
      <c r="C19" s="418"/>
      <c r="D19" s="2218"/>
      <c r="E19" s="655" t="s">
        <v>24</v>
      </c>
      <c r="F19" s="656" t="s">
        <v>24</v>
      </c>
      <c r="G19" s="656" t="s">
        <v>24</v>
      </c>
      <c r="H19" s="657" t="s">
        <v>24</v>
      </c>
      <c r="I19" s="657"/>
      <c r="J19" s="657"/>
      <c r="K19" s="657"/>
      <c r="L19" s="657"/>
      <c r="M19" s="657"/>
      <c r="N19" s="657"/>
      <c r="O19" s="657"/>
      <c r="P19" s="657"/>
      <c r="Q19" s="657"/>
      <c r="R19" s="658"/>
      <c r="S19" s="1027"/>
      <c r="T19" s="724"/>
      <c r="U19" s="2223"/>
      <c r="V19" s="2223"/>
      <c r="W19" s="423"/>
      <c r="X19" s="423"/>
      <c r="Y19" s="423"/>
      <c r="Z19" s="423"/>
      <c r="AA19" s="517"/>
      <c r="AB19" s="423"/>
      <c r="AC19" s="2224"/>
      <c r="AD19" s="635"/>
      <c r="AE19" s="423"/>
      <c r="AF19" s="423"/>
      <c r="AG19" s="517"/>
      <c r="AH19" s="517"/>
      <c r="AI19" s="517"/>
      <c r="AJ19" s="517"/>
      <c r="AK19" s="517"/>
      <c r="AL19" s="517"/>
      <c r="AM19" s="517"/>
      <c r="AN19" s="517"/>
      <c r="AO19" s="517"/>
      <c r="AP19" s="517"/>
      <c r="AQ19" s="517"/>
      <c r="AR19" s="517"/>
      <c r="AS19" s="517"/>
      <c r="AT19" s="517"/>
      <c r="AU19" s="517"/>
      <c r="AV19" s="517"/>
      <c r="AW19" s="517"/>
      <c r="AX19" s="517"/>
      <c r="AY19" s="517"/>
      <c r="AZ19" s="517"/>
      <c r="BA19" s="517"/>
      <c r="BB19" s="517"/>
      <c r="BC19" s="517"/>
      <c r="BD19" s="517"/>
      <c r="BE19" s="517"/>
      <c r="BF19" s="517"/>
      <c r="BG19" s="517"/>
      <c r="BH19" s="517"/>
      <c r="BI19" s="517"/>
      <c r="BJ19" s="517"/>
      <c r="BK19" s="517"/>
      <c r="BL19" s="517"/>
      <c r="BM19" s="517"/>
      <c r="BN19" s="517"/>
      <c r="BO19" s="517"/>
      <c r="BP19" s="517"/>
      <c r="BQ19" s="517"/>
      <c r="BR19" s="517"/>
      <c r="BS19" s="517"/>
      <c r="BT19" s="517"/>
      <c r="BU19" s="517"/>
      <c r="BV19" s="423"/>
      <c r="BW19" s="423"/>
      <c r="BX19" s="423"/>
      <c r="BY19" s="423"/>
      <c r="BZ19" s="423"/>
      <c r="CA19" s="423"/>
      <c r="CB19" s="423"/>
      <c r="CC19" s="423"/>
      <c r="CD19" s="423"/>
      <c r="CE19" s="423"/>
    </row>
    <row s="2757" customFormat="1" customHeight="1" ht="22.5" hidden="1">
      <c r="A20" s="639"/>
      <c r="B20" s="423"/>
      <c r="C20" s="418"/>
      <c r="D20" s="2218"/>
      <c r="E20" s="2222" t="s">
        <v>820</v>
      </c>
      <c r="F20" s="2222"/>
      <c r="G20" s="2222"/>
      <c r="H20" s="2222"/>
      <c r="I20" s="2222"/>
      <c r="J20" s="2222"/>
      <c r="K20" s="2222"/>
      <c r="L20" s="2222"/>
      <c r="M20" s="2222"/>
      <c r="N20" s="2222"/>
      <c r="O20" s="2222"/>
      <c r="P20" s="2222"/>
      <c r="Q20" s="564">
        <f>SUMIF(T21:T22,"i",Q21:Q22)</f>
        <v>0</v>
      </c>
      <c r="R20" s="1024"/>
      <c r="S20" s="715" t="s">
        <v>821</v>
      </c>
      <c r="T20" s="723" t="s">
        <v>819</v>
      </c>
      <c r="U20" s="2223">
        <v>2</v>
      </c>
      <c r="V20" s="2223" t="str">
        <f>INDEX(B_FHD_FLAG_INDEX_2,1,MATCH(A14,B_FHD_FLAG_DIFFERENTIATION,0))</f>
        <v>отсутствует</v>
      </c>
      <c r="W20" s="423"/>
      <c r="X20" s="423"/>
      <c r="Y20" s="423"/>
      <c r="Z20" s="423"/>
      <c r="AA20" s="517"/>
      <c r="AB20" s="423"/>
      <c r="AC20" s="712"/>
      <c r="AD20" s="635"/>
      <c r="AE20" s="423"/>
      <c r="AF20" s="423"/>
      <c r="AG20" s="517"/>
      <c r="AH20" s="517"/>
      <c r="AI20" s="517"/>
      <c r="AJ20" s="517"/>
      <c r="AK20" s="517"/>
      <c r="AL20" s="517"/>
      <c r="AM20" s="517"/>
      <c r="AN20" s="517"/>
      <c r="AO20" s="517"/>
      <c r="AP20" s="517"/>
      <c r="AQ20" s="517"/>
      <c r="AR20" s="517"/>
      <c r="AS20" s="517"/>
      <c r="AT20" s="517"/>
      <c r="AU20" s="517"/>
      <c r="AV20" s="517"/>
      <c r="AW20" s="517"/>
      <c r="AX20" s="517"/>
      <c r="AY20" s="517"/>
      <c r="AZ20" s="517"/>
      <c r="BA20" s="517"/>
      <c r="BB20" s="517"/>
      <c r="BC20" s="517"/>
      <c r="BD20" s="517"/>
      <c r="BE20" s="517"/>
      <c r="BF20" s="517"/>
      <c r="BG20" s="517"/>
      <c r="BH20" s="517"/>
      <c r="BI20" s="517"/>
      <c r="BJ20" s="517"/>
      <c r="BK20" s="517"/>
      <c r="BL20" s="517"/>
      <c r="BM20" s="517"/>
      <c r="BN20" s="517"/>
      <c r="BO20" s="517"/>
      <c r="BP20" s="517"/>
      <c r="BQ20" s="517"/>
      <c r="BR20" s="517"/>
      <c r="BS20" s="517"/>
      <c r="BT20" s="517"/>
      <c r="BU20" s="517"/>
      <c r="BV20" s="423"/>
      <c r="BW20" s="423"/>
      <c r="BX20" s="423"/>
      <c r="BY20" s="423"/>
      <c r="BZ20" s="423"/>
      <c r="CA20" s="423"/>
      <c r="CB20" s="423"/>
      <c r="CC20" s="423"/>
      <c r="CD20" s="423"/>
      <c r="CE20" s="423"/>
    </row>
    <row s="2757" customFormat="1" customHeight="1" ht="11.25" hidden="1">
      <c r="A21" s="714"/>
      <c r="B21" s="517"/>
      <c r="C21" s="517"/>
      <c r="D21" s="2218"/>
      <c r="E21" s="641"/>
      <c r="F21" s="641">
        <v>0</v>
      </c>
      <c r="G21" s="641"/>
      <c r="H21" s="641"/>
      <c r="I21" s="641"/>
      <c r="J21" s="641"/>
      <c r="K21" s="641"/>
      <c r="L21" s="641"/>
      <c r="M21" s="641"/>
      <c r="N21" s="641"/>
      <c r="O21" s="641"/>
      <c r="P21" s="641"/>
      <c r="Q21" s="641"/>
      <c r="R21" s="641"/>
      <c r="S21" s="642"/>
      <c r="T21" s="724"/>
      <c r="U21" s="2223"/>
      <c r="V21" s="2223"/>
      <c r="W21" s="517"/>
      <c r="X21" s="517"/>
      <c r="Y21" s="517"/>
      <c r="Z21" s="517"/>
      <c r="AA21" s="517"/>
      <c r="AB21" s="423"/>
      <c r="AC21" s="712"/>
      <c r="AD21" s="635"/>
      <c r="AE21" s="423"/>
      <c r="AF21" s="423"/>
      <c r="AG21" s="517"/>
      <c r="AH21" s="517"/>
      <c r="AI21" s="517"/>
      <c r="AJ21" s="517"/>
      <c r="AK21" s="517"/>
      <c r="AL21" s="517"/>
      <c r="AM21" s="517"/>
      <c r="AN21" s="517"/>
      <c r="AO21" s="517"/>
      <c r="AP21" s="517"/>
      <c r="AQ21" s="517"/>
      <c r="AR21" s="517"/>
      <c r="AS21" s="517"/>
      <c r="AT21" s="517"/>
      <c r="AU21" s="517"/>
      <c r="AV21" s="517"/>
      <c r="AW21" s="517"/>
      <c r="AX21" s="517"/>
      <c r="AY21" s="517"/>
      <c r="AZ21" s="517"/>
      <c r="BA21" s="517"/>
      <c r="BB21" s="517"/>
      <c r="BC21" s="517"/>
      <c r="BD21" s="517"/>
      <c r="BE21" s="517"/>
      <c r="BF21" s="517"/>
      <c r="BG21" s="517"/>
      <c r="BH21" s="517"/>
      <c r="BI21" s="517"/>
      <c r="BJ21" s="517"/>
      <c r="BK21" s="517"/>
      <c r="BL21" s="517"/>
      <c r="BM21" s="517"/>
      <c r="BN21" s="517"/>
      <c r="BO21" s="517"/>
      <c r="BP21" s="517"/>
      <c r="BQ21" s="517"/>
      <c r="BR21" s="517"/>
      <c r="BS21" s="517"/>
      <c r="BT21" s="517"/>
      <c r="BU21" s="517"/>
      <c r="BV21" s="517"/>
      <c r="BW21" s="517"/>
      <c r="BX21" s="517"/>
      <c r="BY21" s="517"/>
      <c r="BZ21" s="517"/>
      <c r="CA21" s="517"/>
      <c r="CB21" s="517"/>
      <c r="CC21" s="517"/>
      <c r="CD21" s="517"/>
      <c r="CE21" s="517"/>
    </row>
    <row s="2757" customFormat="1" customHeight="1" ht="11.25" hidden="1">
      <c r="A22" s="639"/>
      <c r="B22" s="423"/>
      <c r="C22" s="418"/>
      <c r="D22" s="2219"/>
      <c r="E22" s="655" t="s">
        <v>24</v>
      </c>
      <c r="F22" s="656" t="s">
        <v>24</v>
      </c>
      <c r="G22" s="656" t="s">
        <v>24</v>
      </c>
      <c r="H22" s="657" t="s">
        <v>24</v>
      </c>
      <c r="I22" s="657"/>
      <c r="J22" s="657"/>
      <c r="K22" s="657"/>
      <c r="L22" s="657"/>
      <c r="M22" s="657"/>
      <c r="N22" s="657"/>
      <c r="O22" s="657"/>
      <c r="P22" s="657"/>
      <c r="Q22" s="657"/>
      <c r="R22" s="658"/>
      <c r="S22" s="1027"/>
      <c r="T22" s="724"/>
      <c r="U22" s="2223"/>
      <c r="V22" s="2223"/>
      <c r="W22" s="423"/>
      <c r="X22" s="423"/>
      <c r="Y22" s="423"/>
      <c r="Z22" s="423"/>
      <c r="AA22" s="517"/>
      <c r="AB22" s="423"/>
      <c r="AC22" s="712"/>
      <c r="AD22" s="635"/>
      <c r="AE22" s="423"/>
      <c r="AF22" s="423"/>
      <c r="AG22" s="517"/>
      <c r="AH22" s="517"/>
      <c r="AI22" s="517"/>
      <c r="AJ22" s="517"/>
      <c r="AK22" s="517"/>
      <c r="AL22" s="517"/>
      <c r="AM22" s="517"/>
      <c r="AN22" s="517"/>
      <c r="AO22" s="517"/>
      <c r="AP22" s="517"/>
      <c r="AQ22" s="517"/>
      <c r="AR22" s="517"/>
      <c r="AS22" s="517"/>
      <c r="AT22" s="517"/>
      <c r="AU22" s="517"/>
      <c r="AV22" s="517"/>
      <c r="AW22" s="517"/>
      <c r="AX22" s="517"/>
      <c r="AY22" s="517"/>
      <c r="AZ22" s="517"/>
      <c r="BA22" s="517"/>
      <c r="BB22" s="517"/>
      <c r="BC22" s="517"/>
      <c r="BD22" s="517"/>
      <c r="BE22" s="517"/>
      <c r="BF22" s="517"/>
      <c r="BG22" s="517"/>
      <c r="BH22" s="517"/>
      <c r="BI22" s="517"/>
      <c r="BJ22" s="517"/>
      <c r="BK22" s="517"/>
      <c r="BL22" s="517"/>
      <c r="BM22" s="517"/>
      <c r="BN22" s="517"/>
      <c r="BO22" s="517"/>
      <c r="BP22" s="517"/>
      <c r="BQ22" s="517"/>
      <c r="BR22" s="517"/>
      <c r="BS22" s="517"/>
      <c r="BT22" s="517"/>
      <c r="BU22" s="517"/>
      <c r="BV22" s="423"/>
      <c r="BW22" s="423"/>
      <c r="BX22" s="423"/>
      <c r="BY22" s="423"/>
      <c r="BZ22" s="423"/>
      <c r="CA22" s="423"/>
      <c r="CB22" s="423"/>
      <c r="CC22" s="423"/>
      <c r="CD22" s="423"/>
      <c r="CE22" s="423"/>
    </row>
    <row customHeight="1" ht="18.75">
      <c r="D23" s="1054"/>
      <c r="E23" s="1054"/>
      <c r="F23" s="1054"/>
      <c r="G23" s="1054"/>
      <c r="H23" s="1054"/>
      <c r="I23" s="1054"/>
      <c r="J23" s="1054"/>
      <c r="K23" s="1054"/>
      <c r="L23" s="1054"/>
      <c r="M23" s="1054"/>
      <c r="N23" s="1054"/>
      <c r="O23" s="1054"/>
      <c r="P23" s="1054"/>
      <c r="Q23" s="1054"/>
      <c r="R23" s="1054"/>
      <c r="S23" s="1054"/>
      <c r="T23" s="330"/>
    </row>
    <row customHeight="1" ht="11.25">
      <c r="D24" s="515"/>
    </row>
    <row customHeight="1" ht="11.25">
      <c r="D25" s="660"/>
      <c r="E25" s="660"/>
      <c r="F25" s="660"/>
      <c r="G25" s="661"/>
    </row>
    <row r="27" customHeight="1" ht="11.25">
      <c r="D27" s="662"/>
      <c r="E27" s="2221"/>
      <c r="F27" s="2221"/>
      <c r="G27" s="2221"/>
      <c r="H27" s="2221"/>
      <c r="I27" s="2221"/>
      <c r="J27" s="2221"/>
      <c r="K27" s="2221"/>
      <c r="L27" s="2221"/>
      <c r="M27" s="2221"/>
      <c r="N27" s="2221"/>
      <c r="O27" s="2221"/>
      <c r="P27" s="2221"/>
      <c r="Q27" s="2221"/>
      <c r="R27" s="2221"/>
    </row>
    <row customHeight="1" ht="11.25">
      <c r="F28" s="764"/>
      <c r="G28" s="764"/>
    </row>
  </sheetData>
  <sheetProtection formatColumns="0" formatRows="0" autoFilter="0" sort="0" insertRows="0" insertColumns="1" deleteRows="0" deleteColumns="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450032-BEC1-3D66-EF1E-A84536C37775}" mc:Ignorable="x14ac xr xr2 xr3">
  <sheetPr>
    <tabColor theme="9" tint="-0.25"/>
  </sheetPr>
  <dimension ref="A1:AE218"/>
  <sheetViews>
    <sheetView topLeftCell="A1" showGridLines="0" zoomScale="90" workbookViewId="0">
      <selection activeCell="A1" sqref="A1"/>
    </sheetView>
  </sheetViews>
  <sheetFormatPr defaultColWidth="9.140625" customHeight="1" defaultRowHeight="11.25"/>
  <cols>
    <col min="1" max="1" style="12339" width="10.7109375" hidden="1" customWidth="1"/>
    <col min="2" max="2" style="2683" width="16.8515625" hidden="1" customWidth="1"/>
    <col min="3" max="3" style="2691" width="5.57421875" hidden="1" customWidth="1"/>
    <col min="4" max="4" style="12442" width="3.7109375" customWidth="1"/>
    <col min="5" max="5" style="2993" width="7.7109375" customWidth="1"/>
    <col min="6" max="6" style="2993" width="56.140625" customWidth="1"/>
    <col min="7" max="7" style="2993" width="10.421875" customWidth="1"/>
    <col min="8" max="8" style="2993" width="40.7109375" hidden="1" customWidth="1"/>
    <col min="9" max="9" style="2993" width="40.7109375" customWidth="1"/>
    <col min="10" max="10" style="2993" width="102.8515625" customWidth="1"/>
    <col min="11" max="11" style="2683" width="9.7109375" customWidth="1"/>
    <col min="12" max="12" style="2691" width="5.28125" customWidth="1"/>
    <col min="13" max="13" style="2691" width="3.7109375" customWidth="1"/>
    <col min="14" max="17" style="2683" width="3.7109375" customWidth="1"/>
    <col min="18" max="18" style="2691" width="10.57421875" customWidth="1"/>
    <col min="19" max="19" style="2683" width="34.7109375" customWidth="1"/>
    <col min="20" max="20" style="2683" width="9.421875" customWidth="1"/>
    <col min="21" max="21" style="12343" width="9.140625"/>
    <col min="22" max="26" style="2683" width="9.140625"/>
    <col min="27" max="31" style="2992" width="9.140625"/>
  </cols>
  <sheetData>
    <row s="2683" customFormat="1" customHeight="1" ht="11.25" hidden="1">
      <c r="A1" s="994"/>
      <c r="C1" s="1676"/>
      <c r="D1" s="543"/>
      <c r="H1" s="1168">
        <v>4</v>
      </c>
      <c r="I1" s="1168">
        <v>4</v>
      </c>
      <c r="L1" s="1676"/>
      <c r="M1" s="1676"/>
      <c r="R1" s="1676"/>
    </row>
    <row s="2683" customFormat="1" customHeight="1" ht="22.5" hidden="1">
      <c r="A2" s="994"/>
      <c r="C2" s="1676"/>
      <c r="D2" s="544"/>
      <c r="E2" s="1677"/>
      <c r="F2" s="546"/>
      <c r="G2" s="1679" t="s">
        <v>759</v>
      </c>
      <c r="H2" s="547"/>
      <c r="I2" s="547"/>
      <c r="J2" s="548" t="s">
        <v>822</v>
      </c>
      <c r="K2" s="549"/>
      <c r="L2" s="1676"/>
      <c r="M2" s="1676"/>
      <c r="R2" s="1676"/>
      <c r="U2" s="550"/>
      <c r="AA2" s="1672"/>
      <c r="AB2" s="1672"/>
      <c r="AC2" s="1672"/>
      <c r="AD2" s="1672"/>
      <c r="AE2" s="1672"/>
    </row>
    <row customHeight="1" ht="11.25" hidden="1"/>
    <row s="2992" customFormat="1" customHeight="1" ht="11.25" hidden="1">
      <c r="A4" s="994"/>
      <c r="B4" s="1168"/>
      <c r="C4" s="1676"/>
      <c r="D4" s="360"/>
      <c r="J4" s="1672">
        <v>4</v>
      </c>
      <c r="K4" s="1168"/>
      <c r="L4" s="1676"/>
      <c r="M4" s="1676"/>
      <c r="N4" s="1168"/>
      <c r="O4" s="1168"/>
      <c r="P4" s="1168"/>
      <c r="Q4" s="1168"/>
      <c r="R4" s="1676"/>
      <c r="S4" s="1168"/>
      <c r="T4" s="1168"/>
      <c r="U4" s="550"/>
      <c r="V4" s="1168"/>
      <c r="W4" s="1168"/>
      <c r="X4" s="1168"/>
      <c r="Y4" s="1168"/>
      <c r="Z4" s="1168"/>
    </row>
    <row r="6" customHeight="1" ht="22.5">
      <c r="E6" s="2151" t="s">
        <v>823</v>
      </c>
      <c r="F6" s="2151"/>
      <c r="G6" s="2151"/>
      <c r="H6" s="2151"/>
      <c r="I6" s="2151"/>
      <c r="J6" s="562"/>
    </row>
    <row customHeight="1" ht="24">
      <c r="E7" s="2141" t="str">
        <f>IF(org=0,"Не определено",org)</f>
        <v>АО "Мурманэнергосбыт"</v>
      </c>
      <c r="F7" s="2141"/>
      <c r="G7" s="2141"/>
      <c r="H7" s="2141"/>
      <c r="I7" s="2141"/>
    </row>
    <row customHeight="1" ht="11.25">
      <c r="E8" s="1143"/>
      <c r="F8" s="1143"/>
      <c r="G8" s="1143"/>
      <c r="H8" s="1143"/>
      <c r="I8" s="1143"/>
    </row>
    <row s="2691" customFormat="1" customHeight="1" ht="0.75">
      <c r="A9" s="1175"/>
      <c r="D9" s="1682"/>
      <c r="H9" s="895"/>
      <c r="I9" s="895" t="s">
        <v>198</v>
      </c>
    </row>
    <row customHeight="1" ht="11.25">
      <c r="E10" s="717"/>
      <c r="F10" s="2213" t="s">
        <v>189</v>
      </c>
      <c r="G10" s="2214"/>
      <c r="H10" s="1592" t="str">
        <f>IF(H9="","",INDEX(DIFFERENTIATION_UNMERGE_VD,MATCH(H9,DIFFERENTIATION_ID_DIFF,0)))</f>
        <v/>
      </c>
      <c r="I10" s="1592">
        <f>IF(I9="","",INDEX(DIFFERENTIATION_UNMERGE_VD,MATCH(I9,DIFFERENTIATION_ID_DIFF,0)))</f>
        <v>0</v>
      </c>
      <c r="J10" s="1971"/>
    </row>
    <row customHeight="1" ht="11.25">
      <c r="E11" s="717"/>
      <c r="F11" s="2213" t="s">
        <v>771</v>
      </c>
      <c r="G11" s="2214"/>
      <c r="H11" s="1592" t="str">
        <f>IF(H9="","",INDEX(DIFFERENTIATION_UNMERGE_AREA,MATCH(H9,DIFFERENTIATION_ID_DIFF,0)))</f>
        <v/>
      </c>
      <c r="I11" s="1592" t="str">
        <f>IF(I9="","",INDEX(DIFFERENTIATION_UNMERGE_AREA,MATCH(I9,DIFFERENTIATION_ID_DIFF,0)))</f>
        <v/>
      </c>
      <c r="J11" s="1971"/>
    </row>
    <row customHeight="1" ht="11.25" hidden="1">
      <c r="E12" s="1702"/>
      <c r="F12" s="2228" t="s">
        <v>772</v>
      </c>
      <c r="G12" s="2229"/>
      <c r="H12" s="1703" t="str">
        <f>IF(H9="","",INDEX(DIFFERENTIATION_UNMERGE_SYSTEM,MATCH(H9,DIFFERENTIATION_ID_DIFF,0)))</f>
        <v/>
      </c>
      <c r="I12" s="1703" t="str">
        <f>IF(I9="","",INDEX(DIFFERENTIATION_UNMERGE_SYSTEM,MATCH(I9,DIFFERENTIATION_ID_DIFF,0)))</f>
        <v>без дифференциации</v>
      </c>
      <c r="J12" s="1971"/>
    </row>
    <row customHeight="1" ht="11.25">
      <c r="E13" s="2215" t="s">
        <v>513</v>
      </c>
      <c r="F13" s="2216"/>
      <c r="G13" s="2216"/>
      <c r="H13" s="1591"/>
      <c r="I13" s="1591"/>
      <c r="J13" s="1971"/>
    </row>
    <row customHeight="1" ht="22.5">
      <c r="E14" s="1679" t="s">
        <v>89</v>
      </c>
      <c r="F14" s="1674" t="s">
        <v>515</v>
      </c>
      <c r="G14" s="1674" t="s">
        <v>773</v>
      </c>
      <c r="H14" s="1674" t="s">
        <v>516</v>
      </c>
      <c r="I14" s="1674" t="s">
        <v>516</v>
      </c>
      <c r="J14" s="1971"/>
    </row>
    <row customHeight="1" ht="18.75">
      <c r="D15" s="1678"/>
      <c r="E15" s="1670" t="s">
        <v>193</v>
      </c>
      <c r="F15" s="713" t="s">
        <v>824</v>
      </c>
      <c r="G15" s="1686" t="s">
        <v>759</v>
      </c>
      <c r="H15" s="563"/>
      <c r="I15" s="563"/>
      <c r="J15" s="277" t="s">
        <v>825</v>
      </c>
      <c r="K15" s="549" t="s">
        <v>826</v>
      </c>
    </row>
    <row customHeight="1" ht="33.75">
      <c r="D16" s="1678"/>
      <c r="E16" s="1670" t="s">
        <v>104</v>
      </c>
      <c r="F16" s="713" t="s">
        <v>827</v>
      </c>
      <c r="G16" s="1686" t="s">
        <v>759</v>
      </c>
      <c r="H16" s="564">
        <f>SUM(H17,H20:H32)</f>
        <v>0</v>
      </c>
      <c r="I16" s="564">
        <f>SUM(I17,I20:I32)</f>
        <v>0</v>
      </c>
      <c r="J16" s="277" t="s">
        <v>828</v>
      </c>
      <c r="K16" s="549" t="s">
        <v>826</v>
      </c>
    </row>
    <row customHeight="1" ht="18.75">
      <c r="D17" s="1678"/>
      <c r="E17" s="1704" t="s">
        <v>829</v>
      </c>
      <c r="F17" s="961" t="s">
        <v>830</v>
      </c>
      <c r="G17" s="1683" t="s">
        <v>759</v>
      </c>
      <c r="H17" s="563"/>
      <c r="I17" s="563"/>
      <c r="J17" s="277" t="s">
        <v>831</v>
      </c>
      <c r="K17" s="549"/>
    </row>
    <row customHeight="1" ht="22.5">
      <c r="D18" s="1678"/>
      <c r="E18" s="1704" t="s">
        <v>832</v>
      </c>
      <c r="F18" s="1690" t="s">
        <v>833</v>
      </c>
      <c r="G18" s="1683" t="s">
        <v>759</v>
      </c>
      <c r="H18" s="563"/>
      <c r="I18" s="563"/>
      <c r="J18" s="277" t="s">
        <v>834</v>
      </c>
      <c r="K18" s="549"/>
    </row>
    <row customHeight="1" ht="33.75">
      <c r="D19" s="1678"/>
      <c r="E19" s="1704" t="s">
        <v>835</v>
      </c>
      <c r="F19" s="1690" t="s">
        <v>836</v>
      </c>
      <c r="G19" s="1683" t="s">
        <v>759</v>
      </c>
      <c r="H19" s="563"/>
      <c r="I19" s="563"/>
      <c r="J19" s="277"/>
      <c r="K19" s="549"/>
    </row>
    <row customHeight="1" ht="18.75">
      <c r="D20" s="1678"/>
      <c r="E20" s="1704" t="s">
        <v>520</v>
      </c>
      <c r="F20" s="961" t="s">
        <v>837</v>
      </c>
      <c r="G20" s="1683" t="s">
        <v>759</v>
      </c>
      <c r="H20" s="563"/>
      <c r="I20" s="563"/>
      <c r="J20" s="277" t="s">
        <v>838</v>
      </c>
      <c r="K20" s="549"/>
    </row>
    <row customHeight="1" ht="18.75">
      <c r="D21" s="1678"/>
      <c r="E21" s="1704" t="s">
        <v>839</v>
      </c>
      <c r="F21" s="1690" t="s">
        <v>840</v>
      </c>
      <c r="G21" s="1683" t="s">
        <v>759</v>
      </c>
      <c r="H21" s="563"/>
      <c r="I21" s="563"/>
      <c r="J21" s="277"/>
      <c r="K21" s="549"/>
    </row>
    <row customHeight="1" ht="18.75">
      <c r="D22" s="1678"/>
      <c r="E22" s="1704" t="s">
        <v>841</v>
      </c>
      <c r="F22" s="1690" t="s">
        <v>842</v>
      </c>
      <c r="G22" s="1683" t="s">
        <v>759</v>
      </c>
      <c r="H22" s="563"/>
      <c r="I22" s="563"/>
      <c r="J22" s="277"/>
      <c r="K22" s="549"/>
    </row>
    <row customHeight="1" ht="22.5">
      <c r="D23" s="1678"/>
      <c r="E23" s="1704" t="s">
        <v>523</v>
      </c>
      <c r="F23" s="961" t="s">
        <v>843</v>
      </c>
      <c r="G23" s="1683" t="s">
        <v>759</v>
      </c>
      <c r="H23" s="563"/>
      <c r="I23" s="563"/>
      <c r="J23" s="277" t="s">
        <v>844</v>
      </c>
      <c r="K23" s="549"/>
    </row>
    <row customHeight="1" ht="18.75">
      <c r="D24" s="1678"/>
      <c r="E24" s="1704" t="s">
        <v>845</v>
      </c>
      <c r="F24" s="1690" t="s">
        <v>846</v>
      </c>
      <c r="G24" s="1683" t="s">
        <v>759</v>
      </c>
      <c r="H24" s="563"/>
      <c r="I24" s="563"/>
      <c r="J24" s="277"/>
      <c r="K24" s="549"/>
    </row>
    <row customHeight="1" ht="33.75">
      <c r="D25" s="1678"/>
      <c r="E25" s="1704" t="s">
        <v>847</v>
      </c>
      <c r="F25" s="1690" t="s">
        <v>848</v>
      </c>
      <c r="G25" s="1683" t="s">
        <v>759</v>
      </c>
      <c r="H25" s="563"/>
      <c r="I25" s="563"/>
      <c r="J25" s="277"/>
      <c r="K25" s="549"/>
    </row>
    <row customHeight="1" ht="22.5">
      <c r="D26" s="1678"/>
      <c r="E26" s="1704" t="s">
        <v>849</v>
      </c>
      <c r="F26" s="961" t="s">
        <v>850</v>
      </c>
      <c r="G26" s="1683" t="s">
        <v>759</v>
      </c>
      <c r="H26" s="563"/>
      <c r="I26" s="563"/>
      <c r="J26" s="277" t="s">
        <v>851</v>
      </c>
      <c r="K26" s="549"/>
    </row>
    <row customHeight="1" ht="18.75">
      <c r="D27" s="1678"/>
      <c r="E27" s="1715" t="s">
        <v>852</v>
      </c>
      <c r="F27" s="1690" t="s">
        <v>853</v>
      </c>
      <c r="G27" s="1694" t="s">
        <v>759</v>
      </c>
      <c r="H27" s="1716"/>
      <c r="I27" s="1716"/>
      <c r="J27" s="277"/>
      <c r="K27" s="549"/>
    </row>
    <row customHeight="1" ht="18.75">
      <c r="D28" s="1678"/>
      <c r="E28" s="1715" t="s">
        <v>854</v>
      </c>
      <c r="F28" s="1690" t="s">
        <v>855</v>
      </c>
      <c r="G28" s="1694" t="s">
        <v>759</v>
      </c>
      <c r="H28" s="1716"/>
      <c r="I28" s="1716"/>
      <c r="J28" s="277"/>
      <c r="K28" s="549"/>
    </row>
    <row customHeight="1" ht="18.75">
      <c r="D29" s="1678"/>
      <c r="E29" s="1715" t="s">
        <v>856</v>
      </c>
      <c r="F29" s="961" t="s">
        <v>857</v>
      </c>
      <c r="G29" s="1694" t="s">
        <v>759</v>
      </c>
      <c r="H29" s="1716"/>
      <c r="I29" s="1716"/>
      <c r="J29" s="277"/>
      <c r="K29" s="549"/>
    </row>
    <row customHeight="1" ht="18.75">
      <c r="D30" s="1678"/>
      <c r="E30" s="1715" t="s">
        <v>858</v>
      </c>
      <c r="F30" s="961" t="s">
        <v>859</v>
      </c>
      <c r="G30" s="1694" t="s">
        <v>759</v>
      </c>
      <c r="H30" s="1716"/>
      <c r="I30" s="1716"/>
      <c r="J30" s="277"/>
      <c r="K30" s="549"/>
    </row>
    <row customHeight="1" ht="18.75">
      <c r="D31" s="1678"/>
      <c r="E31" s="1715" t="s">
        <v>860</v>
      </c>
      <c r="F31" s="961" t="s">
        <v>861</v>
      </c>
      <c r="G31" s="1694" t="s">
        <v>759</v>
      </c>
      <c r="H31" s="1716"/>
      <c r="I31" s="1716"/>
      <c r="J31" s="277"/>
      <c r="K31" s="549"/>
    </row>
    <row s="2683" customFormat="1" customHeight="1" ht="22.5">
      <c r="A32" s="994"/>
      <c r="C32" s="1676"/>
      <c r="D32" s="1678"/>
      <c r="E32" s="1715" t="s">
        <v>862</v>
      </c>
      <c r="F32" s="961" t="s">
        <v>863</v>
      </c>
      <c r="G32" s="1684" t="s">
        <v>759</v>
      </c>
      <c r="H32" s="585">
        <f>SUM(H33:H34)</f>
        <v>0</v>
      </c>
      <c r="I32" s="585">
        <f>SUM(I33:I34)</f>
        <v>0</v>
      </c>
      <c r="J32" s="277" t="s">
        <v>864</v>
      </c>
      <c r="K32" s="549"/>
      <c r="L32" s="1676"/>
      <c r="M32" s="1676"/>
      <c r="R32" s="1676"/>
      <c r="U32" s="550"/>
      <c r="AA32" s="1672"/>
      <c r="AB32" s="1672"/>
      <c r="AC32" s="1672"/>
      <c r="AD32" s="1672"/>
      <c r="AE32" s="1672"/>
    </row>
    <row s="2691" customFormat="1" customHeight="1" ht="0.75">
      <c r="A33" s="1175"/>
      <c r="D33" s="554"/>
      <c r="E33" s="808" t="str">
        <f>E32&amp;".0"</f>
        <v>2.8.0</v>
      </c>
      <c r="F33" s="998"/>
      <c r="G33" s="557"/>
      <c r="H33" s="999"/>
      <c r="I33" s="999"/>
      <c r="J33" s="1000"/>
    </row>
    <row s="2683" customFormat="1" customHeight="1" ht="18.75">
      <c r="A34" s="994"/>
      <c r="C34" s="1676"/>
      <c r="D34" s="1673"/>
      <c r="E34" s="576"/>
      <c r="F34" s="1706" t="s">
        <v>784</v>
      </c>
      <c r="G34" s="578"/>
      <c r="H34" s="579"/>
      <c r="I34" s="579"/>
      <c r="J34" s="289" t="s">
        <v>865</v>
      </c>
      <c r="K34" s="549"/>
      <c r="L34" s="1676"/>
      <c r="M34" s="1676"/>
      <c r="R34" s="1676"/>
      <c r="U34" s="550"/>
      <c r="AA34" s="1672"/>
      <c r="AB34" s="1672"/>
      <c r="AC34" s="1672"/>
      <c r="AD34" s="1672"/>
      <c r="AE34" s="1672"/>
    </row>
    <row customHeight="1" ht="56.25">
      <c r="D35" s="1678"/>
      <c r="E35" s="1715" t="s">
        <v>866</v>
      </c>
      <c r="F35" s="961" t="s">
        <v>867</v>
      </c>
      <c r="G35" s="1694" t="s">
        <v>759</v>
      </c>
      <c r="H35" s="1716"/>
      <c r="I35" s="1716"/>
      <c r="J35" s="277" t="s">
        <v>868</v>
      </c>
      <c r="K35" s="549"/>
    </row>
    <row s="2683" customFormat="1" customHeight="1" ht="22.5">
      <c r="A36" s="996" t="s">
        <v>785</v>
      </c>
      <c r="C36" s="1676"/>
      <c r="D36" s="1678"/>
      <c r="E36" s="1704" t="s">
        <v>91</v>
      </c>
      <c r="F36" s="713" t="s">
        <v>869</v>
      </c>
      <c r="G36" s="1683" t="s">
        <v>759</v>
      </c>
      <c r="H36" s="563"/>
      <c r="I36" s="563"/>
      <c r="J36" s="277" t="s">
        <v>870</v>
      </c>
      <c r="K36" s="549"/>
      <c r="L36" s="1676"/>
      <c r="M36" s="1676"/>
      <c r="R36" s="1676"/>
      <c r="U36" s="550"/>
      <c r="AA36" s="1672"/>
      <c r="AB36" s="1672"/>
      <c r="AC36" s="1672"/>
      <c r="AD36" s="1672"/>
      <c r="AE36" s="1672"/>
    </row>
    <row s="2683" customFormat="1" customHeight="1" ht="22.5">
      <c r="A37" s="996"/>
      <c r="C37" s="1676"/>
      <c r="D37" s="1678"/>
      <c r="E37" s="1704" t="s">
        <v>539</v>
      </c>
      <c r="F37" s="961" t="s">
        <v>871</v>
      </c>
      <c r="G37" s="1694"/>
      <c r="H37" s="563"/>
      <c r="I37" s="563"/>
      <c r="J37" s="277"/>
      <c r="K37" s="549"/>
      <c r="L37" s="1676"/>
      <c r="M37" s="1676"/>
      <c r="R37" s="1676"/>
      <c r="U37" s="550"/>
      <c r="AA37" s="1672"/>
      <c r="AB37" s="1672"/>
      <c r="AC37" s="1672"/>
      <c r="AD37" s="1672"/>
      <c r="AE37" s="1672"/>
    </row>
    <row s="2683" customFormat="1" customHeight="1" ht="18.75">
      <c r="A38" s="994"/>
      <c r="C38" s="1676"/>
      <c r="D38" s="581"/>
      <c r="E38" s="1704" t="s">
        <v>92</v>
      </c>
      <c r="F38" s="713" t="s">
        <v>872</v>
      </c>
      <c r="G38" s="1683" t="s">
        <v>759</v>
      </c>
      <c r="H38" s="563"/>
      <c r="I38" s="563"/>
      <c r="J38" s="277" t="s">
        <v>873</v>
      </c>
      <c r="K38" s="549"/>
      <c r="L38" s="1676"/>
      <c r="M38" s="1676"/>
      <c r="R38" s="1676"/>
      <c r="U38" s="550"/>
      <c r="AA38" s="1672"/>
      <c r="AB38" s="1672"/>
      <c r="AC38" s="1672"/>
      <c r="AD38" s="1672"/>
      <c r="AE38" s="1672"/>
    </row>
    <row s="2683" customFormat="1" customHeight="1" ht="22.5">
      <c r="A39" s="994"/>
      <c r="C39" s="1676"/>
      <c r="D39" s="581"/>
      <c r="E39" s="1704" t="s">
        <v>874</v>
      </c>
      <c r="F39" s="961" t="s">
        <v>875</v>
      </c>
      <c r="G39" s="1694" t="s">
        <v>759</v>
      </c>
      <c r="H39" s="563"/>
      <c r="I39" s="563"/>
      <c r="J39" s="277" t="s">
        <v>876</v>
      </c>
      <c r="K39" s="549"/>
      <c r="L39" s="1676"/>
      <c r="M39" s="1676"/>
      <c r="R39" s="1676"/>
      <c r="U39" s="550"/>
      <c r="AA39" s="1672"/>
      <c r="AB39" s="1672"/>
      <c r="AC39" s="1672"/>
      <c r="AD39" s="1672"/>
      <c r="AE39" s="1672"/>
    </row>
    <row s="2683" customFormat="1" customHeight="1" ht="22.5">
      <c r="A40" s="994"/>
      <c r="C40" s="1676"/>
      <c r="D40" s="1678"/>
      <c r="E40" s="1704" t="s">
        <v>877</v>
      </c>
      <c r="F40" s="1690" t="s">
        <v>878</v>
      </c>
      <c r="G40" s="1683" t="s">
        <v>759</v>
      </c>
      <c r="H40" s="563"/>
      <c r="I40" s="563"/>
      <c r="J40" s="277" t="s">
        <v>879</v>
      </c>
      <c r="K40" s="549"/>
      <c r="L40" s="1676"/>
      <c r="M40" s="1676"/>
      <c r="R40" s="1676"/>
      <c r="U40" s="550"/>
      <c r="AA40" s="1672"/>
      <c r="AB40" s="1672"/>
      <c r="AC40" s="1672"/>
      <c r="AD40" s="1672"/>
      <c r="AE40" s="1672"/>
    </row>
    <row s="2683" customFormat="1" customHeight="1" ht="22.5">
      <c r="A41" s="994"/>
      <c r="C41" s="1676"/>
      <c r="D41" s="1678"/>
      <c r="E41" s="1704" t="s">
        <v>880</v>
      </c>
      <c r="F41" s="1690" t="s">
        <v>881</v>
      </c>
      <c r="G41" s="1683" t="s">
        <v>759</v>
      </c>
      <c r="H41" s="563"/>
      <c r="I41" s="563"/>
      <c r="J41" s="277" t="s">
        <v>882</v>
      </c>
      <c r="K41" s="549"/>
      <c r="L41" s="1676"/>
      <c r="M41" s="1676"/>
      <c r="R41" s="1676"/>
      <c r="U41" s="550"/>
      <c r="AA41" s="1672"/>
      <c r="AB41" s="1672"/>
      <c r="AC41" s="1672"/>
      <c r="AD41" s="1672"/>
      <c r="AE41" s="1672"/>
    </row>
    <row s="2683" customFormat="1" customHeight="1" ht="22.5">
      <c r="A42" s="994"/>
      <c r="C42" s="1676"/>
      <c r="D42" s="1678"/>
      <c r="E42" s="1704" t="s">
        <v>883</v>
      </c>
      <c r="F42" s="1690" t="s">
        <v>884</v>
      </c>
      <c r="G42" s="1683" t="s">
        <v>759</v>
      </c>
      <c r="H42" s="563"/>
      <c r="I42" s="563"/>
      <c r="J42" s="277" t="s">
        <v>885</v>
      </c>
      <c r="K42" s="549"/>
      <c r="L42" s="1676"/>
      <c r="M42" s="1676"/>
      <c r="R42" s="1676"/>
      <c r="U42" s="550"/>
      <c r="AA42" s="1672"/>
      <c r="AB42" s="1672"/>
      <c r="AC42" s="1672"/>
      <c r="AD42" s="1672"/>
      <c r="AE42" s="1672"/>
    </row>
    <row s="2683" customFormat="1" customHeight="1" ht="33.75">
      <c r="A43" s="994"/>
      <c r="C43" s="1676" t="s">
        <v>795</v>
      </c>
      <c r="D43" s="1678"/>
      <c r="E43" s="1704" t="s">
        <v>116</v>
      </c>
      <c r="F43" s="713" t="s">
        <v>886</v>
      </c>
      <c r="G43" s="1686" t="s">
        <v>887</v>
      </c>
      <c r="H43" s="407"/>
      <c r="I43" s="407"/>
      <c r="J43" s="277" t="s">
        <v>888</v>
      </c>
      <c r="K43" s="549"/>
      <c r="L43" s="1676"/>
      <c r="M43" s="1676"/>
      <c r="R43" s="1676"/>
      <c r="U43" s="550"/>
      <c r="AA43" s="1672"/>
      <c r="AB43" s="1672"/>
      <c r="AC43" s="1672"/>
      <c r="AD43" s="1672"/>
      <c r="AE43" s="1672"/>
    </row>
    <row s="2683" customFormat="1" customHeight="1" ht="22.5">
      <c r="A44" s="994"/>
      <c r="C44" s="1676"/>
      <c r="D44" s="1678"/>
      <c r="E44" s="1704" t="s">
        <v>93</v>
      </c>
      <c r="F44" s="713" t="s">
        <v>889</v>
      </c>
      <c r="G44" s="1683" t="s">
        <v>890</v>
      </c>
      <c r="H44" s="551"/>
      <c r="I44" s="551"/>
      <c r="J44" s="277" t="s">
        <v>891</v>
      </c>
      <c r="K44" s="549"/>
      <c r="L44" s="1676"/>
      <c r="M44" s="1676"/>
      <c r="R44" s="1676"/>
      <c r="U44" s="550"/>
      <c r="AA44" s="1672"/>
      <c r="AB44" s="1672"/>
      <c r="AC44" s="1672"/>
      <c r="AD44" s="1672"/>
      <c r="AE44" s="1672"/>
    </row>
    <row s="2683" customFormat="1" customHeight="1" ht="22.5">
      <c r="A45" s="994"/>
      <c r="C45" s="1676"/>
      <c r="D45" s="1678"/>
      <c r="E45" s="1704" t="s">
        <v>94</v>
      </c>
      <c r="F45" s="713" t="s">
        <v>892</v>
      </c>
      <c r="G45" s="1694" t="s">
        <v>893</v>
      </c>
      <c r="H45" s="551"/>
      <c r="I45" s="551"/>
      <c r="J45" s="277" t="s">
        <v>894</v>
      </c>
      <c r="K45" s="549"/>
      <c r="L45" s="1676"/>
      <c r="M45" s="1676"/>
      <c r="R45" s="1676"/>
      <c r="U45" s="550"/>
      <c r="AA45" s="1672"/>
      <c r="AB45" s="1672"/>
      <c r="AC45" s="1672"/>
      <c r="AD45" s="1672"/>
      <c r="AE45" s="1672"/>
    </row>
    <row s="2683" customFormat="1" customHeight="1" ht="18.75">
      <c r="A46" s="994"/>
      <c r="C46" s="1676"/>
      <c r="D46" s="1678"/>
      <c r="E46" s="1704" t="s">
        <v>130</v>
      </c>
      <c r="F46" s="713" t="s">
        <v>895</v>
      </c>
      <c r="G46" s="1683" t="s">
        <v>797</v>
      </c>
      <c r="H46" s="583"/>
      <c r="I46" s="583"/>
      <c r="J46" s="277"/>
      <c r="K46" s="549"/>
      <c r="L46" s="1676"/>
      <c r="M46" s="1676"/>
      <c r="R46" s="1676"/>
      <c r="U46" s="550"/>
      <c r="AA46" s="1672"/>
      <c r="AB46" s="1672"/>
      <c r="AC46" s="1672"/>
      <c r="AD46" s="1672"/>
      <c r="AE46" s="1672"/>
    </row>
    <row customHeight="1" ht="11.25">
      <c r="D47" s="1678"/>
    </row>
    <row customHeight="1" ht="26.25">
      <c r="D48" s="1678"/>
      <c r="E48" s="1273"/>
      <c r="F48" s="2106"/>
      <c r="G48" s="2106"/>
      <c r="H48" s="2106"/>
      <c r="I48" s="2106"/>
      <c r="J48" s="2106"/>
    </row>
    <row s="12366" customFormat="1" customHeight="1" ht="37.5">
      <c r="A49" s="994"/>
      <c r="B49" s="1676"/>
      <c r="C49" s="1676"/>
      <c r="D49" s="347"/>
      <c r="F49" s="2106"/>
      <c r="G49" s="2106"/>
      <c r="H49" s="2106"/>
      <c r="I49" s="2106"/>
      <c r="J49" s="2106"/>
      <c r="K49" s="1168"/>
      <c r="L49" s="1676"/>
      <c r="M49" s="1676"/>
      <c r="N49" s="1168"/>
      <c r="O49" s="1168"/>
      <c r="P49" s="1168"/>
      <c r="Q49" s="1168"/>
      <c r="R49" s="1676"/>
      <c r="S49" s="1168"/>
      <c r="T49" s="1168"/>
      <c r="U49" s="550"/>
      <c r="V49" s="1168"/>
      <c r="W49" s="1168"/>
      <c r="X49" s="1168"/>
      <c r="Y49" s="1168"/>
      <c r="Z49" s="1168"/>
      <c r="AA49" s="1672"/>
      <c r="AB49" s="572"/>
      <c r="AC49" s="572"/>
      <c r="AD49" s="572"/>
      <c r="AE49" s="572"/>
    </row>
    <row s="12366" customFormat="1" customHeight="1" ht="11.25">
      <c r="A50" s="994"/>
      <c r="B50" s="1676"/>
      <c r="C50" s="1676"/>
      <c r="D50" s="347"/>
      <c r="K50" s="1168"/>
      <c r="L50" s="1676"/>
      <c r="M50" s="1676"/>
      <c r="N50" s="1168"/>
      <c r="O50" s="1168"/>
      <c r="P50" s="1168"/>
      <c r="Q50" s="1168"/>
      <c r="R50" s="1676"/>
      <c r="S50" s="1168"/>
      <c r="T50" s="1168"/>
      <c r="U50" s="550"/>
      <c r="V50" s="1168"/>
      <c r="W50" s="1168"/>
      <c r="X50" s="1168"/>
      <c r="Y50" s="1168"/>
      <c r="Z50" s="1168"/>
      <c r="AA50" s="1672"/>
      <c r="AB50" s="572"/>
      <c r="AC50" s="572"/>
      <c r="AD50" s="572"/>
      <c r="AE50" s="572"/>
    </row>
    <row s="12366" customFormat="1" customHeight="1" ht="11.25">
      <c r="A51" s="994"/>
      <c r="B51" s="1676"/>
      <c r="C51" s="1676"/>
      <c r="D51" s="347"/>
      <c r="K51" s="1168"/>
      <c r="L51" s="1676"/>
      <c r="M51" s="1676"/>
      <c r="N51" s="1168"/>
      <c r="O51" s="1168"/>
      <c r="P51" s="1168"/>
      <c r="Q51" s="1168"/>
      <c r="R51" s="1676"/>
      <c r="S51" s="1168"/>
      <c r="T51" s="1168"/>
      <c r="U51" s="550"/>
      <c r="V51" s="1168"/>
      <c r="W51" s="1168"/>
      <c r="X51" s="1168"/>
      <c r="Y51" s="1168"/>
      <c r="Z51" s="1168"/>
      <c r="AA51" s="1672"/>
      <c r="AB51" s="572"/>
      <c r="AC51" s="572"/>
      <c r="AD51" s="572"/>
      <c r="AE51" s="572"/>
    </row>
    <row s="12366" customFormat="1" customHeight="1" ht="11.25">
      <c r="A52" s="994"/>
      <c r="B52" s="1676"/>
      <c r="C52" s="1676"/>
      <c r="D52" s="347"/>
      <c r="H52" s="572"/>
      <c r="I52" s="572"/>
      <c r="K52" s="1168"/>
      <c r="L52" s="1676"/>
      <c r="M52" s="1676"/>
      <c r="N52" s="1168"/>
      <c r="O52" s="1168"/>
      <c r="P52" s="1168"/>
      <c r="Q52" s="1168"/>
      <c r="R52" s="1676"/>
      <c r="S52" s="1168"/>
      <c r="T52" s="1168"/>
      <c r="U52" s="550"/>
      <c r="V52" s="1168"/>
      <c r="W52" s="1168"/>
      <c r="X52" s="1168"/>
      <c r="Y52" s="1168"/>
      <c r="Z52" s="1168"/>
      <c r="AA52" s="1672"/>
      <c r="AB52" s="572"/>
      <c r="AC52" s="572"/>
      <c r="AD52" s="572"/>
      <c r="AE52" s="572"/>
    </row>
    <row s="12366" customFormat="1" customHeight="1" ht="11.25">
      <c r="A53" s="994"/>
      <c r="B53" s="1676"/>
      <c r="C53" s="1676"/>
      <c r="D53" s="347"/>
      <c r="K53" s="1168"/>
      <c r="L53" s="1676"/>
      <c r="M53" s="1676"/>
      <c r="N53" s="1168"/>
      <c r="O53" s="1168"/>
      <c r="P53" s="1168"/>
      <c r="Q53" s="1168"/>
      <c r="R53" s="1676"/>
      <c r="S53" s="1168"/>
      <c r="T53" s="1168"/>
      <c r="U53" s="550"/>
      <c r="V53" s="1168"/>
      <c r="W53" s="1168"/>
      <c r="X53" s="1168"/>
      <c r="Y53" s="1168"/>
      <c r="Z53" s="1168"/>
      <c r="AA53" s="1672"/>
      <c r="AB53" s="572"/>
      <c r="AC53" s="572"/>
      <c r="AD53" s="572"/>
      <c r="AE53" s="572"/>
    </row>
    <row s="12366" customFormat="1" customHeight="1" ht="11.25">
      <c r="A54" s="994"/>
      <c r="B54" s="1676"/>
      <c r="C54" s="1676"/>
      <c r="D54" s="347"/>
      <c r="K54" s="1168"/>
      <c r="L54" s="1676"/>
      <c r="M54" s="1676"/>
      <c r="N54" s="1168"/>
      <c r="O54" s="1168"/>
      <c r="P54" s="1168"/>
      <c r="Q54" s="1168"/>
      <c r="R54" s="1676"/>
      <c r="S54" s="1168"/>
      <c r="T54" s="1168"/>
      <c r="U54" s="550"/>
      <c r="V54" s="1168"/>
      <c r="W54" s="1168"/>
      <c r="X54" s="1168"/>
      <c r="Y54" s="1168"/>
      <c r="Z54" s="1168"/>
      <c r="AA54" s="1672"/>
      <c r="AB54" s="572"/>
      <c r="AC54" s="572"/>
      <c r="AD54" s="572"/>
      <c r="AE54" s="572"/>
    </row>
    <row s="12366" customFormat="1" customHeight="1" ht="11.25">
      <c r="A55" s="994"/>
      <c r="B55" s="1676"/>
      <c r="C55" s="1676"/>
      <c r="D55" s="347"/>
      <c r="K55" s="1168"/>
      <c r="L55" s="1676"/>
      <c r="M55" s="1676"/>
      <c r="N55" s="1168"/>
      <c r="O55" s="1168"/>
      <c r="P55" s="1168"/>
      <c r="Q55" s="1168"/>
      <c r="R55" s="1676"/>
      <c r="S55" s="1168"/>
      <c r="T55" s="1168"/>
      <c r="U55" s="550"/>
      <c r="V55" s="1168"/>
      <c r="W55" s="1168"/>
      <c r="X55" s="1168"/>
      <c r="Y55" s="1168"/>
      <c r="Z55" s="1168"/>
      <c r="AA55" s="1672"/>
      <c r="AB55" s="572"/>
      <c r="AC55" s="572"/>
      <c r="AD55" s="572"/>
      <c r="AE55" s="572"/>
    </row>
    <row s="12366" customFormat="1" customHeight="1" ht="11.25">
      <c r="A56" s="994"/>
      <c r="B56" s="1676"/>
      <c r="C56" s="1676"/>
      <c r="D56" s="347"/>
      <c r="K56" s="1168"/>
      <c r="L56" s="1676"/>
      <c r="M56" s="1676"/>
      <c r="N56" s="1168"/>
      <c r="O56" s="1168"/>
      <c r="P56" s="1168"/>
      <c r="Q56" s="1168"/>
      <c r="R56" s="1676"/>
      <c r="S56" s="1168"/>
      <c r="T56" s="1168"/>
      <c r="U56" s="550"/>
      <c r="V56" s="1168"/>
      <c r="W56" s="1168"/>
      <c r="X56" s="1168"/>
      <c r="Y56" s="1168"/>
      <c r="Z56" s="1168"/>
      <c r="AA56" s="1672"/>
      <c r="AB56" s="572"/>
      <c r="AC56" s="572"/>
      <c r="AD56" s="572"/>
      <c r="AE56" s="572"/>
    </row>
    <row s="12366" customFormat="1" customHeight="1" ht="11.25">
      <c r="A57" s="994"/>
      <c r="B57" s="1676"/>
      <c r="C57" s="1676"/>
      <c r="D57" s="347"/>
      <c r="K57" s="1168"/>
      <c r="L57" s="1676"/>
      <c r="M57" s="1676"/>
      <c r="N57" s="1168"/>
      <c r="O57" s="1168"/>
      <c r="P57" s="1168"/>
      <c r="Q57" s="1168"/>
      <c r="R57" s="1676"/>
      <c r="S57" s="1168"/>
      <c r="T57" s="1168"/>
      <c r="U57" s="550"/>
      <c r="V57" s="1168"/>
      <c r="W57" s="1168"/>
      <c r="X57" s="1168"/>
      <c r="Y57" s="1168"/>
      <c r="Z57" s="1168"/>
      <c r="AA57" s="1672"/>
      <c r="AB57" s="572"/>
      <c r="AC57" s="572"/>
      <c r="AD57" s="572"/>
      <c r="AE57" s="572"/>
    </row>
    <row s="12366" customFormat="1" customHeight="1" ht="11.25">
      <c r="A58" s="994"/>
      <c r="B58" s="1676"/>
      <c r="C58" s="1676"/>
      <c r="D58" s="347"/>
      <c r="K58" s="1168"/>
      <c r="L58" s="1676"/>
      <c r="M58" s="1676"/>
      <c r="N58" s="1168"/>
      <c r="O58" s="1168"/>
      <c r="P58" s="1168"/>
      <c r="Q58" s="1168"/>
      <c r="R58" s="1676"/>
      <c r="S58" s="1168"/>
      <c r="T58" s="1168"/>
      <c r="U58" s="550"/>
      <c r="V58" s="1168"/>
      <c r="W58" s="1168"/>
      <c r="X58" s="1168"/>
      <c r="Y58" s="1168"/>
      <c r="Z58" s="1168"/>
      <c r="AA58" s="1672"/>
      <c r="AB58" s="572"/>
      <c r="AC58" s="572"/>
      <c r="AD58" s="572"/>
      <c r="AE58" s="572"/>
    </row>
    <row s="12366" customFormat="1" customHeight="1" ht="11.25">
      <c r="A59" s="994"/>
      <c r="B59" s="1676"/>
      <c r="C59" s="1676"/>
      <c r="D59" s="347"/>
      <c r="K59" s="1168"/>
      <c r="L59" s="1676"/>
      <c r="M59" s="1676"/>
      <c r="N59" s="1168"/>
      <c r="O59" s="1168"/>
      <c r="P59" s="1168"/>
      <c r="Q59" s="1168"/>
      <c r="R59" s="1676"/>
      <c r="S59" s="1168"/>
      <c r="T59" s="1168"/>
      <c r="U59" s="550"/>
      <c r="V59" s="1168"/>
      <c r="W59" s="1168"/>
      <c r="X59" s="1168"/>
      <c r="Y59" s="1168"/>
      <c r="Z59" s="1168"/>
      <c r="AA59" s="1672"/>
      <c r="AB59" s="572"/>
      <c r="AC59" s="572"/>
      <c r="AD59" s="572"/>
      <c r="AE59" s="572"/>
    </row>
    <row s="12366" customFormat="1" customHeight="1" ht="11.25">
      <c r="A60" s="994"/>
      <c r="B60" s="1676"/>
      <c r="C60" s="1676"/>
      <c r="D60" s="347"/>
      <c r="K60" s="1168"/>
      <c r="L60" s="1676"/>
      <c r="M60" s="1676"/>
      <c r="N60" s="1168"/>
      <c r="O60" s="1168"/>
      <c r="P60" s="1168"/>
      <c r="Q60" s="1168"/>
      <c r="R60" s="1676"/>
      <c r="S60" s="1168"/>
      <c r="T60" s="1168"/>
      <c r="U60" s="550"/>
      <c r="V60" s="1168"/>
      <c r="W60" s="1168"/>
      <c r="X60" s="1168"/>
      <c r="Y60" s="1168"/>
      <c r="Z60" s="1168"/>
      <c r="AA60" s="1672"/>
      <c r="AB60" s="572"/>
      <c r="AC60" s="572"/>
      <c r="AD60" s="572"/>
      <c r="AE60" s="572"/>
    </row>
    <row s="12366" customFormat="1" customHeight="1" ht="11.25">
      <c r="A61" s="994"/>
      <c r="B61" s="1676"/>
      <c r="C61" s="1676"/>
      <c r="D61" s="347"/>
      <c r="K61" s="1168"/>
      <c r="L61" s="1676"/>
      <c r="M61" s="1676"/>
      <c r="N61" s="1168"/>
      <c r="O61" s="1168"/>
      <c r="P61" s="1168"/>
      <c r="Q61" s="1168"/>
      <c r="R61" s="1676"/>
      <c r="S61" s="1168"/>
      <c r="T61" s="1168"/>
      <c r="U61" s="550"/>
      <c r="V61" s="1168"/>
      <c r="W61" s="1168"/>
      <c r="X61" s="1168"/>
      <c r="Y61" s="1168"/>
      <c r="Z61" s="1168"/>
      <c r="AA61" s="1672"/>
      <c r="AB61" s="572"/>
      <c r="AC61" s="572"/>
      <c r="AD61" s="572"/>
      <c r="AE61" s="572"/>
    </row>
    <row s="12366" customFormat="1" customHeight="1" ht="11.25">
      <c r="A62" s="994"/>
      <c r="B62" s="1676"/>
      <c r="C62" s="1676"/>
      <c r="D62" s="347"/>
      <c r="K62" s="1168"/>
      <c r="L62" s="1676"/>
      <c r="M62" s="1676"/>
      <c r="N62" s="1168"/>
      <c r="O62" s="1168"/>
      <c r="P62" s="1168"/>
      <c r="Q62" s="1168"/>
      <c r="R62" s="1676"/>
      <c r="S62" s="1168"/>
      <c r="T62" s="1168"/>
      <c r="U62" s="550"/>
      <c r="V62" s="1168"/>
      <c r="W62" s="1168"/>
      <c r="X62" s="1168"/>
      <c r="Y62" s="1168"/>
      <c r="Z62" s="1168"/>
      <c r="AA62" s="1672"/>
      <c r="AB62" s="572"/>
      <c r="AC62" s="572"/>
      <c r="AD62" s="572"/>
      <c r="AE62" s="572"/>
    </row>
    <row s="12366" customFormat="1" customHeight="1" ht="11.25">
      <c r="A63" s="994"/>
      <c r="B63" s="1676"/>
      <c r="C63" s="1676"/>
      <c r="D63" s="347"/>
      <c r="K63" s="1168"/>
      <c r="L63" s="1676"/>
      <c r="M63" s="1676"/>
      <c r="N63" s="1168"/>
      <c r="O63" s="1168"/>
      <c r="P63" s="1168"/>
      <c r="Q63" s="1168"/>
      <c r="R63" s="1676"/>
      <c r="S63" s="1168"/>
      <c r="T63" s="1168"/>
      <c r="U63" s="550"/>
      <c r="V63" s="1168"/>
      <c r="W63" s="1168"/>
      <c r="X63" s="1168"/>
      <c r="Y63" s="1168"/>
      <c r="Z63" s="1168"/>
      <c r="AA63" s="1672"/>
      <c r="AB63" s="572"/>
      <c r="AC63" s="572"/>
      <c r="AD63" s="572"/>
      <c r="AE63" s="572"/>
    </row>
    <row s="12366" customFormat="1" customHeight="1" ht="11.25">
      <c r="A64" s="994"/>
      <c r="B64" s="1676"/>
      <c r="C64" s="1676"/>
      <c r="D64" s="347"/>
      <c r="K64" s="1168"/>
      <c r="L64" s="1676"/>
      <c r="M64" s="1676"/>
      <c r="N64" s="1168"/>
      <c r="O64" s="1168"/>
      <c r="P64" s="1168"/>
      <c r="Q64" s="1168"/>
      <c r="R64" s="1676"/>
      <c r="S64" s="1168"/>
      <c r="T64" s="1168"/>
      <c r="U64" s="550"/>
      <c r="V64" s="1168"/>
      <c r="W64" s="1168"/>
      <c r="X64" s="1168"/>
      <c r="Y64" s="1168"/>
      <c r="Z64" s="1168"/>
      <c r="AA64" s="1672"/>
      <c r="AB64" s="572"/>
      <c r="AC64" s="572"/>
      <c r="AD64" s="572"/>
      <c r="AE64" s="572"/>
    </row>
    <row s="12366" customFormat="1" customHeight="1" ht="11.25">
      <c r="A65" s="994"/>
      <c r="B65" s="1676"/>
      <c r="C65" s="1676"/>
      <c r="D65" s="347"/>
      <c r="K65" s="1168"/>
      <c r="L65" s="1676"/>
      <c r="M65" s="1676"/>
      <c r="N65" s="1168"/>
      <c r="O65" s="1168"/>
      <c r="P65" s="1168"/>
      <c r="Q65" s="1168"/>
      <c r="R65" s="1676"/>
      <c r="S65" s="1168"/>
      <c r="T65" s="1168"/>
      <c r="U65" s="550"/>
      <c r="V65" s="1168"/>
      <c r="W65" s="1168"/>
      <c r="X65" s="1168"/>
      <c r="Y65" s="1168"/>
      <c r="Z65" s="1168"/>
      <c r="AA65" s="1672"/>
      <c r="AB65" s="572"/>
      <c r="AC65" s="572"/>
      <c r="AD65" s="572"/>
      <c r="AE65" s="572"/>
    </row>
    <row s="12366" customFormat="1" customHeight="1" ht="11.25">
      <c r="A66" s="994"/>
      <c r="B66" s="1676"/>
      <c r="C66" s="1676"/>
      <c r="D66" s="347"/>
      <c r="K66" s="1168"/>
      <c r="L66" s="1676"/>
      <c r="M66" s="1676"/>
      <c r="N66" s="1168"/>
      <c r="O66" s="1168"/>
      <c r="P66" s="1168"/>
      <c r="Q66" s="1168"/>
      <c r="R66" s="1676"/>
      <c r="S66" s="1168"/>
      <c r="T66" s="1168"/>
      <c r="U66" s="550"/>
      <c r="V66" s="1168"/>
      <c r="W66" s="1168"/>
      <c r="X66" s="1168"/>
      <c r="Y66" s="1168"/>
      <c r="Z66" s="1168"/>
      <c r="AA66" s="1672"/>
      <c r="AB66" s="572"/>
      <c r="AC66" s="572"/>
      <c r="AD66" s="572"/>
      <c r="AE66" s="572"/>
    </row>
    <row s="12366" customFormat="1" customHeight="1" ht="11.25">
      <c r="A67" s="994"/>
      <c r="B67" s="1676"/>
      <c r="C67" s="1676"/>
      <c r="D67" s="347"/>
      <c r="K67" s="1168"/>
      <c r="L67" s="1676"/>
      <c r="M67" s="1676"/>
      <c r="N67" s="1168"/>
      <c r="O67" s="1168"/>
      <c r="P67" s="1168"/>
      <c r="Q67" s="1168"/>
      <c r="R67" s="1676"/>
      <c r="S67" s="1168"/>
      <c r="T67" s="1168"/>
      <c r="U67" s="550"/>
      <c r="V67" s="1168"/>
      <c r="W67" s="1168"/>
      <c r="X67" s="1168"/>
      <c r="Y67" s="1168"/>
      <c r="Z67" s="1168"/>
      <c r="AA67" s="1672"/>
      <c r="AB67" s="572"/>
      <c r="AC67" s="572"/>
      <c r="AD67" s="572"/>
      <c r="AE67" s="572"/>
    </row>
    <row s="12366" customFormat="1" customHeight="1" ht="11.25">
      <c r="A68" s="994"/>
      <c r="B68" s="1676"/>
      <c r="C68" s="1676"/>
      <c r="D68" s="347"/>
      <c r="K68" s="1168"/>
      <c r="L68" s="1676"/>
      <c r="M68" s="1676"/>
      <c r="N68" s="1168"/>
      <c r="O68" s="1168"/>
      <c r="P68" s="1168"/>
      <c r="Q68" s="1168"/>
      <c r="R68" s="1676"/>
      <c r="S68" s="1168"/>
      <c r="T68" s="1168"/>
      <c r="U68" s="550"/>
      <c r="V68" s="1168"/>
      <c r="W68" s="1168"/>
      <c r="X68" s="1168"/>
      <c r="Y68" s="1168"/>
      <c r="Z68" s="1168"/>
      <c r="AA68" s="1672"/>
      <c r="AB68" s="572"/>
      <c r="AC68" s="572"/>
      <c r="AD68" s="572"/>
      <c r="AE68" s="572"/>
    </row>
    <row s="12366" customFormat="1" customHeight="1" ht="11.25">
      <c r="A69" s="994"/>
      <c r="B69" s="1676"/>
      <c r="C69" s="1676"/>
      <c r="D69" s="347"/>
      <c r="K69" s="1168"/>
      <c r="L69" s="1676"/>
      <c r="M69" s="1676"/>
      <c r="N69" s="1168"/>
      <c r="O69" s="1168"/>
      <c r="P69" s="1168"/>
      <c r="Q69" s="1168"/>
      <c r="R69" s="1676"/>
      <c r="S69" s="1168"/>
      <c r="T69" s="1168"/>
      <c r="U69" s="550"/>
      <c r="V69" s="1168"/>
      <c r="W69" s="1168"/>
      <c r="X69" s="1168"/>
      <c r="Y69" s="1168"/>
      <c r="Z69" s="1168"/>
      <c r="AA69" s="1672"/>
      <c r="AB69" s="572"/>
      <c r="AC69" s="572"/>
      <c r="AD69" s="572"/>
      <c r="AE69" s="572"/>
    </row>
    <row s="12366" customFormat="1" customHeight="1" ht="11.25">
      <c r="A70" s="994"/>
      <c r="B70" s="1676"/>
      <c r="C70" s="1676"/>
      <c r="D70" s="347"/>
      <c r="K70" s="1168"/>
      <c r="L70" s="1676"/>
      <c r="M70" s="1676"/>
      <c r="N70" s="1168"/>
      <c r="O70" s="1168"/>
      <c r="P70" s="1168"/>
      <c r="Q70" s="1168"/>
      <c r="R70" s="1676"/>
      <c r="S70" s="1168"/>
      <c r="T70" s="1168"/>
      <c r="U70" s="550"/>
      <c r="V70" s="1168"/>
      <c r="W70" s="1168"/>
      <c r="X70" s="1168"/>
      <c r="Y70" s="1168"/>
      <c r="Z70" s="1168"/>
      <c r="AA70" s="1672"/>
      <c r="AB70" s="572"/>
      <c r="AC70" s="572"/>
      <c r="AD70" s="572"/>
      <c r="AE70" s="572"/>
    </row>
    <row s="12366" customFormat="1" customHeight="1" ht="11.25">
      <c r="A71" s="994"/>
      <c r="B71" s="1676"/>
      <c r="C71" s="1676"/>
      <c r="D71" s="347"/>
      <c r="K71" s="1168"/>
      <c r="L71" s="1676"/>
      <c r="M71" s="1676"/>
      <c r="N71" s="1168"/>
      <c r="O71" s="1168"/>
      <c r="P71" s="1168"/>
      <c r="Q71" s="1168"/>
      <c r="R71" s="1676"/>
      <c r="S71" s="1168"/>
      <c r="T71" s="1168"/>
      <c r="U71" s="550"/>
      <c r="V71" s="1168"/>
      <c r="W71" s="1168"/>
      <c r="X71" s="1168"/>
      <c r="Y71" s="1168"/>
      <c r="Z71" s="1168"/>
      <c r="AA71" s="1672"/>
      <c r="AB71" s="572"/>
      <c r="AC71" s="572"/>
      <c r="AD71" s="572"/>
      <c r="AE71" s="572"/>
    </row>
    <row s="12366" customFormat="1" customHeight="1" ht="11.25">
      <c r="A72" s="994"/>
      <c r="B72" s="1676"/>
      <c r="C72" s="1676"/>
      <c r="D72" s="347"/>
      <c r="K72" s="1168"/>
      <c r="L72" s="1676"/>
      <c r="M72" s="1676"/>
      <c r="N72" s="1168"/>
      <c r="O72" s="1168"/>
      <c r="P72" s="1168"/>
      <c r="Q72" s="1168"/>
      <c r="R72" s="1676"/>
      <c r="S72" s="1168"/>
      <c r="T72" s="1168"/>
      <c r="U72" s="550"/>
      <c r="V72" s="1168"/>
      <c r="W72" s="1168"/>
      <c r="X72" s="1168"/>
      <c r="Y72" s="1168"/>
      <c r="Z72" s="1168"/>
      <c r="AA72" s="1672"/>
      <c r="AB72" s="572"/>
      <c r="AC72" s="572"/>
      <c r="AD72" s="572"/>
      <c r="AE72" s="572"/>
    </row>
    <row s="12366" customFormat="1" customHeight="1" ht="11.25">
      <c r="A73" s="994"/>
      <c r="B73" s="1676"/>
      <c r="C73" s="1676"/>
      <c r="D73" s="347"/>
      <c r="K73" s="1168"/>
      <c r="L73" s="1676"/>
      <c r="M73" s="1676"/>
      <c r="N73" s="1168"/>
      <c r="O73" s="1168"/>
      <c r="P73" s="1168"/>
      <c r="Q73" s="1168"/>
      <c r="R73" s="1676"/>
      <c r="S73" s="1168"/>
      <c r="T73" s="1168"/>
      <c r="U73" s="550"/>
      <c r="V73" s="1168"/>
      <c r="W73" s="1168"/>
      <c r="X73" s="1168"/>
      <c r="Y73" s="1168"/>
      <c r="Z73" s="1168"/>
      <c r="AA73" s="1672"/>
      <c r="AB73" s="572"/>
      <c r="AC73" s="572"/>
      <c r="AD73" s="572"/>
      <c r="AE73" s="572"/>
    </row>
    <row s="12366" customFormat="1" customHeight="1" ht="11.25">
      <c r="A74" s="994"/>
      <c r="B74" s="1676"/>
      <c r="C74" s="1676"/>
      <c r="D74" s="347"/>
      <c r="K74" s="1168"/>
      <c r="L74" s="1676"/>
      <c r="M74" s="1676"/>
      <c r="N74" s="1168"/>
      <c r="O74" s="1168"/>
      <c r="P74" s="1168"/>
      <c r="Q74" s="1168"/>
      <c r="R74" s="1676"/>
      <c r="S74" s="1168"/>
      <c r="T74" s="1168"/>
      <c r="U74" s="550"/>
      <c r="V74" s="1168"/>
      <c r="W74" s="1168"/>
      <c r="X74" s="1168"/>
      <c r="Y74" s="1168"/>
      <c r="Z74" s="1168"/>
      <c r="AA74" s="1672"/>
      <c r="AB74" s="572"/>
      <c r="AC74" s="572"/>
      <c r="AD74" s="572"/>
      <c r="AE74" s="572"/>
    </row>
    <row s="12366" customFormat="1" customHeight="1" ht="11.25">
      <c r="A75" s="994"/>
      <c r="B75" s="1676"/>
      <c r="C75" s="1676"/>
      <c r="D75" s="347"/>
      <c r="K75" s="1168"/>
      <c r="L75" s="1676"/>
      <c r="M75" s="1676"/>
      <c r="N75" s="1168"/>
      <c r="O75" s="1168"/>
      <c r="P75" s="1168"/>
      <c r="Q75" s="1168"/>
      <c r="R75" s="1676"/>
      <c r="S75" s="1168"/>
      <c r="T75" s="1168"/>
      <c r="U75" s="550"/>
      <c r="V75" s="1168"/>
      <c r="W75" s="1168"/>
      <c r="X75" s="1168"/>
      <c r="Y75" s="1168"/>
      <c r="Z75" s="1168"/>
      <c r="AA75" s="1672"/>
      <c r="AB75" s="572"/>
      <c r="AC75" s="572"/>
      <c r="AD75" s="572"/>
      <c r="AE75" s="572"/>
    </row>
    <row s="12366" customFormat="1" customHeight="1" ht="11.25">
      <c r="A76" s="994"/>
      <c r="B76" s="1676"/>
      <c r="C76" s="1676"/>
      <c r="D76" s="347"/>
      <c r="K76" s="1168"/>
      <c r="L76" s="1676"/>
      <c r="M76" s="1676"/>
      <c r="N76" s="1168"/>
      <c r="O76" s="1168"/>
      <c r="P76" s="1168"/>
      <c r="Q76" s="1168"/>
      <c r="R76" s="1676"/>
      <c r="S76" s="1168"/>
      <c r="T76" s="1168"/>
      <c r="U76" s="550"/>
      <c r="V76" s="1168"/>
      <c r="W76" s="1168"/>
      <c r="X76" s="1168"/>
      <c r="Y76" s="1168"/>
      <c r="Z76" s="1168"/>
      <c r="AA76" s="1672"/>
      <c r="AB76" s="572"/>
      <c r="AC76" s="572"/>
      <c r="AD76" s="572"/>
      <c r="AE76" s="572"/>
    </row>
    <row s="12366" customFormat="1" customHeight="1" ht="11.25">
      <c r="A77" s="994"/>
      <c r="B77" s="1676"/>
      <c r="C77" s="1676"/>
      <c r="D77" s="347"/>
      <c r="K77" s="1168"/>
      <c r="L77" s="1676"/>
      <c r="M77" s="1676"/>
      <c r="N77" s="1168"/>
      <c r="O77" s="1168"/>
      <c r="P77" s="1168"/>
      <c r="Q77" s="1168"/>
      <c r="R77" s="1676"/>
      <c r="S77" s="1168"/>
      <c r="T77" s="1168"/>
      <c r="U77" s="550"/>
      <c r="V77" s="1168"/>
      <c r="W77" s="1168"/>
      <c r="X77" s="1168"/>
      <c r="Y77" s="1168"/>
      <c r="Z77" s="1168"/>
      <c r="AA77" s="1672"/>
      <c r="AB77" s="572"/>
      <c r="AC77" s="572"/>
      <c r="AD77" s="572"/>
      <c r="AE77" s="572"/>
    </row>
    <row s="12366" customFormat="1" customHeight="1" ht="11.25">
      <c r="A78" s="994"/>
      <c r="B78" s="1676"/>
      <c r="C78" s="1676"/>
      <c r="D78" s="347"/>
      <c r="K78" s="1168"/>
      <c r="L78" s="1676"/>
      <c r="M78" s="1676"/>
      <c r="N78" s="1168"/>
      <c r="O78" s="1168"/>
      <c r="P78" s="1168"/>
      <c r="Q78" s="1168"/>
      <c r="R78" s="1676"/>
      <c r="S78" s="1168"/>
      <c r="T78" s="1168"/>
      <c r="U78" s="550"/>
      <c r="V78" s="1168"/>
      <c r="W78" s="1168"/>
      <c r="X78" s="1168"/>
      <c r="Y78" s="1168"/>
      <c r="Z78" s="1168"/>
      <c r="AA78" s="1672"/>
      <c r="AB78" s="572"/>
      <c r="AC78" s="572"/>
      <c r="AD78" s="572"/>
      <c r="AE78" s="572"/>
    </row>
    <row s="12366" customFormat="1" customHeight="1" ht="11.25">
      <c r="A79" s="994"/>
      <c r="B79" s="1676"/>
      <c r="C79" s="1676"/>
      <c r="D79" s="347"/>
      <c r="K79" s="1168"/>
      <c r="L79" s="1676"/>
      <c r="M79" s="1676"/>
      <c r="N79" s="1168"/>
      <c r="O79" s="1168"/>
      <c r="P79" s="1168"/>
      <c r="Q79" s="1168"/>
      <c r="R79" s="1676"/>
      <c r="S79" s="1168"/>
      <c r="T79" s="1168"/>
      <c r="U79" s="550"/>
      <c r="V79" s="1168"/>
      <c r="W79" s="1168"/>
      <c r="X79" s="1168"/>
      <c r="Y79" s="1168"/>
      <c r="Z79" s="1168"/>
      <c r="AA79" s="1672"/>
      <c r="AB79" s="572"/>
      <c r="AC79" s="572"/>
      <c r="AD79" s="572"/>
      <c r="AE79" s="572"/>
    </row>
    <row s="12366" customFormat="1" customHeight="1" ht="11.25">
      <c r="A80" s="994"/>
      <c r="B80" s="1676"/>
      <c r="C80" s="1676"/>
      <c r="D80" s="347"/>
      <c r="K80" s="1168"/>
      <c r="L80" s="1676"/>
      <c r="M80" s="1676"/>
      <c r="N80" s="1168"/>
      <c r="O80" s="1168"/>
      <c r="P80" s="1168"/>
      <c r="Q80" s="1168"/>
      <c r="R80" s="1676"/>
      <c r="S80" s="1168"/>
      <c r="T80" s="1168"/>
      <c r="U80" s="550"/>
      <c r="V80" s="1168"/>
      <c r="W80" s="1168"/>
      <c r="X80" s="1168"/>
      <c r="Y80" s="1168"/>
      <c r="Z80" s="1168"/>
      <c r="AA80" s="1672"/>
      <c r="AB80" s="572"/>
      <c r="AC80" s="572"/>
      <c r="AD80" s="572"/>
      <c r="AE80" s="572"/>
    </row>
    <row s="12366" customFormat="1" customHeight="1" ht="11.25">
      <c r="A81" s="994"/>
      <c r="B81" s="1676"/>
      <c r="C81" s="1676"/>
      <c r="D81" s="347"/>
      <c r="K81" s="1168"/>
      <c r="L81" s="1676"/>
      <c r="M81" s="1676"/>
      <c r="N81" s="1168"/>
      <c r="O81" s="1168"/>
      <c r="P81" s="1168"/>
      <c r="Q81" s="1168"/>
      <c r="R81" s="1676"/>
      <c r="S81" s="1168"/>
      <c r="T81" s="1168"/>
      <c r="U81" s="550"/>
      <c r="V81" s="1168"/>
      <c r="W81" s="1168"/>
      <c r="X81" s="1168"/>
      <c r="Y81" s="1168"/>
      <c r="Z81" s="1168"/>
      <c r="AA81" s="1672"/>
      <c r="AB81" s="572"/>
      <c r="AC81" s="572"/>
      <c r="AD81" s="572"/>
      <c r="AE81" s="572"/>
    </row>
    <row s="12366" customFormat="1" customHeight="1" ht="11.25">
      <c r="A82" s="994"/>
      <c r="B82" s="1676"/>
      <c r="C82" s="1676"/>
      <c r="D82" s="347"/>
      <c r="K82" s="1168"/>
      <c r="L82" s="1676"/>
      <c r="M82" s="1676"/>
      <c r="N82" s="1168"/>
      <c r="O82" s="1168"/>
      <c r="P82" s="1168"/>
      <c r="Q82" s="1168"/>
      <c r="R82" s="1676"/>
      <c r="S82" s="1168"/>
      <c r="T82" s="1168"/>
      <c r="U82" s="550"/>
      <c r="V82" s="1168"/>
      <c r="W82" s="1168"/>
      <c r="X82" s="1168"/>
      <c r="Y82" s="1168"/>
      <c r="Z82" s="1168"/>
      <c r="AA82" s="1672"/>
      <c r="AB82" s="572"/>
      <c r="AC82" s="572"/>
      <c r="AD82" s="572"/>
      <c r="AE82" s="572"/>
    </row>
    <row s="12366" customFormat="1" customHeight="1" ht="11.25">
      <c r="A83" s="994"/>
      <c r="B83" s="1676"/>
      <c r="C83" s="1676"/>
      <c r="D83" s="347"/>
      <c r="K83" s="1168"/>
      <c r="L83" s="1676"/>
      <c r="M83" s="1676"/>
      <c r="N83" s="1168"/>
      <c r="O83" s="1168"/>
      <c r="P83" s="1168"/>
      <c r="Q83" s="1168"/>
      <c r="R83" s="1676"/>
      <c r="S83" s="1168"/>
      <c r="T83" s="1168"/>
      <c r="U83" s="550"/>
      <c r="V83" s="1168"/>
      <c r="W83" s="1168"/>
      <c r="X83" s="1168"/>
      <c r="Y83" s="1168"/>
      <c r="Z83" s="1168"/>
      <c r="AA83" s="1672"/>
      <c r="AB83" s="572"/>
      <c r="AC83" s="572"/>
      <c r="AD83" s="572"/>
      <c r="AE83" s="572"/>
    </row>
    <row s="12366" customFormat="1" customHeight="1" ht="11.25">
      <c r="A84" s="994"/>
      <c r="B84" s="1676"/>
      <c r="C84" s="1676"/>
      <c r="D84" s="347"/>
      <c r="K84" s="1168"/>
      <c r="L84" s="1676"/>
      <c r="M84" s="1676"/>
      <c r="N84" s="1168"/>
      <c r="O84" s="1168"/>
      <c r="P84" s="1168"/>
      <c r="Q84" s="1168"/>
      <c r="R84" s="1676"/>
      <c r="S84" s="1168"/>
      <c r="T84" s="1168"/>
      <c r="U84" s="550"/>
      <c r="V84" s="1168"/>
      <c r="W84" s="1168"/>
      <c r="X84" s="1168"/>
      <c r="Y84" s="1168"/>
      <c r="Z84" s="1168"/>
      <c r="AA84" s="1672"/>
      <c r="AB84" s="572"/>
      <c r="AC84" s="572"/>
      <c r="AD84" s="572"/>
      <c r="AE84" s="572"/>
    </row>
    <row s="12366" customFormat="1" customHeight="1" ht="11.25">
      <c r="A85" s="994"/>
      <c r="B85" s="1676"/>
      <c r="C85" s="1676"/>
      <c r="D85" s="347"/>
      <c r="K85" s="1168"/>
      <c r="L85" s="1676"/>
      <c r="M85" s="1676"/>
      <c r="N85" s="1168"/>
      <c r="O85" s="1168"/>
      <c r="P85" s="1168"/>
      <c r="Q85" s="1168"/>
      <c r="R85" s="1676"/>
      <c r="S85" s="1168"/>
      <c r="T85" s="1168"/>
      <c r="U85" s="550"/>
      <c r="V85" s="1168"/>
      <c r="W85" s="1168"/>
      <c r="X85" s="1168"/>
      <c r="Y85" s="1168"/>
      <c r="Z85" s="1168"/>
      <c r="AA85" s="1672"/>
      <c r="AB85" s="572"/>
      <c r="AC85" s="572"/>
      <c r="AD85" s="572"/>
      <c r="AE85" s="572"/>
    </row>
    <row s="12366" customFormat="1" customHeight="1" ht="11.25">
      <c r="A86" s="994"/>
      <c r="B86" s="1676"/>
      <c r="C86" s="1676"/>
      <c r="D86" s="347"/>
      <c r="K86" s="1168"/>
      <c r="L86" s="1676"/>
      <c r="M86" s="1676"/>
      <c r="N86" s="1168"/>
      <c r="O86" s="1168"/>
      <c r="P86" s="1168"/>
      <c r="Q86" s="1168"/>
      <c r="R86" s="1676"/>
      <c r="S86" s="1168"/>
      <c r="T86" s="1168"/>
      <c r="U86" s="550"/>
      <c r="V86" s="1168"/>
      <c r="W86" s="1168"/>
      <c r="X86" s="1168"/>
      <c r="Y86" s="1168"/>
      <c r="Z86" s="1168"/>
      <c r="AA86" s="1672"/>
      <c r="AB86" s="572"/>
      <c r="AC86" s="572"/>
      <c r="AD86" s="572"/>
      <c r="AE86" s="572"/>
    </row>
    <row s="12366" customFormat="1" customHeight="1" ht="11.25">
      <c r="A87" s="994"/>
      <c r="B87" s="1676"/>
      <c r="C87" s="1676"/>
      <c r="D87" s="347"/>
      <c r="K87" s="1168"/>
      <c r="L87" s="1676"/>
      <c r="M87" s="1676"/>
      <c r="N87" s="1168"/>
      <c r="O87" s="1168"/>
      <c r="P87" s="1168"/>
      <c r="Q87" s="1168"/>
      <c r="R87" s="1676"/>
      <c r="S87" s="1168"/>
      <c r="T87" s="1168"/>
      <c r="U87" s="550"/>
      <c r="V87" s="1168"/>
      <c r="W87" s="1168"/>
      <c r="X87" s="1168"/>
      <c r="Y87" s="1168"/>
      <c r="Z87" s="1168"/>
      <c r="AA87" s="1672"/>
      <c r="AB87" s="572"/>
      <c r="AC87" s="572"/>
      <c r="AD87" s="572"/>
      <c r="AE87" s="572"/>
    </row>
    <row s="12366" customFormat="1" customHeight="1" ht="11.25">
      <c r="A88" s="994"/>
      <c r="B88" s="1676"/>
      <c r="C88" s="1676"/>
      <c r="D88" s="347"/>
      <c r="K88" s="1168"/>
      <c r="L88" s="1676"/>
      <c r="M88" s="1676"/>
      <c r="N88" s="1168"/>
      <c r="O88" s="1168"/>
      <c r="P88" s="1168"/>
      <c r="Q88" s="1168"/>
      <c r="R88" s="1676"/>
      <c r="S88" s="1168"/>
      <c r="T88" s="1168"/>
      <c r="U88" s="550"/>
      <c r="V88" s="1168"/>
      <c r="W88" s="1168"/>
      <c r="X88" s="1168"/>
      <c r="Y88" s="1168"/>
      <c r="Z88" s="1168"/>
      <c r="AA88" s="1672"/>
      <c r="AB88" s="572"/>
      <c r="AC88" s="572"/>
      <c r="AD88" s="572"/>
      <c r="AE88" s="572"/>
    </row>
    <row s="12366" customFormat="1" customHeight="1" ht="11.25">
      <c r="A89" s="994"/>
      <c r="B89" s="1676"/>
      <c r="C89" s="1676"/>
      <c r="D89" s="347"/>
      <c r="K89" s="1168"/>
      <c r="L89" s="1676"/>
      <c r="M89" s="1676"/>
      <c r="N89" s="1168"/>
      <c r="O89" s="1168"/>
      <c r="P89" s="1168"/>
      <c r="Q89" s="1168"/>
      <c r="R89" s="1676"/>
      <c r="S89" s="1168"/>
      <c r="T89" s="1168"/>
      <c r="U89" s="550"/>
      <c r="V89" s="1168"/>
      <c r="W89" s="1168"/>
      <c r="X89" s="1168"/>
      <c r="Y89" s="1168"/>
      <c r="Z89" s="1168"/>
      <c r="AA89" s="1672"/>
      <c r="AB89" s="572"/>
      <c r="AC89" s="572"/>
      <c r="AD89" s="572"/>
      <c r="AE89" s="572"/>
    </row>
    <row s="12366" customFormat="1" customHeight="1" ht="11.25">
      <c r="A90" s="994"/>
      <c r="B90" s="1676"/>
      <c r="C90" s="1676"/>
      <c r="D90" s="347"/>
      <c r="K90" s="1168"/>
      <c r="L90" s="1676"/>
      <c r="M90" s="1676"/>
      <c r="N90" s="1168"/>
      <c r="O90" s="1168"/>
      <c r="P90" s="1168"/>
      <c r="Q90" s="1168"/>
      <c r="R90" s="1676"/>
      <c r="S90" s="1168"/>
      <c r="T90" s="1168"/>
      <c r="U90" s="550"/>
      <c r="V90" s="1168"/>
      <c r="W90" s="1168"/>
      <c r="X90" s="1168"/>
      <c r="Y90" s="1168"/>
      <c r="Z90" s="1168"/>
      <c r="AA90" s="1672"/>
      <c r="AB90" s="572"/>
      <c r="AC90" s="572"/>
      <c r="AD90" s="572"/>
      <c r="AE90" s="572"/>
    </row>
    <row s="12366" customFormat="1" customHeight="1" ht="11.25">
      <c r="A91" s="994"/>
      <c r="B91" s="1676"/>
      <c r="C91" s="1676"/>
      <c r="D91" s="347"/>
      <c r="K91" s="1168"/>
      <c r="L91" s="1676"/>
      <c r="M91" s="1676"/>
      <c r="N91" s="1168"/>
      <c r="O91" s="1168"/>
      <c r="P91" s="1168"/>
      <c r="Q91" s="1168"/>
      <c r="R91" s="1676"/>
      <c r="S91" s="1168"/>
      <c r="T91" s="1168"/>
      <c r="U91" s="550"/>
      <c r="V91" s="1168"/>
      <c r="W91" s="1168"/>
      <c r="X91" s="1168"/>
      <c r="Y91" s="1168"/>
      <c r="Z91" s="1168"/>
      <c r="AA91" s="1672"/>
      <c r="AB91" s="572"/>
      <c r="AC91" s="572"/>
      <c r="AD91" s="572"/>
      <c r="AE91" s="572"/>
    </row>
    <row s="12366" customFormat="1" customHeight="1" ht="11.25">
      <c r="A92" s="994"/>
      <c r="B92" s="1676"/>
      <c r="C92" s="1676"/>
      <c r="D92" s="347"/>
      <c r="K92" s="1168"/>
      <c r="L92" s="1676"/>
      <c r="M92" s="1676"/>
      <c r="N92" s="1168"/>
      <c r="O92" s="1168"/>
      <c r="P92" s="1168"/>
      <c r="Q92" s="1168"/>
      <c r="R92" s="1676"/>
      <c r="S92" s="1168"/>
      <c r="T92" s="1168"/>
      <c r="U92" s="550"/>
      <c r="V92" s="1168"/>
      <c r="W92" s="1168"/>
      <c r="X92" s="1168"/>
      <c r="Y92" s="1168"/>
      <c r="Z92" s="1168"/>
      <c r="AA92" s="1672"/>
      <c r="AB92" s="572"/>
      <c r="AC92" s="572"/>
      <c r="AD92" s="572"/>
      <c r="AE92" s="572"/>
    </row>
    <row s="12366" customFormat="1" customHeight="1" ht="11.25">
      <c r="A93" s="994"/>
      <c r="B93" s="1676"/>
      <c r="C93" s="1676"/>
      <c r="D93" s="347"/>
      <c r="K93" s="1168"/>
      <c r="L93" s="1676"/>
      <c r="M93" s="1676"/>
      <c r="N93" s="1168"/>
      <c r="O93" s="1168"/>
      <c r="P93" s="1168"/>
      <c r="Q93" s="1168"/>
      <c r="R93" s="1676"/>
      <c r="S93" s="1168"/>
      <c r="T93" s="1168"/>
      <c r="U93" s="550"/>
      <c r="V93" s="1168"/>
      <c r="W93" s="1168"/>
      <c r="X93" s="1168"/>
      <c r="Y93" s="1168"/>
      <c r="Z93" s="1168"/>
      <c r="AA93" s="1672"/>
      <c r="AB93" s="572"/>
      <c r="AC93" s="572"/>
      <c r="AD93" s="572"/>
      <c r="AE93" s="572"/>
    </row>
    <row s="12366" customFormat="1" customHeight="1" ht="11.25">
      <c r="A94" s="994"/>
      <c r="B94" s="1676"/>
      <c r="C94" s="1676"/>
      <c r="D94" s="347"/>
      <c r="K94" s="1168"/>
      <c r="L94" s="1676"/>
      <c r="M94" s="1676"/>
      <c r="N94" s="1168"/>
      <c r="O94" s="1168"/>
      <c r="P94" s="1168"/>
      <c r="Q94" s="1168"/>
      <c r="R94" s="1676"/>
      <c r="S94" s="1168"/>
      <c r="T94" s="1168"/>
      <c r="U94" s="550"/>
      <c r="V94" s="1168"/>
      <c r="W94" s="1168"/>
      <c r="X94" s="1168"/>
      <c r="Y94" s="1168"/>
      <c r="Z94" s="1168"/>
      <c r="AA94" s="1672"/>
      <c r="AB94" s="572"/>
      <c r="AC94" s="572"/>
      <c r="AD94" s="572"/>
      <c r="AE94" s="572"/>
    </row>
    <row s="12366" customFormat="1" customHeight="1" ht="11.25">
      <c r="A95" s="994"/>
      <c r="B95" s="1676"/>
      <c r="C95" s="1676"/>
      <c r="D95" s="347"/>
      <c r="K95" s="1168"/>
      <c r="L95" s="1676"/>
      <c r="M95" s="1676"/>
      <c r="N95" s="1168"/>
      <c r="O95" s="1168"/>
      <c r="P95" s="1168"/>
      <c r="Q95" s="1168"/>
      <c r="R95" s="1676"/>
      <c r="S95" s="1168"/>
      <c r="T95" s="1168"/>
      <c r="U95" s="550"/>
      <c r="V95" s="1168"/>
      <c r="W95" s="1168"/>
      <c r="X95" s="1168"/>
      <c r="Y95" s="1168"/>
      <c r="Z95" s="1168"/>
      <c r="AA95" s="1672"/>
      <c r="AB95" s="572"/>
      <c r="AC95" s="572"/>
      <c r="AD95" s="572"/>
      <c r="AE95" s="572"/>
    </row>
    <row s="12366" customFormat="1" customHeight="1" ht="11.25">
      <c r="A96" s="994"/>
      <c r="B96" s="1676"/>
      <c r="C96" s="1676"/>
      <c r="D96" s="347"/>
      <c r="K96" s="1168"/>
      <c r="L96" s="1676"/>
      <c r="M96" s="1676"/>
      <c r="N96" s="1168"/>
      <c r="O96" s="1168"/>
      <c r="P96" s="1168"/>
      <c r="Q96" s="1168"/>
      <c r="R96" s="1676"/>
      <c r="S96" s="1168"/>
      <c r="T96" s="1168"/>
      <c r="U96" s="550"/>
      <c r="V96" s="1168"/>
      <c r="W96" s="1168"/>
      <c r="X96" s="1168"/>
      <c r="Y96" s="1168"/>
      <c r="Z96" s="1168"/>
      <c r="AA96" s="1672"/>
      <c r="AB96" s="572"/>
      <c r="AC96" s="572"/>
      <c r="AD96" s="572"/>
      <c r="AE96" s="572"/>
    </row>
    <row s="12366" customFormat="1" customHeight="1" ht="11.25">
      <c r="A97" s="994"/>
      <c r="B97" s="1676"/>
      <c r="C97" s="1676"/>
      <c r="D97" s="347"/>
      <c r="K97" s="1168"/>
      <c r="L97" s="1676"/>
      <c r="M97" s="1676"/>
      <c r="N97" s="1168"/>
      <c r="O97" s="1168"/>
      <c r="P97" s="1168"/>
      <c r="Q97" s="1168"/>
      <c r="R97" s="1676"/>
      <c r="S97" s="1168"/>
      <c r="T97" s="1168"/>
      <c r="U97" s="550"/>
      <c r="V97" s="1168"/>
      <c r="W97" s="1168"/>
      <c r="X97" s="1168"/>
      <c r="Y97" s="1168"/>
      <c r="Z97" s="1168"/>
      <c r="AA97" s="1672"/>
      <c r="AB97" s="572"/>
      <c r="AC97" s="572"/>
      <c r="AD97" s="572"/>
      <c r="AE97" s="572"/>
    </row>
    <row s="12366" customFormat="1" customHeight="1" ht="11.25">
      <c r="A98" s="994"/>
      <c r="B98" s="1676"/>
      <c r="C98" s="1676"/>
      <c r="D98" s="347"/>
      <c r="K98" s="1168"/>
      <c r="L98" s="1676"/>
      <c r="M98" s="1676"/>
      <c r="N98" s="1168"/>
      <c r="O98" s="1168"/>
      <c r="P98" s="1168"/>
      <c r="Q98" s="1168"/>
      <c r="R98" s="1676"/>
      <c r="S98" s="1168"/>
      <c r="T98" s="1168"/>
      <c r="U98" s="550"/>
      <c r="V98" s="1168"/>
      <c r="W98" s="1168"/>
      <c r="X98" s="1168"/>
      <c r="Y98" s="1168"/>
      <c r="Z98" s="1168"/>
      <c r="AA98" s="1672"/>
      <c r="AB98" s="572"/>
      <c r="AC98" s="572"/>
      <c r="AD98" s="572"/>
      <c r="AE98" s="572"/>
    </row>
    <row s="12366" customFormat="1" customHeight="1" ht="11.25">
      <c r="A99" s="994"/>
      <c r="B99" s="1676"/>
      <c r="C99" s="1676"/>
      <c r="D99" s="347"/>
      <c r="K99" s="1168"/>
      <c r="L99" s="1676"/>
      <c r="M99" s="1676"/>
      <c r="N99" s="1168"/>
      <c r="O99" s="1168"/>
      <c r="P99" s="1168"/>
      <c r="Q99" s="1168"/>
      <c r="R99" s="1676"/>
      <c r="S99" s="1168"/>
      <c r="T99" s="1168"/>
      <c r="U99" s="550"/>
      <c r="V99" s="1168"/>
      <c r="W99" s="1168"/>
      <c r="X99" s="1168"/>
      <c r="Y99" s="1168"/>
      <c r="Z99" s="1168"/>
      <c r="AA99" s="1672"/>
      <c r="AB99" s="572"/>
      <c r="AC99" s="572"/>
      <c r="AD99" s="572"/>
      <c r="AE99" s="572"/>
    </row>
    <row s="12366" customFormat="1" customHeight="1" ht="11.25">
      <c r="A100" s="994"/>
      <c r="B100" s="1676"/>
      <c r="C100" s="1676"/>
      <c r="D100" s="347"/>
      <c r="K100" s="1168"/>
      <c r="L100" s="1676"/>
      <c r="M100" s="1676"/>
      <c r="N100" s="1168"/>
      <c r="O100" s="1168"/>
      <c r="P100" s="1168"/>
      <c r="Q100" s="1168"/>
      <c r="R100" s="1676"/>
      <c r="S100" s="1168"/>
      <c r="T100" s="1168"/>
      <c r="U100" s="550"/>
      <c r="V100" s="1168"/>
      <c r="W100" s="1168"/>
      <c r="X100" s="1168"/>
      <c r="Y100" s="1168"/>
      <c r="Z100" s="1168"/>
      <c r="AA100" s="1672"/>
      <c r="AB100" s="572"/>
      <c r="AC100" s="572"/>
      <c r="AD100" s="572"/>
      <c r="AE100" s="572"/>
    </row>
    <row s="12366" customFormat="1" customHeight="1" ht="11.25">
      <c r="A101" s="994"/>
      <c r="B101" s="1676"/>
      <c r="C101" s="1676"/>
      <c r="D101" s="347"/>
      <c r="K101" s="1168"/>
      <c r="L101" s="1676"/>
      <c r="M101" s="1676"/>
      <c r="N101" s="1168"/>
      <c r="O101" s="1168"/>
      <c r="P101" s="1168"/>
      <c r="Q101" s="1168"/>
      <c r="R101" s="1676"/>
      <c r="S101" s="1168"/>
      <c r="T101" s="1168"/>
      <c r="U101" s="550"/>
      <c r="V101" s="1168"/>
      <c r="W101" s="1168"/>
      <c r="X101" s="1168"/>
      <c r="Y101" s="1168"/>
      <c r="Z101" s="1168"/>
      <c r="AA101" s="1672"/>
      <c r="AB101" s="572"/>
      <c r="AC101" s="572"/>
      <c r="AD101" s="572"/>
      <c r="AE101" s="572"/>
    </row>
    <row s="12366" customFormat="1" customHeight="1" ht="11.25">
      <c r="A102" s="994"/>
      <c r="B102" s="1676"/>
      <c r="C102" s="1676"/>
      <c r="D102" s="347"/>
      <c r="K102" s="1168"/>
      <c r="L102" s="1676"/>
      <c r="M102" s="1676"/>
      <c r="N102" s="1168"/>
      <c r="O102" s="1168"/>
      <c r="P102" s="1168"/>
      <c r="Q102" s="1168"/>
      <c r="R102" s="1676"/>
      <c r="S102" s="1168"/>
      <c r="T102" s="1168"/>
      <c r="U102" s="550"/>
      <c r="V102" s="1168"/>
      <c r="W102" s="1168"/>
      <c r="X102" s="1168"/>
      <c r="Y102" s="1168"/>
      <c r="Z102" s="1168"/>
      <c r="AA102" s="1672"/>
      <c r="AB102" s="572"/>
      <c r="AC102" s="572"/>
      <c r="AD102" s="572"/>
      <c r="AE102" s="572"/>
    </row>
    <row s="12366" customFormat="1" customHeight="1" ht="11.25">
      <c r="A103" s="994"/>
      <c r="B103" s="1676"/>
      <c r="C103" s="1676"/>
      <c r="D103" s="347"/>
      <c r="K103" s="1168"/>
      <c r="L103" s="1676"/>
      <c r="M103" s="1676"/>
      <c r="N103" s="1168"/>
      <c r="O103" s="1168"/>
      <c r="P103" s="1168"/>
      <c r="Q103" s="1168"/>
      <c r="R103" s="1676"/>
      <c r="S103" s="1168"/>
      <c r="T103" s="1168"/>
      <c r="U103" s="550"/>
      <c r="V103" s="1168"/>
      <c r="W103" s="1168"/>
      <c r="X103" s="1168"/>
      <c r="Y103" s="1168"/>
      <c r="Z103" s="1168"/>
      <c r="AA103" s="1672"/>
      <c r="AB103" s="572"/>
      <c r="AC103" s="572"/>
      <c r="AD103" s="572"/>
      <c r="AE103" s="572"/>
    </row>
    <row s="12366" customFormat="1" customHeight="1" ht="11.25">
      <c r="A104" s="994"/>
      <c r="B104" s="1676"/>
      <c r="C104" s="1676"/>
      <c r="D104" s="347"/>
      <c r="K104" s="1168"/>
      <c r="L104" s="1676"/>
      <c r="M104" s="1676"/>
      <c r="N104" s="1168"/>
      <c r="O104" s="1168"/>
      <c r="P104" s="1168"/>
      <c r="Q104" s="1168"/>
      <c r="R104" s="1676"/>
      <c r="S104" s="1168"/>
      <c r="T104" s="1168"/>
      <c r="U104" s="550"/>
      <c r="V104" s="1168"/>
      <c r="W104" s="1168"/>
      <c r="X104" s="1168"/>
      <c r="Y104" s="1168"/>
      <c r="Z104" s="1168"/>
      <c r="AA104" s="1672"/>
      <c r="AB104" s="572"/>
      <c r="AC104" s="572"/>
      <c r="AD104" s="572"/>
      <c r="AE104" s="572"/>
    </row>
    <row s="12366" customFormat="1" customHeight="1" ht="11.25">
      <c r="A105" s="994"/>
      <c r="B105" s="1676"/>
      <c r="C105" s="1676"/>
      <c r="D105" s="347"/>
      <c r="K105" s="1168"/>
      <c r="L105" s="1676"/>
      <c r="M105" s="1676"/>
      <c r="N105" s="1168"/>
      <c r="O105" s="1168"/>
      <c r="P105" s="1168"/>
      <c r="Q105" s="1168"/>
      <c r="R105" s="1676"/>
      <c r="S105" s="1168"/>
      <c r="T105" s="1168"/>
      <c r="U105" s="550"/>
      <c r="V105" s="1168"/>
      <c r="W105" s="1168"/>
      <c r="X105" s="1168"/>
      <c r="Y105" s="1168"/>
      <c r="Z105" s="1168"/>
      <c r="AA105" s="1672"/>
      <c r="AB105" s="572"/>
      <c r="AC105" s="572"/>
      <c r="AD105" s="572"/>
      <c r="AE105" s="572"/>
    </row>
    <row s="12366" customFormat="1" customHeight="1" ht="11.25">
      <c r="A106" s="994"/>
      <c r="B106" s="1676"/>
      <c r="C106" s="1676"/>
      <c r="D106" s="347"/>
      <c r="K106" s="1168"/>
      <c r="L106" s="1676"/>
      <c r="M106" s="1676"/>
      <c r="N106" s="1168"/>
      <c r="O106" s="1168"/>
      <c r="P106" s="1168"/>
      <c r="Q106" s="1168"/>
      <c r="R106" s="1676"/>
      <c r="S106" s="1168"/>
      <c r="T106" s="1168"/>
      <c r="U106" s="550"/>
      <c r="V106" s="1168"/>
      <c r="W106" s="1168"/>
      <c r="X106" s="1168"/>
      <c r="Y106" s="1168"/>
      <c r="Z106" s="1168"/>
      <c r="AA106" s="1672"/>
      <c r="AB106" s="572"/>
      <c r="AC106" s="572"/>
      <c r="AD106" s="572"/>
      <c r="AE106" s="572"/>
    </row>
    <row s="12366" customFormat="1" customHeight="1" ht="11.25">
      <c r="A107" s="994"/>
      <c r="B107" s="1676"/>
      <c r="C107" s="1676"/>
      <c r="D107" s="347"/>
      <c r="K107" s="1168"/>
      <c r="L107" s="1676"/>
      <c r="M107" s="1676"/>
      <c r="N107" s="1168"/>
      <c r="O107" s="1168"/>
      <c r="P107" s="1168"/>
      <c r="Q107" s="1168"/>
      <c r="R107" s="1676"/>
      <c r="S107" s="1168"/>
      <c r="T107" s="1168"/>
      <c r="U107" s="550"/>
      <c r="V107" s="1168"/>
      <c r="W107" s="1168"/>
      <c r="X107" s="1168"/>
      <c r="Y107" s="1168"/>
      <c r="Z107" s="1168"/>
      <c r="AA107" s="1672"/>
      <c r="AB107" s="572"/>
      <c r="AC107" s="572"/>
      <c r="AD107" s="572"/>
      <c r="AE107" s="572"/>
    </row>
    <row s="12366" customFormat="1" customHeight="1" ht="11.25">
      <c r="A108" s="994"/>
      <c r="B108" s="1676"/>
      <c r="C108" s="1676"/>
      <c r="D108" s="347"/>
      <c r="K108" s="1168"/>
      <c r="L108" s="1676"/>
      <c r="M108" s="1676"/>
      <c r="N108" s="1168"/>
      <c r="O108" s="1168"/>
      <c r="P108" s="1168"/>
      <c r="Q108" s="1168"/>
      <c r="R108" s="1676"/>
      <c r="S108" s="1168"/>
      <c r="T108" s="1168"/>
      <c r="U108" s="550"/>
      <c r="V108" s="1168"/>
      <c r="W108" s="1168"/>
      <c r="X108" s="1168"/>
      <c r="Y108" s="1168"/>
      <c r="Z108" s="1168"/>
      <c r="AA108" s="1672"/>
      <c r="AB108" s="572"/>
      <c r="AC108" s="572"/>
      <c r="AD108" s="572"/>
      <c r="AE108" s="572"/>
    </row>
    <row s="12366" customFormat="1" customHeight="1" ht="11.25">
      <c r="A109" s="994"/>
      <c r="B109" s="1676"/>
      <c r="C109" s="1676"/>
      <c r="D109" s="347"/>
      <c r="K109" s="1168"/>
      <c r="L109" s="1676"/>
      <c r="M109" s="1676"/>
      <c r="N109" s="1168"/>
      <c r="O109" s="1168"/>
      <c r="P109" s="1168"/>
      <c r="Q109" s="1168"/>
      <c r="R109" s="1676"/>
      <c r="S109" s="1168"/>
      <c r="T109" s="1168"/>
      <c r="U109" s="550"/>
      <c r="V109" s="1168"/>
      <c r="W109" s="1168"/>
      <c r="X109" s="1168"/>
      <c r="Y109" s="1168"/>
      <c r="Z109" s="1168"/>
      <c r="AA109" s="1672"/>
      <c r="AB109" s="572"/>
      <c r="AC109" s="572"/>
      <c r="AD109" s="572"/>
      <c r="AE109" s="572"/>
    </row>
    <row s="12366" customFormat="1" customHeight="1" ht="11.25">
      <c r="A110" s="994"/>
      <c r="B110" s="1676"/>
      <c r="C110" s="1676"/>
      <c r="D110" s="347"/>
      <c r="K110" s="1168"/>
      <c r="L110" s="1676"/>
      <c r="M110" s="1676"/>
      <c r="N110" s="1168"/>
      <c r="O110" s="1168"/>
      <c r="P110" s="1168"/>
      <c r="Q110" s="1168"/>
      <c r="R110" s="1676"/>
      <c r="S110" s="1168"/>
      <c r="T110" s="1168"/>
      <c r="U110" s="550"/>
      <c r="V110" s="1168"/>
      <c r="W110" s="1168"/>
      <c r="X110" s="1168"/>
      <c r="Y110" s="1168"/>
      <c r="Z110" s="1168"/>
      <c r="AA110" s="1672"/>
      <c r="AB110" s="572"/>
      <c r="AC110" s="572"/>
      <c r="AD110" s="572"/>
      <c r="AE110" s="572"/>
    </row>
    <row s="12366" customFormat="1" customHeight="1" ht="11.25">
      <c r="A111" s="994"/>
      <c r="B111" s="1676"/>
      <c r="C111" s="1676"/>
      <c r="D111" s="347"/>
      <c r="K111" s="1168"/>
      <c r="L111" s="1676"/>
      <c r="M111" s="1676"/>
      <c r="N111" s="1168"/>
      <c r="O111" s="1168"/>
      <c r="P111" s="1168"/>
      <c r="Q111" s="1168"/>
      <c r="R111" s="1676"/>
      <c r="S111" s="1168"/>
      <c r="T111" s="1168"/>
      <c r="U111" s="550"/>
      <c r="V111" s="1168"/>
      <c r="W111" s="1168"/>
      <c r="X111" s="1168"/>
      <c r="Y111" s="1168"/>
      <c r="Z111" s="1168"/>
      <c r="AA111" s="1672"/>
      <c r="AB111" s="572"/>
      <c r="AC111" s="572"/>
      <c r="AD111" s="572"/>
      <c r="AE111" s="572"/>
    </row>
    <row s="12366" customFormat="1" customHeight="1" ht="11.25">
      <c r="A112" s="994"/>
      <c r="B112" s="1676"/>
      <c r="C112" s="1676"/>
      <c r="D112" s="347"/>
      <c r="K112" s="1168"/>
      <c r="L112" s="1676"/>
      <c r="M112" s="1676"/>
      <c r="N112" s="1168"/>
      <c r="O112" s="1168"/>
      <c r="P112" s="1168"/>
      <c r="Q112" s="1168"/>
      <c r="R112" s="1676"/>
      <c r="S112" s="1168"/>
      <c r="T112" s="1168"/>
      <c r="U112" s="550"/>
      <c r="V112" s="1168"/>
      <c r="W112" s="1168"/>
      <c r="X112" s="1168"/>
      <c r="Y112" s="1168"/>
      <c r="Z112" s="1168"/>
      <c r="AA112" s="1672"/>
      <c r="AB112" s="572"/>
      <c r="AC112" s="572"/>
      <c r="AD112" s="572"/>
      <c r="AE112" s="572"/>
    </row>
    <row s="12366" customFormat="1" customHeight="1" ht="11.25">
      <c r="A113" s="994"/>
      <c r="B113" s="1676"/>
      <c r="C113" s="1676"/>
      <c r="D113" s="347"/>
      <c r="K113" s="1168"/>
      <c r="L113" s="1676"/>
      <c r="M113" s="1676"/>
      <c r="N113" s="1168"/>
      <c r="O113" s="1168"/>
      <c r="P113" s="1168"/>
      <c r="Q113" s="1168"/>
      <c r="R113" s="1676"/>
      <c r="S113" s="1168"/>
      <c r="T113" s="1168"/>
      <c r="U113" s="550"/>
      <c r="V113" s="1168"/>
      <c r="W113" s="1168"/>
      <c r="X113" s="1168"/>
      <c r="Y113" s="1168"/>
      <c r="Z113" s="1168"/>
      <c r="AA113" s="1672"/>
      <c r="AB113" s="572"/>
      <c r="AC113" s="572"/>
      <c r="AD113" s="572"/>
      <c r="AE113" s="572"/>
    </row>
    <row s="12366" customFormat="1" customHeight="1" ht="11.25">
      <c r="A114" s="994"/>
      <c r="B114" s="1676"/>
      <c r="C114" s="1676"/>
      <c r="D114" s="347"/>
      <c r="K114" s="1168"/>
      <c r="L114" s="1676"/>
      <c r="M114" s="1676"/>
      <c r="N114" s="1168"/>
      <c r="O114" s="1168"/>
      <c r="P114" s="1168"/>
      <c r="Q114" s="1168"/>
      <c r="R114" s="1676"/>
      <c r="S114" s="1168"/>
      <c r="T114" s="1168"/>
      <c r="U114" s="550"/>
      <c r="V114" s="1168"/>
      <c r="W114" s="1168"/>
      <c r="X114" s="1168"/>
      <c r="Y114" s="1168"/>
      <c r="Z114" s="1168"/>
      <c r="AA114" s="1672"/>
      <c r="AB114" s="572"/>
      <c r="AC114" s="572"/>
      <c r="AD114" s="572"/>
      <c r="AE114" s="572"/>
    </row>
    <row s="12366" customFormat="1" customHeight="1" ht="11.25">
      <c r="A115" s="994"/>
      <c r="B115" s="1676"/>
      <c r="C115" s="1676"/>
      <c r="D115" s="347"/>
      <c r="K115" s="1168"/>
      <c r="L115" s="1676"/>
      <c r="M115" s="1676"/>
      <c r="N115" s="1168"/>
      <c r="O115" s="1168"/>
      <c r="P115" s="1168"/>
      <c r="Q115" s="1168"/>
      <c r="R115" s="1676"/>
      <c r="S115" s="1168"/>
      <c r="T115" s="1168"/>
      <c r="U115" s="550"/>
      <c r="V115" s="1168"/>
      <c r="W115" s="1168"/>
      <c r="X115" s="1168"/>
      <c r="Y115" s="1168"/>
      <c r="Z115" s="1168"/>
      <c r="AA115" s="1672"/>
      <c r="AB115" s="572"/>
      <c r="AC115" s="572"/>
      <c r="AD115" s="572"/>
      <c r="AE115" s="572"/>
    </row>
    <row s="12366" customFormat="1" customHeight="1" ht="11.25">
      <c r="A116" s="994"/>
      <c r="B116" s="1676"/>
      <c r="C116" s="1676"/>
      <c r="D116" s="347"/>
      <c r="K116" s="1168"/>
      <c r="L116" s="1676"/>
      <c r="M116" s="1676"/>
      <c r="N116" s="1168"/>
      <c r="O116" s="1168"/>
      <c r="P116" s="1168"/>
      <c r="Q116" s="1168"/>
      <c r="R116" s="1676"/>
      <c r="S116" s="1168"/>
      <c r="T116" s="1168"/>
      <c r="U116" s="550"/>
      <c r="V116" s="1168"/>
      <c r="W116" s="1168"/>
      <c r="X116" s="1168"/>
      <c r="Y116" s="1168"/>
      <c r="Z116" s="1168"/>
      <c r="AA116" s="1672"/>
      <c r="AB116" s="572"/>
      <c r="AC116" s="572"/>
      <c r="AD116" s="572"/>
      <c r="AE116" s="572"/>
    </row>
    <row s="12366" customFormat="1" customHeight="1" ht="11.25">
      <c r="A117" s="994"/>
      <c r="B117" s="1676"/>
      <c r="C117" s="1676"/>
      <c r="D117" s="347"/>
      <c r="K117" s="1168"/>
      <c r="L117" s="1676"/>
      <c r="M117" s="1676"/>
      <c r="N117" s="1168"/>
      <c r="O117" s="1168"/>
      <c r="P117" s="1168"/>
      <c r="Q117" s="1168"/>
      <c r="R117" s="1676"/>
      <c r="S117" s="1168"/>
      <c r="T117" s="1168"/>
      <c r="U117" s="550"/>
      <c r="V117" s="1168"/>
      <c r="W117" s="1168"/>
      <c r="X117" s="1168"/>
      <c r="Y117" s="1168"/>
      <c r="Z117" s="1168"/>
      <c r="AA117" s="1672"/>
      <c r="AB117" s="572"/>
      <c r="AC117" s="572"/>
      <c r="AD117" s="572"/>
      <c r="AE117" s="572"/>
    </row>
    <row s="12366" customFormat="1" customHeight="1" ht="11.25">
      <c r="A118" s="994"/>
      <c r="B118" s="1676"/>
      <c r="C118" s="1676"/>
      <c r="D118" s="347"/>
      <c r="K118" s="1168"/>
      <c r="L118" s="1676"/>
      <c r="M118" s="1676"/>
      <c r="N118" s="1168"/>
      <c r="O118" s="1168"/>
      <c r="P118" s="1168"/>
      <c r="Q118" s="1168"/>
      <c r="R118" s="1676"/>
      <c r="S118" s="1168"/>
      <c r="T118" s="1168"/>
      <c r="U118" s="550"/>
      <c r="V118" s="1168"/>
      <c r="W118" s="1168"/>
      <c r="X118" s="1168"/>
      <c r="Y118" s="1168"/>
      <c r="Z118" s="1168"/>
      <c r="AA118" s="1672"/>
      <c r="AB118" s="572"/>
      <c r="AC118" s="572"/>
      <c r="AD118" s="572"/>
      <c r="AE118" s="572"/>
    </row>
    <row s="12366" customFormat="1" customHeight="1" ht="11.25">
      <c r="A119" s="994"/>
      <c r="B119" s="1676"/>
      <c r="C119" s="1676"/>
      <c r="D119" s="347"/>
      <c r="K119" s="1168"/>
      <c r="L119" s="1676"/>
      <c r="M119" s="1676"/>
      <c r="N119" s="1168"/>
      <c r="O119" s="1168"/>
      <c r="P119" s="1168"/>
      <c r="Q119" s="1168"/>
      <c r="R119" s="1676"/>
      <c r="S119" s="1168"/>
      <c r="T119" s="1168"/>
      <c r="U119" s="550"/>
      <c r="V119" s="1168"/>
      <c r="W119" s="1168"/>
      <c r="X119" s="1168"/>
      <c r="Y119" s="1168"/>
      <c r="Z119" s="1168"/>
      <c r="AA119" s="1672"/>
      <c r="AB119" s="572"/>
      <c r="AC119" s="572"/>
      <c r="AD119" s="572"/>
      <c r="AE119" s="572"/>
    </row>
    <row s="12366" customFormat="1" customHeight="1" ht="11.25">
      <c r="A120" s="994"/>
      <c r="B120" s="1676"/>
      <c r="C120" s="1676"/>
      <c r="D120" s="347"/>
      <c r="K120" s="1168"/>
      <c r="L120" s="1676"/>
      <c r="M120" s="1676"/>
      <c r="N120" s="1168"/>
      <c r="O120" s="1168"/>
      <c r="P120" s="1168"/>
      <c r="Q120" s="1168"/>
      <c r="R120" s="1676"/>
      <c r="S120" s="1168"/>
      <c r="T120" s="1168"/>
      <c r="U120" s="550"/>
      <c r="V120" s="1168"/>
      <c r="W120" s="1168"/>
      <c r="X120" s="1168"/>
      <c r="Y120" s="1168"/>
      <c r="Z120" s="1168"/>
      <c r="AA120" s="1672"/>
      <c r="AB120" s="572"/>
      <c r="AC120" s="572"/>
      <c r="AD120" s="572"/>
      <c r="AE120" s="572"/>
    </row>
    <row s="12366" customFormat="1" customHeight="1" ht="11.25">
      <c r="A121" s="994"/>
      <c r="B121" s="1676"/>
      <c r="C121" s="1676"/>
      <c r="D121" s="347"/>
      <c r="K121" s="1168"/>
      <c r="L121" s="1676"/>
      <c r="M121" s="1676"/>
      <c r="N121" s="1168"/>
      <c r="O121" s="1168"/>
      <c r="P121" s="1168"/>
      <c r="Q121" s="1168"/>
      <c r="R121" s="1676"/>
      <c r="S121" s="1168"/>
      <c r="T121" s="1168"/>
      <c r="U121" s="550"/>
      <c r="V121" s="1168"/>
      <c r="W121" s="1168"/>
      <c r="X121" s="1168"/>
      <c r="Y121" s="1168"/>
      <c r="Z121" s="1168"/>
      <c r="AA121" s="1672"/>
      <c r="AB121" s="572"/>
      <c r="AC121" s="572"/>
      <c r="AD121" s="572"/>
      <c r="AE121" s="572"/>
    </row>
    <row s="12366" customFormat="1" customHeight="1" ht="11.25">
      <c r="A122" s="994"/>
      <c r="B122" s="1676"/>
      <c r="C122" s="1676"/>
      <c r="D122" s="347"/>
      <c r="K122" s="1168"/>
      <c r="L122" s="1676"/>
      <c r="M122" s="1676"/>
      <c r="N122" s="1168"/>
      <c r="O122" s="1168"/>
      <c r="P122" s="1168"/>
      <c r="Q122" s="1168"/>
      <c r="R122" s="1676"/>
      <c r="S122" s="1168"/>
      <c r="T122" s="1168"/>
      <c r="U122" s="550"/>
      <c r="V122" s="1168"/>
      <c r="W122" s="1168"/>
      <c r="X122" s="1168"/>
      <c r="Y122" s="1168"/>
      <c r="Z122" s="1168"/>
      <c r="AA122" s="1672"/>
      <c r="AB122" s="572"/>
      <c r="AC122" s="572"/>
      <c r="AD122" s="572"/>
      <c r="AE122" s="572"/>
    </row>
    <row s="12366" customFormat="1" customHeight="1" ht="11.25">
      <c r="A123" s="994"/>
      <c r="B123" s="1676"/>
      <c r="C123" s="1676"/>
      <c r="D123" s="347"/>
      <c r="K123" s="1168"/>
      <c r="L123" s="1676"/>
      <c r="M123" s="1676"/>
      <c r="N123" s="1168"/>
      <c r="O123" s="1168"/>
      <c r="P123" s="1168"/>
      <c r="Q123" s="1168"/>
      <c r="R123" s="1676"/>
      <c r="S123" s="1168"/>
      <c r="T123" s="1168"/>
      <c r="U123" s="550"/>
      <c r="V123" s="1168"/>
      <c r="W123" s="1168"/>
      <c r="X123" s="1168"/>
      <c r="Y123" s="1168"/>
      <c r="Z123" s="1168"/>
      <c r="AA123" s="1672"/>
      <c r="AB123" s="572"/>
      <c r="AC123" s="572"/>
      <c r="AD123" s="572"/>
      <c r="AE123" s="572"/>
    </row>
    <row s="12366" customFormat="1" customHeight="1" ht="11.25">
      <c r="A124" s="994"/>
      <c r="B124" s="1676"/>
      <c r="C124" s="1676"/>
      <c r="D124" s="347"/>
      <c r="K124" s="1168"/>
      <c r="L124" s="1676"/>
      <c r="M124" s="1676"/>
      <c r="N124" s="1168"/>
      <c r="O124" s="1168"/>
      <c r="P124" s="1168"/>
      <c r="Q124" s="1168"/>
      <c r="R124" s="1676"/>
      <c r="S124" s="1168"/>
      <c r="T124" s="1168"/>
      <c r="U124" s="550"/>
      <c r="V124" s="1168"/>
      <c r="W124" s="1168"/>
      <c r="X124" s="1168"/>
      <c r="Y124" s="1168"/>
      <c r="Z124" s="1168"/>
      <c r="AA124" s="1672"/>
      <c r="AB124" s="572"/>
      <c r="AC124" s="572"/>
      <c r="AD124" s="572"/>
      <c r="AE124" s="572"/>
    </row>
    <row s="12366" customFormat="1" customHeight="1" ht="11.25">
      <c r="A125" s="994"/>
      <c r="B125" s="1676"/>
      <c r="C125" s="1676"/>
      <c r="D125" s="347"/>
      <c r="K125" s="1168"/>
      <c r="L125" s="1676"/>
      <c r="M125" s="1676"/>
      <c r="N125" s="1168"/>
      <c r="O125" s="1168"/>
      <c r="P125" s="1168"/>
      <c r="Q125" s="1168"/>
      <c r="R125" s="1676"/>
      <c r="S125" s="1168"/>
      <c r="T125" s="1168"/>
      <c r="U125" s="550"/>
      <c r="V125" s="1168"/>
      <c r="W125" s="1168"/>
      <c r="X125" s="1168"/>
      <c r="Y125" s="1168"/>
      <c r="Z125" s="1168"/>
      <c r="AA125" s="1672"/>
      <c r="AB125" s="572"/>
      <c r="AC125" s="572"/>
      <c r="AD125" s="572"/>
      <c r="AE125" s="572"/>
    </row>
    <row s="12366" customFormat="1" customHeight="1" ht="11.25">
      <c r="A126" s="994"/>
      <c r="B126" s="1676"/>
      <c r="C126" s="1676"/>
      <c r="D126" s="347"/>
      <c r="K126" s="1168"/>
      <c r="L126" s="1676"/>
      <c r="M126" s="1676"/>
      <c r="N126" s="1168"/>
      <c r="O126" s="1168"/>
      <c r="P126" s="1168"/>
      <c r="Q126" s="1168"/>
      <c r="R126" s="1676"/>
      <c r="S126" s="1168"/>
      <c r="T126" s="1168"/>
      <c r="U126" s="550"/>
      <c r="V126" s="1168"/>
      <c r="W126" s="1168"/>
      <c r="X126" s="1168"/>
      <c r="Y126" s="1168"/>
      <c r="Z126" s="1168"/>
      <c r="AA126" s="1672"/>
      <c r="AB126" s="572"/>
      <c r="AC126" s="572"/>
      <c r="AD126" s="572"/>
      <c r="AE126" s="572"/>
    </row>
    <row s="12366" customFormat="1" customHeight="1" ht="11.25">
      <c r="A127" s="994"/>
      <c r="B127" s="1676"/>
      <c r="C127" s="1676"/>
      <c r="D127" s="347"/>
      <c r="K127" s="1168"/>
      <c r="L127" s="1676"/>
      <c r="M127" s="1676"/>
      <c r="N127" s="1168"/>
      <c r="O127" s="1168"/>
      <c r="P127" s="1168"/>
      <c r="Q127" s="1168"/>
      <c r="R127" s="1676"/>
      <c r="S127" s="1168"/>
      <c r="T127" s="1168"/>
      <c r="U127" s="550"/>
      <c r="V127" s="1168"/>
      <c r="W127" s="1168"/>
      <c r="X127" s="1168"/>
      <c r="Y127" s="1168"/>
      <c r="Z127" s="1168"/>
      <c r="AA127" s="1672"/>
      <c r="AB127" s="572"/>
      <c r="AC127" s="572"/>
      <c r="AD127" s="572"/>
      <c r="AE127" s="572"/>
    </row>
    <row s="12366" customFormat="1" customHeight="1" ht="11.25">
      <c r="A128" s="994"/>
      <c r="B128" s="1676"/>
      <c r="C128" s="1676"/>
      <c r="D128" s="347"/>
      <c r="K128" s="1168"/>
      <c r="L128" s="1676"/>
      <c r="M128" s="1676"/>
      <c r="N128" s="1168"/>
      <c r="O128" s="1168"/>
      <c r="P128" s="1168"/>
      <c r="Q128" s="1168"/>
      <c r="R128" s="1676"/>
      <c r="S128" s="1168"/>
      <c r="T128" s="1168"/>
      <c r="U128" s="550"/>
      <c r="V128" s="1168"/>
      <c r="W128" s="1168"/>
      <c r="X128" s="1168"/>
      <c r="Y128" s="1168"/>
      <c r="Z128" s="1168"/>
      <c r="AA128" s="1672"/>
      <c r="AB128" s="572"/>
      <c r="AC128" s="572"/>
      <c r="AD128" s="572"/>
      <c r="AE128" s="572"/>
    </row>
    <row s="12366" customFormat="1" customHeight="1" ht="11.25">
      <c r="A129" s="994"/>
      <c r="B129" s="1676"/>
      <c r="C129" s="1676"/>
      <c r="D129" s="347"/>
      <c r="K129" s="1168"/>
      <c r="L129" s="1676"/>
      <c r="M129" s="1676"/>
      <c r="N129" s="1168"/>
      <c r="O129" s="1168"/>
      <c r="P129" s="1168"/>
      <c r="Q129" s="1168"/>
      <c r="R129" s="1676"/>
      <c r="S129" s="1168"/>
      <c r="T129" s="1168"/>
      <c r="U129" s="550"/>
      <c r="V129" s="1168"/>
      <c r="W129" s="1168"/>
      <c r="X129" s="1168"/>
      <c r="Y129" s="1168"/>
      <c r="Z129" s="1168"/>
      <c r="AA129" s="1672"/>
      <c r="AB129" s="572"/>
      <c r="AC129" s="572"/>
      <c r="AD129" s="572"/>
      <c r="AE129" s="572"/>
    </row>
    <row s="12366" customFormat="1" customHeight="1" ht="11.25">
      <c r="A130" s="994"/>
      <c r="B130" s="1676"/>
      <c r="C130" s="1676"/>
      <c r="D130" s="347"/>
      <c r="K130" s="1168"/>
      <c r="L130" s="1676"/>
      <c r="M130" s="1676"/>
      <c r="N130" s="1168"/>
      <c r="O130" s="1168"/>
      <c r="P130" s="1168"/>
      <c r="Q130" s="1168"/>
      <c r="R130" s="1676"/>
      <c r="S130" s="1168"/>
      <c r="T130" s="1168"/>
      <c r="U130" s="550"/>
      <c r="V130" s="1168"/>
      <c r="W130" s="1168"/>
      <c r="X130" s="1168"/>
      <c r="Y130" s="1168"/>
      <c r="Z130" s="1168"/>
      <c r="AA130" s="1672"/>
      <c r="AB130" s="572"/>
      <c r="AC130" s="572"/>
      <c r="AD130" s="572"/>
      <c r="AE130" s="572"/>
    </row>
    <row s="12366" customFormat="1" customHeight="1" ht="11.25">
      <c r="A131" s="994"/>
      <c r="B131" s="1676"/>
      <c r="C131" s="1676"/>
      <c r="D131" s="347"/>
      <c r="K131" s="1168"/>
      <c r="L131" s="1676"/>
      <c r="M131" s="1676"/>
      <c r="N131" s="1168"/>
      <c r="O131" s="1168"/>
      <c r="P131" s="1168"/>
      <c r="Q131" s="1168"/>
      <c r="R131" s="1676"/>
      <c r="S131" s="1168"/>
      <c r="T131" s="1168"/>
      <c r="U131" s="550"/>
      <c r="V131" s="1168"/>
      <c r="W131" s="1168"/>
      <c r="X131" s="1168"/>
      <c r="Y131" s="1168"/>
      <c r="Z131" s="1168"/>
      <c r="AA131" s="1672"/>
      <c r="AB131" s="572"/>
      <c r="AC131" s="572"/>
      <c r="AD131" s="572"/>
      <c r="AE131" s="572"/>
    </row>
    <row s="12366" customFormat="1" customHeight="1" ht="11.25">
      <c r="A132" s="994"/>
      <c r="B132" s="1676"/>
      <c r="C132" s="1676"/>
      <c r="D132" s="347"/>
      <c r="K132" s="1168"/>
      <c r="L132" s="1676"/>
      <c r="M132" s="1676"/>
      <c r="N132" s="1168"/>
      <c r="O132" s="1168"/>
      <c r="P132" s="1168"/>
      <c r="Q132" s="1168"/>
      <c r="R132" s="1676"/>
      <c r="S132" s="1168"/>
      <c r="T132" s="1168"/>
      <c r="U132" s="550"/>
      <c r="V132" s="1168"/>
      <c r="W132" s="1168"/>
      <c r="X132" s="1168"/>
      <c r="Y132" s="1168"/>
      <c r="Z132" s="1168"/>
      <c r="AA132" s="1672"/>
      <c r="AB132" s="572"/>
      <c r="AC132" s="572"/>
      <c r="AD132" s="572"/>
      <c r="AE132" s="572"/>
    </row>
    <row s="12366" customFormat="1" customHeight="1" ht="11.25">
      <c r="A133" s="994"/>
      <c r="B133" s="1676"/>
      <c r="C133" s="1676"/>
      <c r="D133" s="347"/>
      <c r="K133" s="1168"/>
      <c r="L133" s="1676"/>
      <c r="M133" s="1676"/>
      <c r="N133" s="1168"/>
      <c r="O133" s="1168"/>
      <c r="P133" s="1168"/>
      <c r="Q133" s="1168"/>
      <c r="R133" s="1676"/>
      <c r="S133" s="1168"/>
      <c r="T133" s="1168"/>
      <c r="U133" s="550"/>
      <c r="V133" s="1168"/>
      <c r="W133" s="1168"/>
      <c r="X133" s="1168"/>
      <c r="Y133" s="1168"/>
      <c r="Z133" s="1168"/>
      <c r="AA133" s="1672"/>
      <c r="AB133" s="572"/>
      <c r="AC133" s="572"/>
      <c r="AD133" s="572"/>
      <c r="AE133" s="572"/>
    </row>
    <row s="12366" customFormat="1" customHeight="1" ht="11.25">
      <c r="A134" s="994"/>
      <c r="B134" s="1676"/>
      <c r="C134" s="1676"/>
      <c r="D134" s="347"/>
      <c r="K134" s="1168"/>
      <c r="L134" s="1676"/>
      <c r="M134" s="1676"/>
      <c r="N134" s="1168"/>
      <c r="O134" s="1168"/>
      <c r="P134" s="1168"/>
      <c r="Q134" s="1168"/>
      <c r="R134" s="1676"/>
      <c r="S134" s="1168"/>
      <c r="T134" s="1168"/>
      <c r="U134" s="550"/>
      <c r="V134" s="1168"/>
      <c r="W134" s="1168"/>
      <c r="X134" s="1168"/>
      <c r="Y134" s="1168"/>
      <c r="Z134" s="1168"/>
      <c r="AA134" s="1672"/>
      <c r="AB134" s="572"/>
      <c r="AC134" s="572"/>
      <c r="AD134" s="572"/>
      <c r="AE134" s="572"/>
    </row>
    <row s="12366" customFormat="1" customHeight="1" ht="11.25">
      <c r="A135" s="994"/>
      <c r="B135" s="1676"/>
      <c r="C135" s="1676"/>
      <c r="D135" s="347"/>
      <c r="K135" s="1168"/>
      <c r="L135" s="1676"/>
      <c r="M135" s="1676"/>
      <c r="N135" s="1168"/>
      <c r="O135" s="1168"/>
      <c r="P135" s="1168"/>
      <c r="Q135" s="1168"/>
      <c r="R135" s="1676"/>
      <c r="S135" s="1168"/>
      <c r="T135" s="1168"/>
      <c r="U135" s="550"/>
      <c r="V135" s="1168"/>
      <c r="W135" s="1168"/>
      <c r="X135" s="1168"/>
      <c r="Y135" s="1168"/>
      <c r="Z135" s="1168"/>
      <c r="AA135" s="1672"/>
      <c r="AB135" s="572"/>
      <c r="AC135" s="572"/>
      <c r="AD135" s="572"/>
      <c r="AE135" s="572"/>
    </row>
    <row s="12366" customFormat="1" customHeight="1" ht="11.25">
      <c r="A136" s="994"/>
      <c r="B136" s="1676"/>
      <c r="C136" s="1676"/>
      <c r="D136" s="347"/>
      <c r="K136" s="1168"/>
      <c r="L136" s="1676"/>
      <c r="M136" s="1676"/>
      <c r="N136" s="1168"/>
      <c r="O136" s="1168"/>
      <c r="P136" s="1168"/>
      <c r="Q136" s="1168"/>
      <c r="R136" s="1676"/>
      <c r="S136" s="1168"/>
      <c r="T136" s="1168"/>
      <c r="U136" s="550"/>
      <c r="V136" s="1168"/>
      <c r="W136" s="1168"/>
      <c r="X136" s="1168"/>
      <c r="Y136" s="1168"/>
      <c r="Z136" s="1168"/>
      <c r="AA136" s="1672"/>
      <c r="AB136" s="572"/>
      <c r="AC136" s="572"/>
      <c r="AD136" s="572"/>
      <c r="AE136" s="572"/>
    </row>
    <row s="12366" customFormat="1" customHeight="1" ht="11.25">
      <c r="A137" s="994"/>
      <c r="B137" s="1676"/>
      <c r="C137" s="1676"/>
      <c r="D137" s="347"/>
      <c r="K137" s="1168"/>
      <c r="L137" s="1676"/>
      <c r="M137" s="1676"/>
      <c r="N137" s="1168"/>
      <c r="O137" s="1168"/>
      <c r="P137" s="1168"/>
      <c r="Q137" s="1168"/>
      <c r="R137" s="1676"/>
      <c r="S137" s="1168"/>
      <c r="T137" s="1168"/>
      <c r="U137" s="550"/>
      <c r="V137" s="1168"/>
      <c r="W137" s="1168"/>
      <c r="X137" s="1168"/>
      <c r="Y137" s="1168"/>
      <c r="Z137" s="1168"/>
      <c r="AA137" s="1672"/>
      <c r="AB137" s="572"/>
      <c r="AC137" s="572"/>
      <c r="AD137" s="572"/>
      <c r="AE137" s="572"/>
    </row>
    <row s="12366" customFormat="1" customHeight="1" ht="11.25">
      <c r="A138" s="994"/>
      <c r="B138" s="1676"/>
      <c r="C138" s="1676"/>
      <c r="D138" s="347"/>
      <c r="K138" s="1168"/>
      <c r="L138" s="1676"/>
      <c r="M138" s="1676"/>
      <c r="N138" s="1168"/>
      <c r="O138" s="1168"/>
      <c r="P138" s="1168"/>
      <c r="Q138" s="1168"/>
      <c r="R138" s="1676"/>
      <c r="S138" s="1168"/>
      <c r="T138" s="1168"/>
      <c r="U138" s="550"/>
      <c r="V138" s="1168"/>
      <c r="W138" s="1168"/>
      <c r="X138" s="1168"/>
      <c r="Y138" s="1168"/>
      <c r="Z138" s="1168"/>
      <c r="AA138" s="1672"/>
      <c r="AB138" s="572"/>
      <c r="AC138" s="572"/>
      <c r="AD138" s="572"/>
      <c r="AE138" s="572"/>
    </row>
    <row s="12366" customFormat="1" customHeight="1" ht="11.25">
      <c r="A139" s="994"/>
      <c r="B139" s="1676"/>
      <c r="C139" s="1676"/>
      <c r="D139" s="347"/>
      <c r="K139" s="1168"/>
      <c r="L139" s="1676"/>
      <c r="M139" s="1676"/>
      <c r="N139" s="1168"/>
      <c r="O139" s="1168"/>
      <c r="P139" s="1168"/>
      <c r="Q139" s="1168"/>
      <c r="R139" s="1676"/>
      <c r="S139" s="1168"/>
      <c r="T139" s="1168"/>
      <c r="U139" s="550"/>
      <c r="V139" s="1168"/>
      <c r="W139" s="1168"/>
      <c r="X139" s="1168"/>
      <c r="Y139" s="1168"/>
      <c r="Z139" s="1168"/>
      <c r="AA139" s="1672"/>
      <c r="AB139" s="572"/>
      <c r="AC139" s="572"/>
      <c r="AD139" s="572"/>
      <c r="AE139" s="572"/>
    </row>
    <row s="12366" customFormat="1" customHeight="1" ht="11.25">
      <c r="A140" s="994"/>
      <c r="B140" s="1676"/>
      <c r="C140" s="1676"/>
      <c r="D140" s="347"/>
      <c r="K140" s="1168"/>
      <c r="L140" s="1676"/>
      <c r="M140" s="1676"/>
      <c r="N140" s="1168"/>
      <c r="O140" s="1168"/>
      <c r="P140" s="1168"/>
      <c r="Q140" s="1168"/>
      <c r="R140" s="1676"/>
      <c r="S140" s="1168"/>
      <c r="T140" s="1168"/>
      <c r="U140" s="550"/>
      <c r="V140" s="1168"/>
      <c r="W140" s="1168"/>
      <c r="X140" s="1168"/>
      <c r="Y140" s="1168"/>
      <c r="Z140" s="1168"/>
      <c r="AA140" s="1672"/>
      <c r="AB140" s="572"/>
      <c r="AC140" s="572"/>
      <c r="AD140" s="572"/>
      <c r="AE140" s="572"/>
    </row>
    <row s="12366" customFormat="1" customHeight="1" ht="11.25">
      <c r="A141" s="994"/>
      <c r="B141" s="1676"/>
      <c r="C141" s="1676"/>
      <c r="D141" s="347"/>
      <c r="K141" s="1168"/>
      <c r="L141" s="1676"/>
      <c r="M141" s="1676"/>
      <c r="N141" s="1168"/>
      <c r="O141" s="1168"/>
      <c r="P141" s="1168"/>
      <c r="Q141" s="1168"/>
      <c r="R141" s="1676"/>
      <c r="S141" s="1168"/>
      <c r="T141" s="1168"/>
      <c r="U141" s="550"/>
      <c r="V141" s="1168"/>
      <c r="W141" s="1168"/>
      <c r="X141" s="1168"/>
      <c r="Y141" s="1168"/>
      <c r="Z141" s="1168"/>
      <c r="AA141" s="1672"/>
      <c r="AB141" s="572"/>
      <c r="AC141" s="572"/>
      <c r="AD141" s="572"/>
      <c r="AE141" s="572"/>
    </row>
    <row s="12366" customFormat="1" customHeight="1" ht="11.25">
      <c r="A142" s="994"/>
      <c r="B142" s="1676"/>
      <c r="C142" s="1676"/>
      <c r="D142" s="347"/>
      <c r="K142" s="1168"/>
      <c r="L142" s="1676"/>
      <c r="M142" s="1676"/>
      <c r="N142" s="1168"/>
      <c r="O142" s="1168"/>
      <c r="P142" s="1168"/>
      <c r="Q142" s="1168"/>
      <c r="R142" s="1676"/>
      <c r="S142" s="1168"/>
      <c r="T142" s="1168"/>
      <c r="U142" s="550"/>
      <c r="V142" s="1168"/>
      <c r="W142" s="1168"/>
      <c r="X142" s="1168"/>
      <c r="Y142" s="1168"/>
      <c r="Z142" s="1168"/>
      <c r="AA142" s="1672"/>
      <c r="AB142" s="572"/>
      <c r="AC142" s="572"/>
      <c r="AD142" s="572"/>
      <c r="AE142" s="572"/>
    </row>
    <row s="12366" customFormat="1" customHeight="1" ht="11.25">
      <c r="A143" s="994"/>
      <c r="B143" s="1676"/>
      <c r="C143" s="1676"/>
      <c r="D143" s="347"/>
      <c r="K143" s="1168"/>
      <c r="L143" s="1676"/>
      <c r="M143" s="1676"/>
      <c r="N143" s="1168"/>
      <c r="O143" s="1168"/>
      <c r="P143" s="1168"/>
      <c r="Q143" s="1168"/>
      <c r="R143" s="1676"/>
      <c r="S143" s="1168"/>
      <c r="T143" s="1168"/>
      <c r="U143" s="550"/>
      <c r="V143" s="1168"/>
      <c r="W143" s="1168"/>
      <c r="X143" s="1168"/>
      <c r="Y143" s="1168"/>
      <c r="Z143" s="1168"/>
      <c r="AA143" s="1672"/>
      <c r="AB143" s="572"/>
      <c r="AC143" s="572"/>
      <c r="AD143" s="572"/>
      <c r="AE143" s="572"/>
    </row>
    <row s="12366" customFormat="1" customHeight="1" ht="11.25">
      <c r="A144" s="994"/>
      <c r="B144" s="1676"/>
      <c r="C144" s="1676"/>
      <c r="D144" s="347"/>
      <c r="K144" s="1168"/>
      <c r="L144" s="1676"/>
      <c r="M144" s="1676"/>
      <c r="N144" s="1168"/>
      <c r="O144" s="1168"/>
      <c r="P144" s="1168"/>
      <c r="Q144" s="1168"/>
      <c r="R144" s="1676"/>
      <c r="S144" s="1168"/>
      <c r="T144" s="1168"/>
      <c r="U144" s="550"/>
      <c r="V144" s="1168"/>
      <c r="W144" s="1168"/>
      <c r="X144" s="1168"/>
      <c r="Y144" s="1168"/>
      <c r="Z144" s="1168"/>
      <c r="AA144" s="1672"/>
      <c r="AB144" s="572"/>
      <c r="AC144" s="572"/>
      <c r="AD144" s="572"/>
      <c r="AE144" s="572"/>
    </row>
    <row s="12366" customFormat="1" customHeight="1" ht="11.25">
      <c r="A145" s="994"/>
      <c r="B145" s="1676"/>
      <c r="C145" s="1676"/>
      <c r="D145" s="347"/>
      <c r="K145" s="1168"/>
      <c r="L145" s="1676"/>
      <c r="M145" s="1676"/>
      <c r="N145" s="1168"/>
      <c r="O145" s="1168"/>
      <c r="P145" s="1168"/>
      <c r="Q145" s="1168"/>
      <c r="R145" s="1676"/>
      <c r="S145" s="1168"/>
      <c r="T145" s="1168"/>
      <c r="U145" s="550"/>
      <c r="V145" s="1168"/>
      <c r="W145" s="1168"/>
      <c r="X145" s="1168"/>
      <c r="Y145" s="1168"/>
      <c r="Z145" s="1168"/>
      <c r="AA145" s="1672"/>
      <c r="AB145" s="572"/>
      <c r="AC145" s="572"/>
      <c r="AD145" s="572"/>
      <c r="AE145" s="572"/>
    </row>
    <row s="12366" customFormat="1" customHeight="1" ht="11.25">
      <c r="A146" s="994"/>
      <c r="B146" s="1676"/>
      <c r="C146" s="1676"/>
      <c r="D146" s="347"/>
      <c r="K146" s="1168"/>
      <c r="L146" s="1676"/>
      <c r="M146" s="1676"/>
      <c r="N146" s="1168"/>
      <c r="O146" s="1168"/>
      <c r="P146" s="1168"/>
      <c r="Q146" s="1168"/>
      <c r="R146" s="1676"/>
      <c r="S146" s="1168"/>
      <c r="T146" s="1168"/>
      <c r="U146" s="550"/>
      <c r="V146" s="1168"/>
      <c r="W146" s="1168"/>
      <c r="X146" s="1168"/>
      <c r="Y146" s="1168"/>
      <c r="Z146" s="1168"/>
      <c r="AA146" s="1672"/>
      <c r="AB146" s="572"/>
      <c r="AC146" s="572"/>
      <c r="AD146" s="572"/>
      <c r="AE146" s="572"/>
    </row>
    <row s="12366" customFormat="1" customHeight="1" ht="11.25">
      <c r="A147" s="994"/>
      <c r="B147" s="1676"/>
      <c r="C147" s="1676"/>
      <c r="D147" s="347"/>
      <c r="K147" s="1168"/>
      <c r="L147" s="1676"/>
      <c r="M147" s="1676"/>
      <c r="N147" s="1168"/>
      <c r="O147" s="1168"/>
      <c r="P147" s="1168"/>
      <c r="Q147" s="1168"/>
      <c r="R147" s="1676"/>
      <c r="S147" s="1168"/>
      <c r="T147" s="1168"/>
      <c r="U147" s="550"/>
      <c r="V147" s="1168"/>
      <c r="W147" s="1168"/>
      <c r="X147" s="1168"/>
      <c r="Y147" s="1168"/>
      <c r="Z147" s="1168"/>
      <c r="AA147" s="1672"/>
      <c r="AB147" s="572"/>
      <c r="AC147" s="572"/>
      <c r="AD147" s="572"/>
      <c r="AE147" s="572"/>
    </row>
    <row s="12366" customFormat="1" customHeight="1" ht="11.25">
      <c r="A148" s="994"/>
      <c r="B148" s="1676"/>
      <c r="C148" s="1676"/>
      <c r="D148" s="347"/>
      <c r="K148" s="1168"/>
      <c r="L148" s="1676"/>
      <c r="M148" s="1676"/>
      <c r="N148" s="1168"/>
      <c r="O148" s="1168"/>
      <c r="P148" s="1168"/>
      <c r="Q148" s="1168"/>
      <c r="R148" s="1676"/>
      <c r="S148" s="1168"/>
      <c r="T148" s="1168"/>
      <c r="U148" s="550"/>
      <c r="V148" s="1168"/>
      <c r="W148" s="1168"/>
      <c r="X148" s="1168"/>
      <c r="Y148" s="1168"/>
      <c r="Z148" s="1168"/>
      <c r="AA148" s="1672"/>
      <c r="AB148" s="572"/>
      <c r="AC148" s="572"/>
      <c r="AD148" s="572"/>
      <c r="AE148" s="572"/>
    </row>
    <row s="12366" customFormat="1" customHeight="1" ht="11.25">
      <c r="A149" s="994"/>
      <c r="B149" s="1676"/>
      <c r="C149" s="1676"/>
      <c r="D149" s="347"/>
      <c r="K149" s="1168"/>
      <c r="L149" s="1676"/>
      <c r="M149" s="1676"/>
      <c r="N149" s="1168"/>
      <c r="O149" s="1168"/>
      <c r="P149" s="1168"/>
      <c r="Q149" s="1168"/>
      <c r="R149" s="1676"/>
      <c r="S149" s="1168"/>
      <c r="T149" s="1168"/>
      <c r="U149" s="550"/>
      <c r="V149" s="1168"/>
      <c r="W149" s="1168"/>
      <c r="X149" s="1168"/>
      <c r="Y149" s="1168"/>
      <c r="Z149" s="1168"/>
      <c r="AA149" s="1672"/>
      <c r="AB149" s="572"/>
      <c r="AC149" s="572"/>
      <c r="AD149" s="572"/>
      <c r="AE149" s="572"/>
    </row>
    <row s="12366" customFormat="1" customHeight="1" ht="11.25">
      <c r="A150" s="994"/>
      <c r="B150" s="1676"/>
      <c r="C150" s="1676"/>
      <c r="D150" s="347"/>
      <c r="K150" s="1168"/>
      <c r="L150" s="1676"/>
      <c r="M150" s="1676"/>
      <c r="N150" s="1168"/>
      <c r="O150" s="1168"/>
      <c r="P150" s="1168"/>
      <c r="Q150" s="1168"/>
      <c r="R150" s="1676"/>
      <c r="S150" s="1168"/>
      <c r="T150" s="1168"/>
      <c r="U150" s="550"/>
      <c r="V150" s="1168"/>
      <c r="W150" s="1168"/>
      <c r="X150" s="1168"/>
      <c r="Y150" s="1168"/>
      <c r="Z150" s="1168"/>
      <c r="AA150" s="1672"/>
      <c r="AB150" s="572"/>
      <c r="AC150" s="572"/>
      <c r="AD150" s="572"/>
      <c r="AE150" s="572"/>
    </row>
    <row s="12366" customFormat="1" customHeight="1" ht="11.25">
      <c r="A151" s="994"/>
      <c r="B151" s="1676"/>
      <c r="C151" s="1676"/>
      <c r="D151" s="347"/>
      <c r="K151" s="1168"/>
      <c r="L151" s="1676"/>
      <c r="M151" s="1676"/>
      <c r="N151" s="1168"/>
      <c r="O151" s="1168"/>
      <c r="P151" s="1168"/>
      <c r="Q151" s="1168"/>
      <c r="R151" s="1676"/>
      <c r="S151" s="1168"/>
      <c r="T151" s="1168"/>
      <c r="U151" s="550"/>
      <c r="V151" s="1168"/>
      <c r="W151" s="1168"/>
      <c r="X151" s="1168"/>
      <c r="Y151" s="1168"/>
      <c r="Z151" s="1168"/>
      <c r="AA151" s="1672"/>
      <c r="AB151" s="572"/>
      <c r="AC151" s="572"/>
      <c r="AD151" s="572"/>
      <c r="AE151" s="572"/>
    </row>
    <row s="12366" customFormat="1" customHeight="1" ht="11.25">
      <c r="A152" s="994"/>
      <c r="B152" s="1676"/>
      <c r="C152" s="1676"/>
      <c r="D152" s="347"/>
      <c r="K152" s="1168"/>
      <c r="L152" s="1676"/>
      <c r="M152" s="1676"/>
      <c r="N152" s="1168"/>
      <c r="O152" s="1168"/>
      <c r="P152" s="1168"/>
      <c r="Q152" s="1168"/>
      <c r="R152" s="1676"/>
      <c r="S152" s="1168"/>
      <c r="T152" s="1168"/>
      <c r="U152" s="550"/>
      <c r="V152" s="1168"/>
      <c r="W152" s="1168"/>
      <c r="X152" s="1168"/>
      <c r="Y152" s="1168"/>
      <c r="Z152" s="1168"/>
      <c r="AA152" s="1672"/>
      <c r="AB152" s="572"/>
      <c r="AC152" s="572"/>
      <c r="AD152" s="572"/>
      <c r="AE152" s="572"/>
    </row>
    <row s="12366" customFormat="1" customHeight="1" ht="11.25">
      <c r="A153" s="994"/>
      <c r="B153" s="1676"/>
      <c r="C153" s="1676"/>
      <c r="D153" s="347"/>
      <c r="K153" s="1168"/>
      <c r="L153" s="1676"/>
      <c r="M153" s="1676"/>
      <c r="N153" s="1168"/>
      <c r="O153" s="1168"/>
      <c r="P153" s="1168"/>
      <c r="Q153" s="1168"/>
      <c r="R153" s="1676"/>
      <c r="S153" s="1168"/>
      <c r="T153" s="1168"/>
      <c r="U153" s="550"/>
      <c r="V153" s="1168"/>
      <c r="W153" s="1168"/>
      <c r="X153" s="1168"/>
      <c r="Y153" s="1168"/>
      <c r="Z153" s="1168"/>
      <c r="AA153" s="1672"/>
      <c r="AB153" s="572"/>
      <c r="AC153" s="572"/>
      <c r="AD153" s="572"/>
      <c r="AE153" s="572"/>
    </row>
    <row s="12366" customFormat="1" customHeight="1" ht="11.25">
      <c r="A154" s="994"/>
      <c r="B154" s="1676"/>
      <c r="C154" s="1676"/>
      <c r="D154" s="347"/>
      <c r="K154" s="1168"/>
      <c r="L154" s="1676"/>
      <c r="M154" s="1676"/>
      <c r="N154" s="1168"/>
      <c r="O154" s="1168"/>
      <c r="P154" s="1168"/>
      <c r="Q154" s="1168"/>
      <c r="R154" s="1676"/>
      <c r="S154" s="1168"/>
      <c r="T154" s="1168"/>
      <c r="U154" s="550"/>
      <c r="V154" s="1168"/>
      <c r="W154" s="1168"/>
      <c r="X154" s="1168"/>
      <c r="Y154" s="1168"/>
      <c r="Z154" s="1168"/>
      <c r="AA154" s="1672"/>
      <c r="AB154" s="572"/>
      <c r="AC154" s="572"/>
      <c r="AD154" s="572"/>
      <c r="AE154" s="572"/>
    </row>
    <row s="12366" customFormat="1" customHeight="1" ht="11.25">
      <c r="A155" s="994"/>
      <c r="B155" s="1676"/>
      <c r="C155" s="1676"/>
      <c r="D155" s="347"/>
      <c r="K155" s="1168"/>
      <c r="L155" s="1676"/>
      <c r="M155" s="1676"/>
      <c r="N155" s="1168"/>
      <c r="O155" s="1168"/>
      <c r="P155" s="1168"/>
      <c r="Q155" s="1168"/>
      <c r="R155" s="1676"/>
      <c r="S155" s="1168"/>
      <c r="T155" s="1168"/>
      <c r="U155" s="550"/>
      <c r="V155" s="1168"/>
      <c r="W155" s="1168"/>
      <c r="X155" s="1168"/>
      <c r="Y155" s="1168"/>
      <c r="Z155" s="1168"/>
      <c r="AA155" s="1672"/>
      <c r="AB155" s="572"/>
      <c r="AC155" s="572"/>
      <c r="AD155" s="572"/>
      <c r="AE155" s="572"/>
    </row>
    <row s="12366" customFormat="1" customHeight="1" ht="11.25">
      <c r="A156" s="994"/>
      <c r="B156" s="1676"/>
      <c r="C156" s="1676"/>
      <c r="D156" s="347"/>
      <c r="K156" s="1168"/>
      <c r="L156" s="1676"/>
      <c r="M156" s="1676"/>
      <c r="N156" s="1168"/>
      <c r="O156" s="1168"/>
      <c r="P156" s="1168"/>
      <c r="Q156" s="1168"/>
      <c r="R156" s="1676"/>
      <c r="S156" s="1168"/>
      <c r="T156" s="1168"/>
      <c r="U156" s="550"/>
      <c r="V156" s="1168"/>
      <c r="W156" s="1168"/>
      <c r="X156" s="1168"/>
      <c r="Y156" s="1168"/>
      <c r="Z156" s="1168"/>
      <c r="AA156" s="1672"/>
      <c r="AB156" s="572"/>
      <c r="AC156" s="572"/>
      <c r="AD156" s="572"/>
      <c r="AE156" s="572"/>
    </row>
    <row s="12366" customFormat="1" customHeight="1" ht="11.25">
      <c r="A157" s="994"/>
      <c r="B157" s="1676"/>
      <c r="C157" s="1676"/>
      <c r="D157" s="347"/>
      <c r="K157" s="1168"/>
      <c r="L157" s="1676"/>
      <c r="M157" s="1676"/>
      <c r="N157" s="1168"/>
      <c r="O157" s="1168"/>
      <c r="P157" s="1168"/>
      <c r="Q157" s="1168"/>
      <c r="R157" s="1676"/>
      <c r="S157" s="1168"/>
      <c r="T157" s="1168"/>
      <c r="U157" s="550"/>
      <c r="V157" s="1168"/>
      <c r="W157" s="1168"/>
      <c r="X157" s="1168"/>
      <c r="Y157" s="1168"/>
      <c r="Z157" s="1168"/>
      <c r="AA157" s="1672"/>
      <c r="AB157" s="572"/>
      <c r="AC157" s="572"/>
      <c r="AD157" s="572"/>
      <c r="AE157" s="572"/>
    </row>
    <row s="12366" customFormat="1" customHeight="1" ht="11.25">
      <c r="A158" s="994"/>
      <c r="B158" s="1676"/>
      <c r="C158" s="1676"/>
      <c r="D158" s="347"/>
      <c r="K158" s="1168"/>
      <c r="L158" s="1676"/>
      <c r="M158" s="1676"/>
      <c r="N158" s="1168"/>
      <c r="O158" s="1168"/>
      <c r="P158" s="1168"/>
      <c r="Q158" s="1168"/>
      <c r="R158" s="1676"/>
      <c r="S158" s="1168"/>
      <c r="T158" s="1168"/>
      <c r="U158" s="550"/>
      <c r="V158" s="1168"/>
      <c r="W158" s="1168"/>
      <c r="X158" s="1168"/>
      <c r="Y158" s="1168"/>
      <c r="Z158" s="1168"/>
      <c r="AA158" s="1672"/>
      <c r="AB158" s="572"/>
      <c r="AC158" s="572"/>
      <c r="AD158" s="572"/>
      <c r="AE158" s="572"/>
    </row>
    <row s="12366" customFormat="1" customHeight="1" ht="11.25">
      <c r="A159" s="994"/>
      <c r="B159" s="1676"/>
      <c r="C159" s="1676"/>
      <c r="D159" s="347"/>
      <c r="K159" s="1168"/>
      <c r="L159" s="1676"/>
      <c r="M159" s="1676"/>
      <c r="N159" s="1168"/>
      <c r="O159" s="1168"/>
      <c r="P159" s="1168"/>
      <c r="Q159" s="1168"/>
      <c r="R159" s="1676"/>
      <c r="S159" s="1168"/>
      <c r="T159" s="1168"/>
      <c r="U159" s="550"/>
      <c r="V159" s="1168"/>
      <c r="W159" s="1168"/>
      <c r="X159" s="1168"/>
      <c r="Y159" s="1168"/>
      <c r="Z159" s="1168"/>
      <c r="AA159" s="1672"/>
      <c r="AB159" s="572"/>
      <c r="AC159" s="572"/>
      <c r="AD159" s="572"/>
      <c r="AE159" s="572"/>
    </row>
    <row s="12366" customFormat="1" customHeight="1" ht="11.25">
      <c r="A160" s="994"/>
      <c r="B160" s="1676"/>
      <c r="C160" s="1676"/>
      <c r="D160" s="347"/>
      <c r="K160" s="1168"/>
      <c r="L160" s="1676"/>
      <c r="M160" s="1676"/>
      <c r="N160" s="1168"/>
      <c r="O160" s="1168"/>
      <c r="P160" s="1168"/>
      <c r="Q160" s="1168"/>
      <c r="R160" s="1676"/>
      <c r="S160" s="1168"/>
      <c r="T160" s="1168"/>
      <c r="U160" s="550"/>
      <c r="V160" s="1168"/>
      <c r="W160" s="1168"/>
      <c r="X160" s="1168"/>
      <c r="Y160" s="1168"/>
      <c r="Z160" s="1168"/>
      <c r="AA160" s="1672"/>
      <c r="AB160" s="572"/>
      <c r="AC160" s="572"/>
      <c r="AD160" s="572"/>
      <c r="AE160" s="572"/>
    </row>
    <row s="12366" customFormat="1" customHeight="1" ht="11.25">
      <c r="A161" s="994"/>
      <c r="B161" s="1676"/>
      <c r="C161" s="1676"/>
      <c r="D161" s="347"/>
      <c r="K161" s="1168"/>
      <c r="L161" s="1676"/>
      <c r="M161" s="1676"/>
      <c r="N161" s="1168"/>
      <c r="O161" s="1168"/>
      <c r="P161" s="1168"/>
      <c r="Q161" s="1168"/>
      <c r="R161" s="1676"/>
      <c r="S161" s="1168"/>
      <c r="T161" s="1168"/>
      <c r="U161" s="550"/>
      <c r="V161" s="1168"/>
      <c r="W161" s="1168"/>
      <c r="X161" s="1168"/>
      <c r="Y161" s="1168"/>
      <c r="Z161" s="1168"/>
      <c r="AA161" s="1672"/>
      <c r="AB161" s="572"/>
      <c r="AC161" s="572"/>
      <c r="AD161" s="572"/>
      <c r="AE161" s="572"/>
    </row>
    <row s="12366" customFormat="1" customHeight="1" ht="11.25">
      <c r="A162" s="994"/>
      <c r="B162" s="1676"/>
      <c r="C162" s="1676"/>
      <c r="D162" s="347"/>
      <c r="K162" s="1168"/>
      <c r="L162" s="1676"/>
      <c r="M162" s="1676"/>
      <c r="N162" s="1168"/>
      <c r="O162" s="1168"/>
      <c r="P162" s="1168"/>
      <c r="Q162" s="1168"/>
      <c r="R162" s="1676"/>
      <c r="S162" s="1168"/>
      <c r="T162" s="1168"/>
      <c r="U162" s="550"/>
      <c r="V162" s="1168"/>
      <c r="W162" s="1168"/>
      <c r="X162" s="1168"/>
      <c r="Y162" s="1168"/>
      <c r="Z162" s="1168"/>
      <c r="AA162" s="1672"/>
      <c r="AB162" s="572"/>
      <c r="AC162" s="572"/>
      <c r="AD162" s="572"/>
      <c r="AE162" s="572"/>
    </row>
    <row s="12366" customFormat="1" customHeight="1" ht="11.25">
      <c r="A163" s="994"/>
      <c r="B163" s="1676"/>
      <c r="C163" s="1676"/>
      <c r="D163" s="347"/>
      <c r="K163" s="1168"/>
      <c r="L163" s="1676"/>
      <c r="M163" s="1676"/>
      <c r="N163" s="1168"/>
      <c r="O163" s="1168"/>
      <c r="P163" s="1168"/>
      <c r="Q163" s="1168"/>
      <c r="R163" s="1676"/>
      <c r="S163" s="1168"/>
      <c r="T163" s="1168"/>
      <c r="U163" s="550"/>
      <c r="V163" s="1168"/>
      <c r="W163" s="1168"/>
      <c r="X163" s="1168"/>
      <c r="Y163" s="1168"/>
      <c r="Z163" s="1168"/>
      <c r="AA163" s="1672"/>
      <c r="AB163" s="572"/>
      <c r="AC163" s="572"/>
      <c r="AD163" s="572"/>
      <c r="AE163" s="572"/>
    </row>
    <row s="12366" customFormat="1" customHeight="1" ht="11.25">
      <c r="A164" s="994"/>
      <c r="B164" s="1676"/>
      <c r="C164" s="1676"/>
      <c r="D164" s="347"/>
      <c r="K164" s="1168"/>
      <c r="L164" s="1676"/>
      <c r="M164" s="1676"/>
      <c r="N164" s="1168"/>
      <c r="O164" s="1168"/>
      <c r="P164" s="1168"/>
      <c r="Q164" s="1168"/>
      <c r="R164" s="1676"/>
      <c r="S164" s="1168"/>
      <c r="T164" s="1168"/>
      <c r="U164" s="550"/>
      <c r="V164" s="1168"/>
      <c r="W164" s="1168"/>
      <c r="X164" s="1168"/>
      <c r="Y164" s="1168"/>
      <c r="Z164" s="1168"/>
      <c r="AA164" s="1672"/>
      <c r="AB164" s="572"/>
      <c r="AC164" s="572"/>
      <c r="AD164" s="572"/>
      <c r="AE164" s="572"/>
    </row>
    <row s="12366" customFormat="1" customHeight="1" ht="11.25">
      <c r="A165" s="994"/>
      <c r="B165" s="1676"/>
      <c r="C165" s="1676"/>
      <c r="D165" s="347"/>
      <c r="K165" s="1168"/>
      <c r="L165" s="1676"/>
      <c r="M165" s="1676"/>
      <c r="N165" s="1168"/>
      <c r="O165" s="1168"/>
      <c r="P165" s="1168"/>
      <c r="Q165" s="1168"/>
      <c r="R165" s="1676"/>
      <c r="S165" s="1168"/>
      <c r="T165" s="1168"/>
      <c r="U165" s="550"/>
      <c r="V165" s="1168"/>
      <c r="W165" s="1168"/>
      <c r="X165" s="1168"/>
      <c r="Y165" s="1168"/>
      <c r="Z165" s="1168"/>
      <c r="AA165" s="1672"/>
      <c r="AB165" s="572"/>
      <c r="AC165" s="572"/>
      <c r="AD165" s="572"/>
      <c r="AE165" s="572"/>
    </row>
    <row s="12366" customFormat="1" customHeight="1" ht="11.25">
      <c r="A166" s="994"/>
      <c r="B166" s="1676"/>
      <c r="C166" s="1676"/>
      <c r="D166" s="347"/>
      <c r="K166" s="1168"/>
      <c r="L166" s="1676"/>
      <c r="M166" s="1676"/>
      <c r="N166" s="1168"/>
      <c r="O166" s="1168"/>
      <c r="P166" s="1168"/>
      <c r="Q166" s="1168"/>
      <c r="R166" s="1676"/>
      <c r="S166" s="1168"/>
      <c r="T166" s="1168"/>
      <c r="U166" s="550"/>
      <c r="V166" s="1168"/>
      <c r="W166" s="1168"/>
      <c r="X166" s="1168"/>
      <c r="Y166" s="1168"/>
      <c r="Z166" s="1168"/>
      <c r="AA166" s="1672"/>
      <c r="AB166" s="572"/>
      <c r="AC166" s="572"/>
      <c r="AD166" s="572"/>
      <c r="AE166" s="572"/>
    </row>
    <row s="12366" customFormat="1" customHeight="1" ht="11.25">
      <c r="A167" s="994"/>
      <c r="B167" s="1676"/>
      <c r="C167" s="1676"/>
      <c r="D167" s="347"/>
      <c r="K167" s="1168"/>
      <c r="L167" s="1676"/>
      <c r="M167" s="1676"/>
      <c r="N167" s="1168"/>
      <c r="O167" s="1168"/>
      <c r="P167" s="1168"/>
      <c r="Q167" s="1168"/>
      <c r="R167" s="1676"/>
      <c r="S167" s="1168"/>
      <c r="T167" s="1168"/>
      <c r="U167" s="550"/>
      <c r="V167" s="1168"/>
      <c r="W167" s="1168"/>
      <c r="X167" s="1168"/>
      <c r="Y167" s="1168"/>
      <c r="Z167" s="1168"/>
      <c r="AA167" s="1672"/>
      <c r="AB167" s="572"/>
      <c r="AC167" s="572"/>
      <c r="AD167" s="572"/>
      <c r="AE167" s="572"/>
    </row>
    <row s="12366" customFormat="1" customHeight="1" ht="11.25">
      <c r="A168" s="994"/>
      <c r="B168" s="1676"/>
      <c r="C168" s="1676"/>
      <c r="D168" s="347"/>
      <c r="K168" s="1168"/>
      <c r="L168" s="1676"/>
      <c r="M168" s="1676"/>
      <c r="N168" s="1168"/>
      <c r="O168" s="1168"/>
      <c r="P168" s="1168"/>
      <c r="Q168" s="1168"/>
      <c r="R168" s="1676"/>
      <c r="S168" s="1168"/>
      <c r="T168" s="1168"/>
      <c r="U168" s="550"/>
      <c r="V168" s="1168"/>
      <c r="W168" s="1168"/>
      <c r="X168" s="1168"/>
      <c r="Y168" s="1168"/>
      <c r="Z168" s="1168"/>
      <c r="AA168" s="1672"/>
      <c r="AB168" s="572"/>
      <c r="AC168" s="572"/>
      <c r="AD168" s="572"/>
      <c r="AE168" s="572"/>
    </row>
    <row s="12366" customFormat="1" customHeight="1" ht="11.25">
      <c r="A169" s="994"/>
      <c r="B169" s="1676"/>
      <c r="C169" s="1676"/>
      <c r="D169" s="347"/>
      <c r="K169" s="1168"/>
      <c r="L169" s="1676"/>
      <c r="M169" s="1676"/>
      <c r="N169" s="1168"/>
      <c r="O169" s="1168"/>
      <c r="P169" s="1168"/>
      <c r="Q169" s="1168"/>
      <c r="R169" s="1676"/>
      <c r="S169" s="1168"/>
      <c r="T169" s="1168"/>
      <c r="U169" s="550"/>
      <c r="V169" s="1168"/>
      <c r="W169" s="1168"/>
      <c r="X169" s="1168"/>
      <c r="Y169" s="1168"/>
      <c r="Z169" s="1168"/>
      <c r="AA169" s="1672"/>
      <c r="AB169" s="572"/>
      <c r="AC169" s="572"/>
      <c r="AD169" s="572"/>
      <c r="AE169" s="572"/>
    </row>
    <row s="12366" customFormat="1" customHeight="1" ht="11.25">
      <c r="A170" s="994"/>
      <c r="B170" s="1676"/>
      <c r="C170" s="1676"/>
      <c r="D170" s="347"/>
      <c r="K170" s="1168"/>
      <c r="L170" s="1676"/>
      <c r="M170" s="1676"/>
      <c r="N170" s="1168"/>
      <c r="O170" s="1168"/>
      <c r="P170" s="1168"/>
      <c r="Q170" s="1168"/>
      <c r="R170" s="1676"/>
      <c r="S170" s="1168"/>
      <c r="T170" s="1168"/>
      <c r="U170" s="550"/>
      <c r="V170" s="1168"/>
      <c r="W170" s="1168"/>
      <c r="X170" s="1168"/>
      <c r="Y170" s="1168"/>
      <c r="Z170" s="1168"/>
      <c r="AA170" s="1672"/>
      <c r="AB170" s="572"/>
      <c r="AC170" s="572"/>
      <c r="AD170" s="572"/>
      <c r="AE170" s="572"/>
    </row>
    <row s="12366" customFormat="1" customHeight="1" ht="11.25">
      <c r="A171" s="994"/>
      <c r="B171" s="1676"/>
      <c r="C171" s="1676"/>
      <c r="D171" s="347"/>
      <c r="K171" s="1168"/>
      <c r="L171" s="1676"/>
      <c r="M171" s="1676"/>
      <c r="N171" s="1168"/>
      <c r="O171" s="1168"/>
      <c r="P171" s="1168"/>
      <c r="Q171" s="1168"/>
      <c r="R171" s="1676"/>
      <c r="S171" s="1168"/>
      <c r="T171" s="1168"/>
      <c r="U171" s="550"/>
      <c r="V171" s="1168"/>
      <c r="W171" s="1168"/>
      <c r="X171" s="1168"/>
      <c r="Y171" s="1168"/>
      <c r="Z171" s="1168"/>
      <c r="AA171" s="1672"/>
      <c r="AB171" s="572"/>
      <c r="AC171" s="572"/>
      <c r="AD171" s="572"/>
      <c r="AE171" s="572"/>
    </row>
    <row s="12366" customFormat="1" customHeight="1" ht="11.25">
      <c r="A172" s="994"/>
      <c r="B172" s="1676"/>
      <c r="C172" s="1676"/>
      <c r="D172" s="347"/>
      <c r="K172" s="1168"/>
      <c r="L172" s="1676"/>
      <c r="M172" s="1676"/>
      <c r="N172" s="1168"/>
      <c r="O172" s="1168"/>
      <c r="P172" s="1168"/>
      <c r="Q172" s="1168"/>
      <c r="R172" s="1676"/>
      <c r="S172" s="1168"/>
      <c r="T172" s="1168"/>
      <c r="U172" s="550"/>
      <c r="V172" s="1168"/>
      <c r="W172" s="1168"/>
      <c r="X172" s="1168"/>
      <c r="Y172" s="1168"/>
      <c r="Z172" s="1168"/>
      <c r="AA172" s="1672"/>
      <c r="AB172" s="572"/>
      <c r="AC172" s="572"/>
      <c r="AD172" s="572"/>
      <c r="AE172" s="572"/>
    </row>
    <row s="12366" customFormat="1" customHeight="1" ht="11.25">
      <c r="A173" s="994"/>
      <c r="B173" s="1676"/>
      <c r="C173" s="1676"/>
      <c r="D173" s="347"/>
      <c r="K173" s="1168"/>
      <c r="L173" s="1676"/>
      <c r="M173" s="1676"/>
      <c r="N173" s="1168"/>
      <c r="O173" s="1168"/>
      <c r="P173" s="1168"/>
      <c r="Q173" s="1168"/>
      <c r="R173" s="1676"/>
      <c r="S173" s="1168"/>
      <c r="T173" s="1168"/>
      <c r="U173" s="550"/>
      <c r="V173" s="1168"/>
      <c r="W173" s="1168"/>
      <c r="X173" s="1168"/>
      <c r="Y173" s="1168"/>
      <c r="Z173" s="1168"/>
      <c r="AA173" s="1672"/>
      <c r="AB173" s="572"/>
      <c r="AC173" s="572"/>
      <c r="AD173" s="572"/>
      <c r="AE173" s="572"/>
    </row>
    <row s="12366" customFormat="1" customHeight="1" ht="11.25">
      <c r="A174" s="994"/>
      <c r="B174" s="1676"/>
      <c r="C174" s="1676"/>
      <c r="D174" s="347"/>
      <c r="K174" s="1168"/>
      <c r="L174" s="1676"/>
      <c r="M174" s="1676"/>
      <c r="N174" s="1168"/>
      <c r="O174" s="1168"/>
      <c r="P174" s="1168"/>
      <c r="Q174" s="1168"/>
      <c r="R174" s="1676"/>
      <c r="S174" s="1168"/>
      <c r="T174" s="1168"/>
      <c r="U174" s="550"/>
      <c r="V174" s="1168"/>
      <c r="W174" s="1168"/>
      <c r="X174" s="1168"/>
      <c r="Y174" s="1168"/>
      <c r="Z174" s="1168"/>
      <c r="AA174" s="1672"/>
      <c r="AB174" s="572"/>
      <c r="AC174" s="572"/>
      <c r="AD174" s="572"/>
      <c r="AE174" s="572"/>
    </row>
    <row s="12366" customFormat="1" customHeight="1" ht="11.25">
      <c r="A175" s="994"/>
      <c r="B175" s="1676"/>
      <c r="C175" s="1676"/>
      <c r="D175" s="347"/>
      <c r="K175" s="1168"/>
      <c r="L175" s="1676"/>
      <c r="M175" s="1676"/>
      <c r="N175" s="1168"/>
      <c r="O175" s="1168"/>
      <c r="P175" s="1168"/>
      <c r="Q175" s="1168"/>
      <c r="R175" s="1676"/>
      <c r="S175" s="1168"/>
      <c r="T175" s="1168"/>
      <c r="U175" s="550"/>
      <c r="V175" s="1168"/>
      <c r="W175" s="1168"/>
      <c r="X175" s="1168"/>
      <c r="Y175" s="1168"/>
      <c r="Z175" s="1168"/>
      <c r="AA175" s="1672"/>
      <c r="AB175" s="572"/>
      <c r="AC175" s="572"/>
      <c r="AD175" s="572"/>
      <c r="AE175" s="572"/>
    </row>
    <row s="12366" customFormat="1" customHeight="1" ht="11.25">
      <c r="A176" s="994"/>
      <c r="B176" s="1676"/>
      <c r="C176" s="1676"/>
      <c r="D176" s="347"/>
      <c r="K176" s="1168"/>
      <c r="L176" s="1676"/>
      <c r="M176" s="1676"/>
      <c r="N176" s="1168"/>
      <c r="O176" s="1168"/>
      <c r="P176" s="1168"/>
      <c r="Q176" s="1168"/>
      <c r="R176" s="1676"/>
      <c r="S176" s="1168"/>
      <c r="T176" s="1168"/>
      <c r="U176" s="550"/>
      <c r="V176" s="1168"/>
      <c r="W176" s="1168"/>
      <c r="X176" s="1168"/>
      <c r="Y176" s="1168"/>
      <c r="Z176" s="1168"/>
      <c r="AA176" s="1672"/>
      <c r="AB176" s="572"/>
      <c r="AC176" s="572"/>
      <c r="AD176" s="572"/>
      <c r="AE176" s="572"/>
    </row>
    <row s="12366" customFormat="1" customHeight="1" ht="11.25">
      <c r="A177" s="994"/>
      <c r="B177" s="1676"/>
      <c r="C177" s="1676"/>
      <c r="D177" s="347"/>
      <c r="K177" s="1168"/>
      <c r="L177" s="1676"/>
      <c r="M177" s="1676"/>
      <c r="N177" s="1168"/>
      <c r="O177" s="1168"/>
      <c r="P177" s="1168"/>
      <c r="Q177" s="1168"/>
      <c r="R177" s="1676"/>
      <c r="S177" s="1168"/>
      <c r="T177" s="1168"/>
      <c r="U177" s="550"/>
      <c r="V177" s="1168"/>
      <c r="W177" s="1168"/>
      <c r="X177" s="1168"/>
      <c r="Y177" s="1168"/>
      <c r="Z177" s="1168"/>
      <c r="AA177" s="1672"/>
      <c r="AB177" s="572"/>
      <c r="AC177" s="572"/>
      <c r="AD177" s="572"/>
      <c r="AE177" s="572"/>
    </row>
    <row s="12366" customFormat="1" customHeight="1" ht="11.25">
      <c r="A178" s="994"/>
      <c r="B178" s="1676"/>
      <c r="C178" s="1676"/>
      <c r="D178" s="347"/>
      <c r="K178" s="1168"/>
      <c r="L178" s="1676"/>
      <c r="M178" s="1676"/>
      <c r="N178" s="1168"/>
      <c r="O178" s="1168"/>
      <c r="P178" s="1168"/>
      <c r="Q178" s="1168"/>
      <c r="R178" s="1676"/>
      <c r="S178" s="1168"/>
      <c r="T178" s="1168"/>
      <c r="U178" s="550"/>
      <c r="V178" s="1168"/>
      <c r="W178" s="1168"/>
      <c r="X178" s="1168"/>
      <c r="Y178" s="1168"/>
      <c r="Z178" s="1168"/>
      <c r="AA178" s="1672"/>
      <c r="AB178" s="572"/>
      <c r="AC178" s="572"/>
      <c r="AD178" s="572"/>
      <c r="AE178" s="572"/>
    </row>
    <row s="12366" customFormat="1" customHeight="1" ht="11.25">
      <c r="A179" s="994"/>
      <c r="B179" s="1676"/>
      <c r="C179" s="1676"/>
      <c r="D179" s="347"/>
      <c r="K179" s="1168"/>
      <c r="L179" s="1676"/>
      <c r="M179" s="1676"/>
      <c r="N179" s="1168"/>
      <c r="O179" s="1168"/>
      <c r="P179" s="1168"/>
      <c r="Q179" s="1168"/>
      <c r="R179" s="1676"/>
      <c r="S179" s="1168"/>
      <c r="T179" s="1168"/>
      <c r="U179" s="550"/>
      <c r="V179" s="1168"/>
      <c r="W179" s="1168"/>
      <c r="X179" s="1168"/>
      <c r="Y179" s="1168"/>
      <c r="Z179" s="1168"/>
      <c r="AA179" s="1672"/>
      <c r="AB179" s="572"/>
      <c r="AC179" s="572"/>
      <c r="AD179" s="572"/>
      <c r="AE179" s="572"/>
    </row>
    <row s="12366" customFormat="1" customHeight="1" ht="11.25">
      <c r="A180" s="994"/>
      <c r="B180" s="1676"/>
      <c r="C180" s="1676"/>
      <c r="D180" s="347"/>
      <c r="K180" s="1168"/>
      <c r="L180" s="1676"/>
      <c r="M180" s="1676"/>
      <c r="N180" s="1168"/>
      <c r="O180" s="1168"/>
      <c r="P180" s="1168"/>
      <c r="Q180" s="1168"/>
      <c r="R180" s="1676"/>
      <c r="S180" s="1168"/>
      <c r="T180" s="1168"/>
      <c r="U180" s="550"/>
      <c r="V180" s="1168"/>
      <c r="W180" s="1168"/>
      <c r="X180" s="1168"/>
      <c r="Y180" s="1168"/>
      <c r="Z180" s="1168"/>
      <c r="AA180" s="1672"/>
      <c r="AB180" s="572"/>
      <c r="AC180" s="572"/>
      <c r="AD180" s="572"/>
      <c r="AE180" s="572"/>
    </row>
    <row s="12366" customFormat="1" customHeight="1" ht="11.25">
      <c r="A181" s="994"/>
      <c r="B181" s="1676"/>
      <c r="C181" s="1676"/>
      <c r="D181" s="347"/>
      <c r="K181" s="1168"/>
      <c r="L181" s="1676"/>
      <c r="M181" s="1676"/>
      <c r="N181" s="1168"/>
      <c r="O181" s="1168"/>
      <c r="P181" s="1168"/>
      <c r="Q181" s="1168"/>
      <c r="R181" s="1676"/>
      <c r="S181" s="1168"/>
      <c r="T181" s="1168"/>
      <c r="U181" s="550"/>
      <c r="V181" s="1168"/>
      <c r="W181" s="1168"/>
      <c r="X181" s="1168"/>
      <c r="Y181" s="1168"/>
      <c r="Z181" s="1168"/>
      <c r="AA181" s="1672"/>
      <c r="AB181" s="572"/>
      <c r="AC181" s="572"/>
      <c r="AD181" s="572"/>
      <c r="AE181" s="572"/>
    </row>
    <row s="12366" customFormat="1" customHeight="1" ht="11.25">
      <c r="A182" s="994"/>
      <c r="B182" s="1676"/>
      <c r="C182" s="1676"/>
      <c r="D182" s="347"/>
      <c r="K182" s="1168"/>
      <c r="L182" s="1676"/>
      <c r="M182" s="1676"/>
      <c r="N182" s="1168"/>
      <c r="O182" s="1168"/>
      <c r="P182" s="1168"/>
      <c r="Q182" s="1168"/>
      <c r="R182" s="1676"/>
      <c r="S182" s="1168"/>
      <c r="T182" s="1168"/>
      <c r="U182" s="550"/>
      <c r="V182" s="1168"/>
      <c r="W182" s="1168"/>
      <c r="X182" s="1168"/>
      <c r="Y182" s="1168"/>
      <c r="Z182" s="1168"/>
      <c r="AA182" s="1672"/>
      <c r="AB182" s="572"/>
      <c r="AC182" s="572"/>
      <c r="AD182" s="572"/>
      <c r="AE182" s="572"/>
    </row>
    <row s="12366" customFormat="1" customHeight="1" ht="11.25">
      <c r="A183" s="994"/>
      <c r="B183" s="1676"/>
      <c r="C183" s="1676"/>
      <c r="D183" s="347"/>
      <c r="K183" s="1168"/>
      <c r="L183" s="1676"/>
      <c r="M183" s="1676"/>
      <c r="N183" s="1168"/>
      <c r="O183" s="1168"/>
      <c r="P183" s="1168"/>
      <c r="Q183" s="1168"/>
      <c r="R183" s="1676"/>
      <c r="S183" s="1168"/>
      <c r="T183" s="1168"/>
      <c r="U183" s="550"/>
      <c r="V183" s="1168"/>
      <c r="W183" s="1168"/>
      <c r="X183" s="1168"/>
      <c r="Y183" s="1168"/>
      <c r="Z183" s="1168"/>
      <c r="AA183" s="1672"/>
      <c r="AB183" s="572"/>
      <c r="AC183" s="572"/>
      <c r="AD183" s="572"/>
      <c r="AE183" s="572"/>
    </row>
    <row s="12366" customFormat="1" customHeight="1" ht="11.25">
      <c r="A184" s="994"/>
      <c r="B184" s="1676"/>
      <c r="C184" s="1676"/>
      <c r="D184" s="347"/>
      <c r="K184" s="1168"/>
      <c r="L184" s="1676"/>
      <c r="M184" s="1676"/>
      <c r="N184" s="1168"/>
      <c r="O184" s="1168"/>
      <c r="P184" s="1168"/>
      <c r="Q184" s="1168"/>
      <c r="R184" s="1676"/>
      <c r="S184" s="1168"/>
      <c r="T184" s="1168"/>
      <c r="U184" s="550"/>
      <c r="V184" s="1168"/>
      <c r="W184" s="1168"/>
      <c r="X184" s="1168"/>
      <c r="Y184" s="1168"/>
      <c r="Z184" s="1168"/>
      <c r="AA184" s="1672"/>
      <c r="AB184" s="572"/>
      <c r="AC184" s="572"/>
      <c r="AD184" s="572"/>
      <c r="AE184" s="572"/>
    </row>
    <row s="12366" customFormat="1" customHeight="1" ht="11.25">
      <c r="A185" s="994"/>
      <c r="B185" s="1676"/>
      <c r="C185" s="1676"/>
      <c r="D185" s="347"/>
      <c r="K185" s="1168"/>
      <c r="L185" s="1676"/>
      <c r="M185" s="1676"/>
      <c r="N185" s="1168"/>
      <c r="O185" s="1168"/>
      <c r="P185" s="1168"/>
      <c r="Q185" s="1168"/>
      <c r="R185" s="1676"/>
      <c r="S185" s="1168"/>
      <c r="T185" s="1168"/>
      <c r="U185" s="550"/>
      <c r="V185" s="1168"/>
      <c r="W185" s="1168"/>
      <c r="X185" s="1168"/>
      <c r="Y185" s="1168"/>
      <c r="Z185" s="1168"/>
      <c r="AA185" s="1672"/>
      <c r="AB185" s="572"/>
      <c r="AC185" s="572"/>
      <c r="AD185" s="572"/>
      <c r="AE185" s="572"/>
    </row>
    <row s="12366" customFormat="1" customHeight="1" ht="11.25">
      <c r="A186" s="994"/>
      <c r="B186" s="1676"/>
      <c r="C186" s="1676"/>
      <c r="D186" s="347"/>
      <c r="K186" s="1168"/>
      <c r="L186" s="1676"/>
      <c r="M186" s="1676"/>
      <c r="N186" s="1168"/>
      <c r="O186" s="1168"/>
      <c r="P186" s="1168"/>
      <c r="Q186" s="1168"/>
      <c r="R186" s="1676"/>
      <c r="S186" s="1168"/>
      <c r="T186" s="1168"/>
      <c r="U186" s="550"/>
      <c r="V186" s="1168"/>
      <c r="W186" s="1168"/>
      <c r="X186" s="1168"/>
      <c r="Y186" s="1168"/>
      <c r="Z186" s="1168"/>
      <c r="AA186" s="1672"/>
      <c r="AB186" s="572"/>
      <c r="AC186" s="572"/>
      <c r="AD186" s="572"/>
      <c r="AE186" s="572"/>
    </row>
    <row s="12366" customFormat="1" customHeight="1" ht="11.25">
      <c r="A187" s="994"/>
      <c r="B187" s="1676"/>
      <c r="C187" s="1676"/>
      <c r="D187" s="347"/>
      <c r="K187" s="1168"/>
      <c r="L187" s="1676"/>
      <c r="M187" s="1676"/>
      <c r="N187" s="1168"/>
      <c r="O187" s="1168"/>
      <c r="P187" s="1168"/>
      <c r="Q187" s="1168"/>
      <c r="R187" s="1676"/>
      <c r="S187" s="1168"/>
      <c r="T187" s="1168"/>
      <c r="U187" s="550"/>
      <c r="V187" s="1168"/>
      <c r="W187" s="1168"/>
      <c r="X187" s="1168"/>
      <c r="Y187" s="1168"/>
      <c r="Z187" s="1168"/>
      <c r="AA187" s="1672"/>
      <c r="AB187" s="572"/>
      <c r="AC187" s="572"/>
      <c r="AD187" s="572"/>
      <c r="AE187" s="572"/>
    </row>
    <row s="12366" customFormat="1" customHeight="1" ht="11.25">
      <c r="A188" s="994"/>
      <c r="B188" s="1676"/>
      <c r="C188" s="1676"/>
      <c r="D188" s="347"/>
      <c r="K188" s="1168"/>
      <c r="L188" s="1676"/>
      <c r="M188" s="1676"/>
      <c r="N188" s="1168"/>
      <c r="O188" s="1168"/>
      <c r="P188" s="1168"/>
      <c r="Q188" s="1168"/>
      <c r="R188" s="1676"/>
      <c r="S188" s="1168"/>
      <c r="T188" s="1168"/>
      <c r="U188" s="550"/>
      <c r="V188" s="1168"/>
      <c r="W188" s="1168"/>
      <c r="X188" s="1168"/>
      <c r="Y188" s="1168"/>
      <c r="Z188" s="1168"/>
      <c r="AA188" s="1672"/>
      <c r="AB188" s="572"/>
      <c r="AC188" s="572"/>
      <c r="AD188" s="572"/>
      <c r="AE188" s="572"/>
    </row>
    <row s="12366" customFormat="1" customHeight="1" ht="11.25">
      <c r="A189" s="994"/>
      <c r="B189" s="1676"/>
      <c r="C189" s="1676"/>
      <c r="D189" s="347"/>
      <c r="K189" s="1168"/>
      <c r="L189" s="1676"/>
      <c r="M189" s="1676"/>
      <c r="N189" s="1168"/>
      <c r="O189" s="1168"/>
      <c r="P189" s="1168"/>
      <c r="Q189" s="1168"/>
      <c r="R189" s="1676"/>
      <c r="S189" s="1168"/>
      <c r="T189" s="1168"/>
      <c r="U189" s="550"/>
      <c r="V189" s="1168"/>
      <c r="W189" s="1168"/>
      <c r="X189" s="1168"/>
      <c r="Y189" s="1168"/>
      <c r="Z189" s="1168"/>
      <c r="AA189" s="1672"/>
      <c r="AB189" s="572"/>
      <c r="AC189" s="572"/>
      <c r="AD189" s="572"/>
      <c r="AE189" s="572"/>
    </row>
    <row s="12366" customFormat="1" customHeight="1" ht="11.25">
      <c r="A190" s="994"/>
      <c r="B190" s="1676"/>
      <c r="C190" s="1676"/>
      <c r="D190" s="347"/>
      <c r="K190" s="1168"/>
      <c r="L190" s="1676"/>
      <c r="M190" s="1676"/>
      <c r="N190" s="1168"/>
      <c r="O190" s="1168"/>
      <c r="P190" s="1168"/>
      <c r="Q190" s="1168"/>
      <c r="R190" s="1676"/>
      <c r="S190" s="1168"/>
      <c r="T190" s="1168"/>
      <c r="U190" s="550"/>
      <c r="V190" s="1168"/>
      <c r="W190" s="1168"/>
      <c r="X190" s="1168"/>
      <c r="Y190" s="1168"/>
      <c r="Z190" s="1168"/>
      <c r="AA190" s="1672"/>
      <c r="AB190" s="572"/>
      <c r="AC190" s="572"/>
      <c r="AD190" s="572"/>
      <c r="AE190" s="572"/>
    </row>
    <row s="12366" customFormat="1" customHeight="1" ht="11.25">
      <c r="A191" s="994"/>
      <c r="B191" s="1676"/>
      <c r="C191" s="1676"/>
      <c r="D191" s="347"/>
      <c r="K191" s="1168"/>
      <c r="L191" s="1676"/>
      <c r="M191" s="1676"/>
      <c r="N191" s="1168"/>
      <c r="O191" s="1168"/>
      <c r="P191" s="1168"/>
      <c r="Q191" s="1168"/>
      <c r="R191" s="1676"/>
      <c r="S191" s="1168"/>
      <c r="T191" s="1168"/>
      <c r="U191" s="550"/>
      <c r="V191" s="1168"/>
      <c r="W191" s="1168"/>
      <c r="X191" s="1168"/>
      <c r="Y191" s="1168"/>
      <c r="Z191" s="1168"/>
      <c r="AA191" s="1672"/>
      <c r="AB191" s="572"/>
      <c r="AC191" s="572"/>
      <c r="AD191" s="572"/>
      <c r="AE191" s="572"/>
    </row>
    <row s="12366" customFormat="1" customHeight="1" ht="11.25">
      <c r="A192" s="994"/>
      <c r="B192" s="1676"/>
      <c r="C192" s="1676"/>
      <c r="D192" s="347"/>
      <c r="K192" s="1168"/>
      <c r="L192" s="1676"/>
      <c r="M192" s="1676"/>
      <c r="N192" s="1168"/>
      <c r="O192" s="1168"/>
      <c r="P192" s="1168"/>
      <c r="Q192" s="1168"/>
      <c r="R192" s="1676"/>
      <c r="S192" s="1168"/>
      <c r="T192" s="1168"/>
      <c r="U192" s="550"/>
      <c r="V192" s="1168"/>
      <c r="W192" s="1168"/>
      <c r="X192" s="1168"/>
      <c r="Y192" s="1168"/>
      <c r="Z192" s="1168"/>
      <c r="AA192" s="1672"/>
      <c r="AB192" s="572"/>
      <c r="AC192" s="572"/>
      <c r="AD192" s="572"/>
      <c r="AE192" s="572"/>
    </row>
    <row s="12366" customFormat="1" customHeight="1" ht="11.25">
      <c r="A193" s="994"/>
      <c r="B193" s="1676"/>
      <c r="C193" s="1676"/>
      <c r="D193" s="347"/>
      <c r="K193" s="1168"/>
      <c r="L193" s="1676"/>
      <c r="M193" s="1676"/>
      <c r="N193" s="1168"/>
      <c r="O193" s="1168"/>
      <c r="P193" s="1168"/>
      <c r="Q193" s="1168"/>
      <c r="R193" s="1676"/>
      <c r="S193" s="1168"/>
      <c r="T193" s="1168"/>
      <c r="U193" s="550"/>
      <c r="V193" s="1168"/>
      <c r="W193" s="1168"/>
      <c r="X193" s="1168"/>
      <c r="Y193" s="1168"/>
      <c r="Z193" s="1168"/>
      <c r="AA193" s="1672"/>
      <c r="AB193" s="572"/>
      <c r="AC193" s="572"/>
      <c r="AD193" s="572"/>
      <c r="AE193" s="572"/>
    </row>
    <row s="12366" customFormat="1" customHeight="1" ht="11.25">
      <c r="A194" s="994"/>
      <c r="B194" s="1676"/>
      <c r="C194" s="1676"/>
      <c r="D194" s="347"/>
      <c r="K194" s="1168"/>
      <c r="L194" s="1676"/>
      <c r="M194" s="1676"/>
      <c r="N194" s="1168"/>
      <c r="O194" s="1168"/>
      <c r="P194" s="1168"/>
      <c r="Q194" s="1168"/>
      <c r="R194" s="1676"/>
      <c r="S194" s="1168"/>
      <c r="T194" s="1168"/>
      <c r="U194" s="550"/>
      <c r="V194" s="1168"/>
      <c r="W194" s="1168"/>
      <c r="X194" s="1168"/>
      <c r="Y194" s="1168"/>
      <c r="Z194" s="1168"/>
      <c r="AA194" s="1672"/>
      <c r="AB194" s="572"/>
      <c r="AC194" s="572"/>
      <c r="AD194" s="572"/>
      <c r="AE194" s="572"/>
    </row>
    <row s="12366" customFormat="1" customHeight="1" ht="11.25">
      <c r="A195" s="994"/>
      <c r="B195" s="1676"/>
      <c r="C195" s="1676"/>
      <c r="D195" s="347"/>
      <c r="K195" s="1168"/>
      <c r="L195" s="1676"/>
      <c r="M195" s="1676"/>
      <c r="N195" s="1168"/>
      <c r="O195" s="1168"/>
      <c r="P195" s="1168"/>
      <c r="Q195" s="1168"/>
      <c r="R195" s="1676"/>
      <c r="S195" s="1168"/>
      <c r="T195" s="1168"/>
      <c r="U195" s="550"/>
      <c r="V195" s="1168"/>
      <c r="W195" s="1168"/>
      <c r="X195" s="1168"/>
      <c r="Y195" s="1168"/>
      <c r="Z195" s="1168"/>
      <c r="AA195" s="1672"/>
      <c r="AB195" s="572"/>
      <c r="AC195" s="572"/>
      <c r="AD195" s="572"/>
      <c r="AE195" s="572"/>
    </row>
    <row s="12366" customFormat="1" customHeight="1" ht="11.25">
      <c r="A196" s="994"/>
      <c r="B196" s="1676"/>
      <c r="C196" s="1676"/>
      <c r="D196" s="347"/>
      <c r="K196" s="1168"/>
      <c r="L196" s="1676"/>
      <c r="M196" s="1676"/>
      <c r="N196" s="1168"/>
      <c r="O196" s="1168"/>
      <c r="P196" s="1168"/>
      <c r="Q196" s="1168"/>
      <c r="R196" s="1676"/>
      <c r="S196" s="1168"/>
      <c r="T196" s="1168"/>
      <c r="U196" s="550"/>
      <c r="V196" s="1168"/>
      <c r="W196" s="1168"/>
      <c r="X196" s="1168"/>
      <c r="Y196" s="1168"/>
      <c r="Z196" s="1168"/>
      <c r="AA196" s="1672"/>
      <c r="AB196" s="572"/>
      <c r="AC196" s="572"/>
      <c r="AD196" s="572"/>
      <c r="AE196" s="572"/>
    </row>
    <row s="12366" customFormat="1" customHeight="1" ht="11.25">
      <c r="A197" s="994"/>
      <c r="B197" s="1676"/>
      <c r="C197" s="1676"/>
      <c r="D197" s="347"/>
      <c r="K197" s="1168"/>
      <c r="L197" s="1676"/>
      <c r="M197" s="1676"/>
      <c r="N197" s="1168"/>
      <c r="O197" s="1168"/>
      <c r="P197" s="1168"/>
      <c r="Q197" s="1168"/>
      <c r="R197" s="1676"/>
      <c r="S197" s="1168"/>
      <c r="T197" s="1168"/>
      <c r="U197" s="550"/>
      <c r="V197" s="1168"/>
      <c r="W197" s="1168"/>
      <c r="X197" s="1168"/>
      <c r="Y197" s="1168"/>
      <c r="Z197" s="1168"/>
      <c r="AA197" s="1672"/>
      <c r="AB197" s="572"/>
      <c r="AC197" s="572"/>
      <c r="AD197" s="572"/>
      <c r="AE197" s="572"/>
    </row>
    <row s="12366" customFormat="1" customHeight="1" ht="11.25">
      <c r="A198" s="994"/>
      <c r="B198" s="1676"/>
      <c r="C198" s="1676"/>
      <c r="D198" s="347"/>
      <c r="K198" s="1168"/>
      <c r="L198" s="1676"/>
      <c r="M198" s="1676"/>
      <c r="N198" s="1168"/>
      <c r="O198" s="1168"/>
      <c r="P198" s="1168"/>
      <c r="Q198" s="1168"/>
      <c r="R198" s="1676"/>
      <c r="S198" s="1168"/>
      <c r="T198" s="1168"/>
      <c r="U198" s="550"/>
      <c r="V198" s="1168"/>
      <c r="W198" s="1168"/>
      <c r="X198" s="1168"/>
      <c r="Y198" s="1168"/>
      <c r="Z198" s="1168"/>
      <c r="AA198" s="1672"/>
      <c r="AB198" s="572"/>
      <c r="AC198" s="572"/>
      <c r="AD198" s="572"/>
      <c r="AE198" s="572"/>
    </row>
    <row s="12366" customFormat="1" customHeight="1" ht="11.25">
      <c r="A199" s="994"/>
      <c r="B199" s="1676"/>
      <c r="C199" s="1676"/>
      <c r="D199" s="347"/>
      <c r="K199" s="1168"/>
      <c r="L199" s="1676"/>
      <c r="M199" s="1676"/>
      <c r="N199" s="1168"/>
      <c r="O199" s="1168"/>
      <c r="P199" s="1168"/>
      <c r="Q199" s="1168"/>
      <c r="R199" s="1676"/>
      <c r="S199" s="1168"/>
      <c r="T199" s="1168"/>
      <c r="U199" s="550"/>
      <c r="V199" s="1168"/>
      <c r="W199" s="1168"/>
      <c r="X199" s="1168"/>
      <c r="Y199" s="1168"/>
      <c r="Z199" s="1168"/>
      <c r="AA199" s="1672"/>
      <c r="AB199" s="572"/>
      <c r="AC199" s="572"/>
      <c r="AD199" s="572"/>
      <c r="AE199" s="572"/>
    </row>
    <row s="12366" customFormat="1" customHeight="1" ht="11.25">
      <c r="A200" s="994"/>
      <c r="B200" s="1676"/>
      <c r="C200" s="1676"/>
      <c r="D200" s="347"/>
      <c r="K200" s="1168"/>
      <c r="L200" s="1676"/>
      <c r="M200" s="1676"/>
      <c r="N200" s="1168"/>
      <c r="O200" s="1168"/>
      <c r="P200" s="1168"/>
      <c r="Q200" s="1168"/>
      <c r="R200" s="1676"/>
      <c r="S200" s="1168"/>
      <c r="T200" s="1168"/>
      <c r="U200" s="550"/>
      <c r="V200" s="1168"/>
      <c r="W200" s="1168"/>
      <c r="X200" s="1168"/>
      <c r="Y200" s="1168"/>
      <c r="Z200" s="1168"/>
      <c r="AA200" s="1672"/>
      <c r="AB200" s="572"/>
      <c r="AC200" s="572"/>
      <c r="AD200" s="572"/>
      <c r="AE200" s="572"/>
    </row>
    <row s="12366" customFormat="1" customHeight="1" ht="11.25">
      <c r="A201" s="994"/>
      <c r="B201" s="1676"/>
      <c r="C201" s="1676"/>
      <c r="D201" s="347"/>
      <c r="K201" s="1168"/>
      <c r="L201" s="1676"/>
      <c r="M201" s="1676"/>
      <c r="N201" s="1168"/>
      <c r="O201" s="1168"/>
      <c r="P201" s="1168"/>
      <c r="Q201" s="1168"/>
      <c r="R201" s="1676"/>
      <c r="S201" s="1168"/>
      <c r="T201" s="1168"/>
      <c r="U201" s="550"/>
      <c r="V201" s="1168"/>
      <c r="W201" s="1168"/>
      <c r="X201" s="1168"/>
      <c r="Y201" s="1168"/>
      <c r="Z201" s="1168"/>
      <c r="AA201" s="1672"/>
      <c r="AB201" s="572"/>
      <c r="AC201" s="572"/>
      <c r="AD201" s="572"/>
      <c r="AE201" s="572"/>
    </row>
    <row s="12366" customFormat="1" customHeight="1" ht="11.25">
      <c r="A202" s="994"/>
      <c r="B202" s="1676"/>
      <c r="C202" s="1676"/>
      <c r="D202" s="347"/>
      <c r="K202" s="1168"/>
      <c r="L202" s="1676"/>
      <c r="M202" s="1676"/>
      <c r="N202" s="1168"/>
      <c r="O202" s="1168"/>
      <c r="P202" s="1168"/>
      <c r="Q202" s="1168"/>
      <c r="R202" s="1676"/>
      <c r="S202" s="1168"/>
      <c r="T202" s="1168"/>
      <c r="U202" s="550"/>
      <c r="V202" s="1168"/>
      <c r="W202" s="1168"/>
      <c r="X202" s="1168"/>
      <c r="Y202" s="1168"/>
      <c r="Z202" s="1168"/>
      <c r="AA202" s="1672"/>
      <c r="AB202" s="572"/>
      <c r="AC202" s="572"/>
      <c r="AD202" s="572"/>
      <c r="AE202" s="572"/>
    </row>
    <row s="12366" customFormat="1" customHeight="1" ht="11.25">
      <c r="A203" s="994"/>
      <c r="B203" s="1676"/>
      <c r="C203" s="1676"/>
      <c r="D203" s="347"/>
      <c r="K203" s="1168"/>
      <c r="L203" s="1676"/>
      <c r="M203" s="1676"/>
      <c r="N203" s="1168"/>
      <c r="O203" s="1168"/>
      <c r="P203" s="1168"/>
      <c r="Q203" s="1168"/>
      <c r="R203" s="1676"/>
      <c r="S203" s="1168"/>
      <c r="T203" s="1168"/>
      <c r="U203" s="550"/>
      <c r="V203" s="1168"/>
      <c r="W203" s="1168"/>
      <c r="X203" s="1168"/>
      <c r="Y203" s="1168"/>
      <c r="Z203" s="1168"/>
      <c r="AA203" s="1672"/>
      <c r="AB203" s="572"/>
      <c r="AC203" s="572"/>
      <c r="AD203" s="572"/>
      <c r="AE203" s="572"/>
    </row>
    <row s="12366" customFormat="1" customHeight="1" ht="11.25">
      <c r="A204" s="994"/>
      <c r="B204" s="1676"/>
      <c r="C204" s="1676"/>
      <c r="D204" s="347"/>
      <c r="K204" s="1168"/>
      <c r="L204" s="1676"/>
      <c r="M204" s="1676"/>
      <c r="N204" s="1168"/>
      <c r="O204" s="1168"/>
      <c r="P204" s="1168"/>
      <c r="Q204" s="1168"/>
      <c r="R204" s="1676"/>
      <c r="S204" s="1168"/>
      <c r="T204" s="1168"/>
      <c r="U204" s="550"/>
      <c r="V204" s="1168"/>
      <c r="W204" s="1168"/>
      <c r="X204" s="1168"/>
      <c r="Y204" s="1168"/>
      <c r="Z204" s="1168"/>
      <c r="AA204" s="1672"/>
      <c r="AB204" s="572"/>
      <c r="AC204" s="572"/>
      <c r="AD204" s="572"/>
      <c r="AE204" s="572"/>
    </row>
    <row r="208" customHeight="1" ht="11.25">
      <c r="A208" s="997"/>
      <c r="B208" s="1671"/>
      <c r="D208" s="1671"/>
      <c r="K208" s="1671"/>
      <c r="N208" s="1671"/>
      <c r="O208" s="1671"/>
      <c r="P208" s="1671"/>
      <c r="Q208" s="1671"/>
      <c r="S208" s="1671"/>
      <c r="T208" s="1671"/>
      <c r="U208" s="1671"/>
      <c r="V208" s="1671"/>
      <c r="W208" s="1671"/>
      <c r="X208" s="1671"/>
      <c r="Y208" s="1671"/>
      <c r="Z208" s="1671"/>
      <c r="AA208" s="1671"/>
      <c r="AB208" s="1671"/>
      <c r="AC208" s="1671"/>
      <c r="AD208" s="1671"/>
      <c r="AE208" s="1671"/>
    </row>
    <row customHeight="1" ht="11.25">
      <c r="A209" s="997"/>
      <c r="B209" s="1671"/>
      <c r="D209" s="1671"/>
      <c r="K209" s="1671"/>
      <c r="N209" s="1671"/>
      <c r="O209" s="1671"/>
      <c r="P209" s="1671"/>
      <c r="Q209" s="1671"/>
      <c r="S209" s="1671"/>
      <c r="T209" s="1671"/>
      <c r="U209" s="1671"/>
      <c r="V209" s="1671"/>
      <c r="W209" s="1671"/>
      <c r="X209" s="1671"/>
      <c r="Y209" s="1671"/>
      <c r="Z209" s="1671"/>
      <c r="AA209" s="1671"/>
      <c r="AB209" s="1671"/>
      <c r="AC209" s="1671"/>
      <c r="AD209" s="1671"/>
      <c r="AE209" s="1671"/>
    </row>
    <row customHeight="1" ht="11.25">
      <c r="A210" s="997"/>
      <c r="B210" s="1671"/>
      <c r="D210" s="1671"/>
      <c r="K210" s="1671"/>
      <c r="N210" s="1671"/>
      <c r="O210" s="1671"/>
      <c r="P210" s="1671"/>
      <c r="Q210" s="1671"/>
      <c r="S210" s="1671"/>
      <c r="T210" s="1671"/>
      <c r="U210" s="1671"/>
      <c r="V210" s="1671"/>
      <c r="W210" s="1671"/>
      <c r="X210" s="1671"/>
      <c r="Y210" s="1671"/>
      <c r="Z210" s="1671"/>
      <c r="AA210" s="1671"/>
      <c r="AB210" s="1671"/>
      <c r="AC210" s="1671"/>
      <c r="AD210" s="1671"/>
      <c r="AE210" s="1671"/>
    </row>
    <row customHeight="1" ht="11.25">
      <c r="A211" s="997"/>
      <c r="B211" s="1671"/>
      <c r="D211" s="1671"/>
      <c r="K211" s="1671"/>
      <c r="N211" s="1671"/>
      <c r="O211" s="1671"/>
      <c r="P211" s="1671"/>
      <c r="Q211" s="1671"/>
      <c r="S211" s="1671"/>
      <c r="T211" s="1671"/>
      <c r="U211" s="1671"/>
      <c r="V211" s="1671"/>
      <c r="W211" s="1671"/>
      <c r="X211" s="1671"/>
      <c r="Y211" s="1671"/>
      <c r="Z211" s="1671"/>
      <c r="AA211" s="1671"/>
      <c r="AB211" s="1671"/>
      <c r="AC211" s="1671"/>
      <c r="AD211" s="1671"/>
      <c r="AE211" s="1671"/>
    </row>
    <row customHeight="1" ht="11.25">
      <c r="A212" s="997"/>
      <c r="B212" s="1671"/>
      <c r="D212" s="1671"/>
      <c r="K212" s="1671"/>
      <c r="N212" s="1671"/>
      <c r="O212" s="1671"/>
      <c r="P212" s="1671"/>
      <c r="Q212" s="1671"/>
      <c r="S212" s="1671"/>
      <c r="T212" s="1671"/>
      <c r="U212" s="1671"/>
      <c r="V212" s="1671"/>
      <c r="W212" s="1671"/>
      <c r="X212" s="1671"/>
      <c r="Y212" s="1671"/>
      <c r="Z212" s="1671"/>
      <c r="AA212" s="1671"/>
      <c r="AB212" s="1671"/>
      <c r="AC212" s="1671"/>
      <c r="AD212" s="1671"/>
      <c r="AE212" s="1671"/>
    </row>
    <row customHeight="1" ht="11.25">
      <c r="A213" s="997"/>
      <c r="B213" s="1671"/>
      <c r="D213" s="1671"/>
      <c r="K213" s="1671"/>
      <c r="N213" s="1671"/>
      <c r="O213" s="1671"/>
      <c r="P213" s="1671"/>
      <c r="Q213" s="1671"/>
      <c r="S213" s="1671"/>
      <c r="T213" s="1671"/>
      <c r="U213" s="1671"/>
      <c r="V213" s="1671"/>
      <c r="W213" s="1671"/>
      <c r="X213" s="1671"/>
      <c r="Y213" s="1671"/>
      <c r="Z213" s="1671"/>
      <c r="AA213" s="1671"/>
      <c r="AB213" s="1671"/>
      <c r="AC213" s="1671"/>
      <c r="AD213" s="1671"/>
      <c r="AE213" s="1671"/>
    </row>
    <row customHeight="1" ht="11.25">
      <c r="A214" s="997"/>
      <c r="B214" s="1671"/>
      <c r="D214" s="1671"/>
      <c r="K214" s="1671"/>
      <c r="N214" s="1671"/>
      <c r="O214" s="1671"/>
      <c r="P214" s="1671"/>
      <c r="Q214" s="1671"/>
      <c r="S214" s="1671"/>
      <c r="T214" s="1671"/>
      <c r="U214" s="1671"/>
      <c r="V214" s="1671"/>
      <c r="W214" s="1671"/>
      <c r="X214" s="1671"/>
      <c r="Y214" s="1671"/>
      <c r="Z214" s="1671"/>
      <c r="AA214" s="1671"/>
      <c r="AB214" s="1671"/>
      <c r="AC214" s="1671"/>
      <c r="AD214" s="1671"/>
      <c r="AE214" s="1671"/>
    </row>
    <row customHeight="1" ht="11.25">
      <c r="A215" s="997"/>
      <c r="B215" s="1671"/>
      <c r="D215" s="1671"/>
      <c r="K215" s="1671"/>
      <c r="N215" s="1671"/>
      <c r="O215" s="1671"/>
      <c r="P215" s="1671"/>
      <c r="Q215" s="1671"/>
      <c r="S215" s="1671"/>
      <c r="T215" s="1671"/>
      <c r="U215" s="1671"/>
      <c r="V215" s="1671"/>
      <c r="W215" s="1671"/>
      <c r="X215" s="1671"/>
      <c r="Y215" s="1671"/>
      <c r="Z215" s="1671"/>
      <c r="AA215" s="1671"/>
      <c r="AB215" s="1671"/>
      <c r="AC215" s="1671"/>
      <c r="AD215" s="1671"/>
      <c r="AE215" s="1671"/>
    </row>
    <row customHeight="1" ht="11.25">
      <c r="A216" s="997"/>
      <c r="B216" s="1671"/>
      <c r="D216" s="1671"/>
      <c r="K216" s="1671"/>
      <c r="N216" s="1671"/>
      <c r="O216" s="1671"/>
      <c r="P216" s="1671"/>
      <c r="Q216" s="1671"/>
      <c r="S216" s="1671"/>
      <c r="T216" s="1671"/>
      <c r="U216" s="1671"/>
      <c r="V216" s="1671"/>
      <c r="W216" s="1671"/>
      <c r="X216" s="1671"/>
      <c r="Y216" s="1671"/>
      <c r="Z216" s="1671"/>
      <c r="AA216" s="1671"/>
      <c r="AB216" s="1671"/>
      <c r="AC216" s="1671"/>
      <c r="AD216" s="1671"/>
      <c r="AE216" s="1671"/>
    </row>
    <row customHeight="1" ht="11.25">
      <c r="A217" s="997"/>
      <c r="B217" s="1671"/>
      <c r="D217" s="1671"/>
      <c r="K217" s="1671"/>
      <c r="N217" s="1671"/>
      <c r="O217" s="1671"/>
      <c r="P217" s="1671"/>
      <c r="Q217" s="1671"/>
      <c r="S217" s="1671"/>
      <c r="T217" s="1671"/>
      <c r="U217" s="1671"/>
      <c r="V217" s="1671"/>
      <c r="W217" s="1671"/>
      <c r="X217" s="1671"/>
      <c r="Y217" s="1671"/>
      <c r="Z217" s="1671"/>
      <c r="AA217" s="1671"/>
      <c r="AB217" s="1671"/>
      <c r="AC217" s="1671"/>
      <c r="AD217" s="1671"/>
      <c r="AE217" s="1671"/>
    </row>
    <row customHeight="1" ht="11.25">
      <c r="A218" s="997"/>
      <c r="B218" s="1671"/>
      <c r="D218" s="1671"/>
      <c r="K218" s="1671"/>
      <c r="N218" s="1671"/>
      <c r="O218" s="1671"/>
      <c r="P218" s="1671"/>
      <c r="Q218" s="1671"/>
      <c r="S218" s="1671"/>
      <c r="T218" s="1671"/>
      <c r="U218" s="1671"/>
      <c r="V218" s="1671"/>
      <c r="W218" s="1671"/>
      <c r="X218" s="1671"/>
      <c r="Y218" s="1671"/>
      <c r="Z218" s="1671"/>
      <c r="AA218" s="1671"/>
      <c r="AB218" s="1671"/>
      <c r="AC218" s="1671"/>
      <c r="AD218" s="1671"/>
      <c r="AE218" s="1671"/>
    </row>
  </sheetData>
  <sheetProtection formatColumns="0" formatRows="0" autoFilter="0" sort="0" insertRows="0" insertColumns="1" deleteRows="0" deleteColumns="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9F72BF-BA44-8FF8-2EE1-E7A5CFEDFA17}" mc:Ignorable="x14ac xr xr2 xr3">
  <sheetPr>
    <tabColor theme="9" tint="-0.25"/>
  </sheetPr>
  <dimension ref="A1:AE209"/>
  <sheetViews>
    <sheetView topLeftCell="A1" showGridLines="0" zoomScale="90" workbookViewId="0">
      <selection activeCell="A1" sqref="A1"/>
    </sheetView>
  </sheetViews>
  <sheetFormatPr defaultColWidth="9.140625" customHeight="1" defaultRowHeight="11.25"/>
  <cols>
    <col min="1" max="1" style="12339" width="10.7109375" hidden="1" customWidth="1"/>
    <col min="2" max="2" style="2683" width="16.8515625" hidden="1" customWidth="1"/>
    <col min="3" max="3" style="2691" width="5.57421875" hidden="1" customWidth="1"/>
    <col min="4" max="4" style="12442" width="3.7109375" customWidth="1"/>
    <col min="5" max="5" style="2993" width="7.7109375" customWidth="1"/>
    <col min="6" max="6" style="2993" width="54.57421875" customWidth="1"/>
    <col min="7" max="7" style="2993" width="10.421875" customWidth="1"/>
    <col min="8" max="8" style="2993" width="40.7109375" hidden="1" customWidth="1"/>
    <col min="9" max="9" style="2993" width="40.7109375" customWidth="1"/>
    <col min="10" max="10" style="2993" width="102.8515625" customWidth="1"/>
    <col min="11" max="11" style="2683" width="9.7109375" customWidth="1"/>
    <col min="12" max="12" style="2691" width="5.28125" customWidth="1"/>
    <col min="13" max="13" style="2691" width="3.7109375" customWidth="1"/>
    <col min="14" max="17" style="2683" width="3.7109375" customWidth="1"/>
    <col min="18" max="18" style="2691" width="10.57421875" customWidth="1"/>
    <col min="19" max="19" style="2683" width="34.7109375" customWidth="1"/>
    <col min="20" max="20" style="2683" width="9.421875" customWidth="1"/>
    <col min="21" max="21" style="12343" width="9.140625"/>
    <col min="22" max="26" style="2683" width="9.140625"/>
    <col min="27" max="31" style="2992" width="9.140625"/>
  </cols>
  <sheetData>
    <row s="2683" customFormat="1" customHeight="1" ht="11.25" hidden="1">
      <c r="A1" s="994"/>
      <c r="C1" s="1676"/>
      <c r="D1" s="543"/>
      <c r="H1" s="1168">
        <v>4</v>
      </c>
      <c r="I1" s="1168">
        <v>4</v>
      </c>
      <c r="L1" s="1676"/>
      <c r="M1" s="1676"/>
      <c r="R1" s="1676"/>
    </row>
    <row s="2683" customFormat="1" customHeight="1" ht="22.5" hidden="1">
      <c r="A2" s="994"/>
      <c r="C2" s="1676"/>
      <c r="D2" s="544"/>
      <c r="E2" s="1698"/>
      <c r="F2" s="546"/>
      <c r="G2" s="1697" t="s">
        <v>759</v>
      </c>
      <c r="H2" s="547"/>
      <c r="I2" s="547"/>
      <c r="J2" s="548" t="s">
        <v>762</v>
      </c>
      <c r="K2" s="549"/>
      <c r="L2" s="1676"/>
      <c r="M2" s="1676"/>
      <c r="R2" s="1676"/>
      <c r="U2" s="550"/>
      <c r="AA2" s="1672"/>
      <c r="AB2" s="1672"/>
      <c r="AC2" s="1672"/>
      <c r="AD2" s="1672"/>
      <c r="AE2" s="1672"/>
    </row>
    <row customHeight="1" ht="11.25" hidden="1"/>
    <row s="2992" customFormat="1" customHeight="1" ht="11.25" hidden="1">
      <c r="A4" s="994"/>
      <c r="B4" s="1168"/>
      <c r="C4" s="1676"/>
      <c r="D4" s="360"/>
      <c r="J4" s="1672">
        <v>4</v>
      </c>
      <c r="K4" s="1168"/>
      <c r="L4" s="1676"/>
      <c r="M4" s="1676"/>
      <c r="N4" s="1168"/>
      <c r="O4" s="1168"/>
      <c r="P4" s="1168"/>
      <c r="Q4" s="1168"/>
      <c r="R4" s="1676"/>
      <c r="S4" s="1168"/>
      <c r="T4" s="1168"/>
      <c r="U4" s="550"/>
      <c r="V4" s="1168"/>
      <c r="W4" s="1168"/>
      <c r="X4" s="1168"/>
      <c r="Y4" s="1168"/>
      <c r="Z4" s="1168"/>
    </row>
    <row r="6" customHeight="1" ht="32.25">
      <c r="E6" s="2140" t="s">
        <v>896</v>
      </c>
      <c r="F6" s="2140"/>
      <c r="G6" s="2140"/>
      <c r="H6" s="2140"/>
      <c r="I6" s="2140"/>
      <c r="J6" s="562"/>
    </row>
    <row customHeight="1" ht="24">
      <c r="E7" s="2141" t="str">
        <f>IF(org=0,"Не определено",org)</f>
        <v>АО "Мурманэнергосбыт"</v>
      </c>
      <c r="F7" s="2141"/>
      <c r="G7" s="2141"/>
      <c r="H7" s="2141"/>
      <c r="I7" s="2141"/>
    </row>
    <row customHeight="1" ht="11.25">
      <c r="E8" s="1143"/>
      <c r="F8" s="1143"/>
      <c r="G8" s="1143"/>
      <c r="H8" s="1143"/>
      <c r="I8" s="1143"/>
    </row>
    <row s="2691" customFormat="1" customHeight="1" ht="0.75">
      <c r="A9" s="1175"/>
      <c r="D9" s="1682"/>
      <c r="H9" s="895"/>
      <c r="I9" s="895" t="s">
        <v>198</v>
      </c>
    </row>
    <row customHeight="1" ht="11.25">
      <c r="E10" s="717"/>
      <c r="F10" s="2213" t="s">
        <v>189</v>
      </c>
      <c r="G10" s="2214"/>
      <c r="H10" s="1699" t="str">
        <f>IF(H9="","",INDEX(DIFFERENTIATION_UNMERGE_VD,MATCH(H9,DIFFERENTIATION_ID_DIFF,0)))</f>
        <v/>
      </c>
      <c r="I10" s="1699">
        <f>IF(I9="","",INDEX(DIFFERENTIATION_UNMERGE_VD,MATCH(I9,DIFFERENTIATION_ID_DIFF,0)))</f>
        <v>0</v>
      </c>
      <c r="J10" s="1971"/>
    </row>
    <row customHeight="1" ht="11.25">
      <c r="E11" s="717"/>
      <c r="F11" s="2213" t="s">
        <v>771</v>
      </c>
      <c r="G11" s="2214"/>
      <c r="H11" s="1699" t="str">
        <f>IF(H9="","",INDEX(DIFFERENTIATION_UNMERGE_AREA,MATCH(H9,DIFFERENTIATION_ID_DIFF,0)))</f>
        <v/>
      </c>
      <c r="I11" s="1699" t="str">
        <f>IF(I9="","",INDEX(DIFFERENTIATION_UNMERGE_AREA,MATCH(I9,DIFFERENTIATION_ID_DIFF,0)))</f>
        <v/>
      </c>
      <c r="J11" s="1971"/>
    </row>
    <row customHeight="1" ht="11.25" hidden="1">
      <c r="E12" s="1702"/>
      <c r="F12" s="2228" t="s">
        <v>772</v>
      </c>
      <c r="G12" s="2229"/>
      <c r="H12" s="1703" t="str">
        <f>IF(H9="","",INDEX(DIFFERENTIATION_UNMERGE_SYSTEM,MATCH(H9,DIFFERENTIATION_ID_DIFF,0)))</f>
        <v/>
      </c>
      <c r="I12" s="1703" t="str">
        <f>IF(I9="","",INDEX(DIFFERENTIATION_UNMERGE_SYSTEM,MATCH(I9,DIFFERENTIATION_ID_DIFF,0)))</f>
        <v>без дифференциации</v>
      </c>
      <c r="J12" s="1971"/>
    </row>
    <row customHeight="1" ht="11.25">
      <c r="E13" s="2215" t="s">
        <v>513</v>
      </c>
      <c r="F13" s="2216"/>
      <c r="G13" s="2216"/>
      <c r="H13" s="1696"/>
      <c r="I13" s="1696"/>
      <c r="J13" s="1971"/>
    </row>
    <row customHeight="1" ht="22.5">
      <c r="E14" s="1697" t="s">
        <v>89</v>
      </c>
      <c r="F14" s="1700" t="s">
        <v>515</v>
      </c>
      <c r="G14" s="1700" t="s">
        <v>773</v>
      </c>
      <c r="H14" s="1700" t="s">
        <v>516</v>
      </c>
      <c r="I14" s="1700" t="s">
        <v>516</v>
      </c>
      <c r="J14" s="1971"/>
    </row>
    <row customHeight="1" ht="18.75">
      <c r="D15" s="1678"/>
      <c r="E15" s="1670" t="s">
        <v>193</v>
      </c>
      <c r="F15" s="713" t="s">
        <v>897</v>
      </c>
      <c r="G15" s="1697" t="s">
        <v>759</v>
      </c>
      <c r="H15" s="563"/>
      <c r="I15" s="563"/>
      <c r="J15" s="277" t="s">
        <v>898</v>
      </c>
      <c r="K15" s="549" t="s">
        <v>826</v>
      </c>
    </row>
    <row customHeight="1" ht="22.5">
      <c r="D16" s="1678"/>
      <c r="E16" s="1670" t="s">
        <v>104</v>
      </c>
      <c r="F16" s="1705" t="s">
        <v>899</v>
      </c>
      <c r="G16" s="1697" t="s">
        <v>759</v>
      </c>
      <c r="H16" s="564">
        <f>SUM(H17,H20:H27)</f>
        <v>0</v>
      </c>
      <c r="I16" s="564">
        <f>SUM(I17,I20:I27)</f>
        <v>0</v>
      </c>
      <c r="J16" s="277" t="s">
        <v>900</v>
      </c>
      <c r="K16" s="549" t="s">
        <v>826</v>
      </c>
    </row>
    <row customHeight="1" ht="33.75">
      <c r="D17" s="1678"/>
      <c r="E17" s="1704" t="s">
        <v>829</v>
      </c>
      <c r="F17" s="1707" t="s">
        <v>901</v>
      </c>
      <c r="G17" s="1694" t="s">
        <v>759</v>
      </c>
      <c r="H17" s="563"/>
      <c r="I17" s="563"/>
      <c r="J17" s="277" t="s">
        <v>902</v>
      </c>
      <c r="K17" s="549"/>
    </row>
    <row customHeight="1" ht="18.75">
      <c r="D18" s="1678"/>
      <c r="E18" s="1704" t="s">
        <v>832</v>
      </c>
      <c r="F18" s="1708" t="s">
        <v>903</v>
      </c>
      <c r="G18" s="1694" t="s">
        <v>759</v>
      </c>
      <c r="H18" s="563"/>
      <c r="I18" s="563"/>
      <c r="J18" s="277"/>
      <c r="K18" s="549"/>
    </row>
    <row customHeight="1" ht="22.5">
      <c r="D19" s="1678"/>
      <c r="E19" s="1704" t="s">
        <v>835</v>
      </c>
      <c r="F19" s="1708" t="s">
        <v>904</v>
      </c>
      <c r="G19" s="1694" t="s">
        <v>759</v>
      </c>
      <c r="H19" s="563"/>
      <c r="I19" s="563"/>
      <c r="J19" s="277"/>
      <c r="K19" s="549"/>
    </row>
    <row customHeight="1" ht="33.75">
      <c r="D20" s="1678"/>
      <c r="E20" s="1704" t="s">
        <v>520</v>
      </c>
      <c r="F20" s="1707" t="s">
        <v>905</v>
      </c>
      <c r="G20" s="1694" t="s">
        <v>759</v>
      </c>
      <c r="H20" s="563"/>
      <c r="I20" s="563"/>
      <c r="J20" s="277"/>
      <c r="K20" s="549"/>
    </row>
    <row customHeight="1" ht="33.75">
      <c r="D21" s="1678"/>
      <c r="E21" s="1704" t="s">
        <v>523</v>
      </c>
      <c r="F21" s="1707" t="s">
        <v>906</v>
      </c>
      <c r="G21" s="1694" t="s">
        <v>759</v>
      </c>
      <c r="H21" s="563"/>
      <c r="I21" s="563"/>
      <c r="J21" s="277"/>
      <c r="K21" s="549"/>
    </row>
    <row customHeight="1" ht="56.25">
      <c r="D22" s="1678"/>
      <c r="E22" s="1704" t="s">
        <v>849</v>
      </c>
      <c r="F22" s="1707" t="s">
        <v>907</v>
      </c>
      <c r="G22" s="1694" t="s">
        <v>759</v>
      </c>
      <c r="H22" s="563"/>
      <c r="I22" s="563"/>
      <c r="J22" s="277"/>
      <c r="K22" s="549"/>
    </row>
    <row customHeight="1" ht="33.75">
      <c r="D23" s="1678"/>
      <c r="E23" s="1704" t="s">
        <v>856</v>
      </c>
      <c r="F23" s="1707" t="s">
        <v>908</v>
      </c>
      <c r="G23" s="1694" t="s">
        <v>759</v>
      </c>
      <c r="H23" s="563"/>
      <c r="I23" s="563"/>
      <c r="J23" s="277"/>
      <c r="K23" s="549"/>
    </row>
    <row customHeight="1" ht="33.75">
      <c r="D24" s="1678"/>
      <c r="E24" s="1704" t="s">
        <v>858</v>
      </c>
      <c r="F24" s="1707" t="s">
        <v>909</v>
      </c>
      <c r="G24" s="1694" t="s">
        <v>759</v>
      </c>
      <c r="H24" s="563"/>
      <c r="I24" s="563"/>
      <c r="J24" s="277"/>
      <c r="K24" s="549"/>
    </row>
    <row customHeight="1" ht="22.5">
      <c r="D25" s="1678"/>
      <c r="E25" s="1704" t="s">
        <v>860</v>
      </c>
      <c r="F25" s="1707" t="s">
        <v>910</v>
      </c>
      <c r="G25" s="1694" t="s">
        <v>759</v>
      </c>
      <c r="H25" s="563"/>
      <c r="I25" s="563"/>
      <c r="J25" s="277"/>
      <c r="K25" s="549"/>
    </row>
    <row customHeight="1" ht="67.5">
      <c r="D26" s="1678"/>
      <c r="E26" s="1704" t="s">
        <v>862</v>
      </c>
      <c r="F26" s="1707" t="s">
        <v>911</v>
      </c>
      <c r="G26" s="1694" t="s">
        <v>759</v>
      </c>
      <c r="H26" s="563"/>
      <c r="I26" s="563"/>
      <c r="J26" s="277"/>
      <c r="K26" s="549"/>
    </row>
    <row s="2683" customFormat="1" customHeight="1" ht="22.5">
      <c r="A27" s="994"/>
      <c r="C27" s="1676"/>
      <c r="D27" s="1678"/>
      <c r="E27" s="1669" t="s">
        <v>866</v>
      </c>
      <c r="F27" s="1668" t="s">
        <v>912</v>
      </c>
      <c r="G27" s="1695" t="s">
        <v>759</v>
      </c>
      <c r="H27" s="585">
        <f>SUM(H28:H29)</f>
        <v>0</v>
      </c>
      <c r="I27" s="585">
        <f>SUM(I28:I29)</f>
        <v>0</v>
      </c>
      <c r="J27" s="277" t="s">
        <v>864</v>
      </c>
      <c r="K27" s="549"/>
      <c r="L27" s="1676"/>
      <c r="M27" s="1676"/>
      <c r="R27" s="1676"/>
      <c r="U27" s="550"/>
      <c r="AA27" s="1672"/>
      <c r="AB27" s="1672"/>
      <c r="AC27" s="1672"/>
      <c r="AD27" s="1672"/>
      <c r="AE27" s="1672"/>
    </row>
    <row s="2691" customFormat="1" customHeight="1" ht="0.75">
      <c r="A28" s="1175"/>
      <c r="D28" s="554"/>
      <c r="E28" s="808" t="str">
        <f>E27&amp;".0"</f>
        <v>2.9.0</v>
      </c>
      <c r="F28" s="998"/>
      <c r="G28" s="557"/>
      <c r="H28" s="999"/>
      <c r="I28" s="999"/>
      <c r="J28" s="1000"/>
    </row>
    <row s="2683" customFormat="1" customHeight="1" ht="18.75">
      <c r="A29" s="994"/>
      <c r="C29" s="1676"/>
      <c r="D29" s="1673"/>
      <c r="E29" s="576"/>
      <c r="F29" s="1706" t="s">
        <v>784</v>
      </c>
      <c r="G29" s="578"/>
      <c r="H29" s="579"/>
      <c r="I29" s="579"/>
      <c r="J29" s="289" t="s">
        <v>865</v>
      </c>
      <c r="K29" s="549"/>
      <c r="L29" s="1676"/>
      <c r="M29" s="1676"/>
      <c r="R29" s="1676"/>
      <c r="U29" s="550"/>
      <c r="AA29" s="1672"/>
      <c r="AB29" s="1672"/>
      <c r="AC29" s="1672"/>
      <c r="AD29" s="1672"/>
      <c r="AE29" s="1672"/>
    </row>
    <row s="2683" customFormat="1" customHeight="1" ht="22.5">
      <c r="A30" s="994"/>
      <c r="C30" s="1676"/>
      <c r="D30" s="1678"/>
      <c r="E30" s="1704" t="s">
        <v>91</v>
      </c>
      <c r="F30" s="1701" t="s">
        <v>913</v>
      </c>
      <c r="G30" s="1694" t="s">
        <v>759</v>
      </c>
      <c r="H30" s="563"/>
      <c r="I30" s="563"/>
      <c r="J30" s="277"/>
      <c r="K30" s="549"/>
      <c r="L30" s="1676"/>
      <c r="M30" s="1676"/>
      <c r="R30" s="1676"/>
      <c r="U30" s="550"/>
      <c r="AA30" s="1672"/>
      <c r="AB30" s="1672"/>
      <c r="AC30" s="1672"/>
      <c r="AD30" s="1672"/>
      <c r="AE30" s="1672"/>
    </row>
    <row s="2683" customFormat="1" customHeight="1" ht="33.75">
      <c r="A31" s="994"/>
      <c r="C31" s="1676"/>
      <c r="D31" s="581"/>
      <c r="E31" s="1704" t="s">
        <v>92</v>
      </c>
      <c r="F31" s="1701" t="s">
        <v>914</v>
      </c>
      <c r="G31" s="1694" t="s">
        <v>759</v>
      </c>
      <c r="H31" s="563"/>
      <c r="I31" s="563"/>
      <c r="J31" s="277" t="s">
        <v>915</v>
      </c>
      <c r="K31" s="549"/>
      <c r="L31" s="1676"/>
      <c r="M31" s="1676"/>
      <c r="R31" s="1676"/>
      <c r="U31" s="550"/>
      <c r="AA31" s="1672"/>
      <c r="AB31" s="1672"/>
      <c r="AC31" s="1672"/>
      <c r="AD31" s="1672"/>
      <c r="AE31" s="1672"/>
    </row>
    <row s="2683" customFormat="1" customHeight="1" ht="22.5">
      <c r="A32" s="994"/>
      <c r="C32" s="1676"/>
      <c r="D32" s="1678"/>
      <c r="E32" s="1704" t="s">
        <v>874</v>
      </c>
      <c r="F32" s="696" t="s">
        <v>878</v>
      </c>
      <c r="G32" s="1694" t="s">
        <v>759</v>
      </c>
      <c r="H32" s="563"/>
      <c r="I32" s="563"/>
      <c r="J32" s="277" t="s">
        <v>916</v>
      </c>
      <c r="K32" s="549"/>
      <c r="L32" s="1676"/>
      <c r="M32" s="1676"/>
      <c r="R32" s="1676"/>
      <c r="U32" s="550"/>
      <c r="AA32" s="1672"/>
      <c r="AB32" s="1672"/>
      <c r="AC32" s="1672"/>
      <c r="AD32" s="1672"/>
      <c r="AE32" s="1672"/>
    </row>
    <row s="2683" customFormat="1" customHeight="1" ht="22.5">
      <c r="A33" s="994"/>
      <c r="C33" s="1676"/>
      <c r="D33" s="1678"/>
      <c r="E33" s="1704" t="s">
        <v>917</v>
      </c>
      <c r="F33" s="696" t="s">
        <v>918</v>
      </c>
      <c r="G33" s="1694" t="s">
        <v>759</v>
      </c>
      <c r="H33" s="563"/>
      <c r="I33" s="563"/>
      <c r="J33" s="277" t="s">
        <v>919</v>
      </c>
      <c r="K33" s="549"/>
      <c r="L33" s="1676"/>
      <c r="M33" s="1676"/>
      <c r="R33" s="1676"/>
      <c r="U33" s="550"/>
      <c r="AA33" s="1672"/>
      <c r="AB33" s="1672"/>
      <c r="AC33" s="1672"/>
      <c r="AD33" s="1672"/>
      <c r="AE33" s="1672"/>
    </row>
    <row s="2683" customFormat="1" customHeight="1" ht="22.5">
      <c r="A34" s="994"/>
      <c r="C34" s="1676"/>
      <c r="D34" s="1678"/>
      <c r="E34" s="1704" t="s">
        <v>920</v>
      </c>
      <c r="F34" s="696" t="s">
        <v>884</v>
      </c>
      <c r="G34" s="1694" t="s">
        <v>759</v>
      </c>
      <c r="H34" s="563"/>
      <c r="I34" s="563"/>
      <c r="J34" s="277" t="s">
        <v>921</v>
      </c>
      <c r="K34" s="549"/>
      <c r="L34" s="1676"/>
      <c r="M34" s="1676"/>
      <c r="R34" s="1676"/>
      <c r="U34" s="550"/>
      <c r="AA34" s="1672"/>
      <c r="AB34" s="1672"/>
      <c r="AC34" s="1672"/>
      <c r="AD34" s="1672"/>
      <c r="AE34" s="1672"/>
    </row>
    <row s="2683" customFormat="1" customHeight="1" ht="33.75">
      <c r="A35" s="994"/>
      <c r="C35" s="1676" t="s">
        <v>795</v>
      </c>
      <c r="D35" s="1678"/>
      <c r="E35" s="1704" t="s">
        <v>116</v>
      </c>
      <c r="F35" s="1701" t="s">
        <v>886</v>
      </c>
      <c r="G35" s="1697" t="s">
        <v>519</v>
      </c>
      <c r="H35" s="407"/>
      <c r="I35" s="407"/>
      <c r="J35" s="277" t="s">
        <v>922</v>
      </c>
      <c r="K35" s="549"/>
      <c r="L35" s="1676"/>
      <c r="M35" s="1676"/>
      <c r="R35" s="1676"/>
      <c r="U35" s="550"/>
      <c r="AA35" s="1672"/>
      <c r="AB35" s="1672"/>
      <c r="AC35" s="1672"/>
      <c r="AD35" s="1672"/>
      <c r="AE35" s="1672"/>
    </row>
    <row s="2683" customFormat="1" customHeight="1" ht="22.5">
      <c r="A36" s="994"/>
      <c r="C36" s="1676"/>
      <c r="D36" s="1678"/>
      <c r="E36" s="1704" t="s">
        <v>93</v>
      </c>
      <c r="F36" s="1701" t="s">
        <v>923</v>
      </c>
      <c r="G36" s="1694" t="s">
        <v>890</v>
      </c>
      <c r="H36" s="551"/>
      <c r="I36" s="551"/>
      <c r="J36" s="277" t="s">
        <v>891</v>
      </c>
      <c r="K36" s="549"/>
      <c r="L36" s="1676"/>
      <c r="M36" s="1676"/>
      <c r="R36" s="1676"/>
      <c r="U36" s="550"/>
      <c r="AA36" s="1672"/>
      <c r="AB36" s="1672"/>
      <c r="AC36" s="1672"/>
      <c r="AD36" s="1672"/>
      <c r="AE36" s="1672"/>
    </row>
    <row s="2683" customFormat="1" customHeight="1" ht="22.5">
      <c r="A37" s="994"/>
      <c r="C37" s="1676"/>
      <c r="D37" s="1678"/>
      <c r="E37" s="1704" t="s">
        <v>94</v>
      </c>
      <c r="F37" s="1701" t="s">
        <v>924</v>
      </c>
      <c r="G37" s="1694" t="s">
        <v>893</v>
      </c>
      <c r="H37" s="551"/>
      <c r="I37" s="551"/>
      <c r="J37" s="277" t="s">
        <v>894</v>
      </c>
      <c r="K37" s="549"/>
      <c r="L37" s="1676"/>
      <c r="M37" s="1676"/>
      <c r="R37" s="1676"/>
      <c r="U37" s="550"/>
      <c r="AA37" s="1672"/>
      <c r="AB37" s="1672"/>
      <c r="AC37" s="1672"/>
      <c r="AD37" s="1672"/>
      <c r="AE37" s="1672"/>
    </row>
    <row customHeight="1" ht="11.25">
      <c r="D38" s="1678"/>
    </row>
    <row customHeight="1" ht="26.25">
      <c r="D39" s="1678"/>
      <c r="E39" s="1273" t="s">
        <v>925</v>
      </c>
      <c r="F39" s="2106" t="s">
        <v>926</v>
      </c>
      <c r="G39" s="2106"/>
      <c r="H39" s="2106"/>
      <c r="I39" s="2106"/>
      <c r="J39" s="2106"/>
    </row>
    <row s="12366" customFormat="1" customHeight="1" ht="37.5">
      <c r="A40" s="994"/>
      <c r="B40" s="1676"/>
      <c r="C40" s="1676"/>
      <c r="D40" s="347"/>
      <c r="F40" s="2106" t="s">
        <v>927</v>
      </c>
      <c r="G40" s="2106"/>
      <c r="H40" s="2106"/>
      <c r="I40" s="2106"/>
      <c r="J40" s="2106"/>
      <c r="K40" s="1168"/>
      <c r="L40" s="1676"/>
      <c r="M40" s="1676"/>
      <c r="N40" s="1168"/>
      <c r="O40" s="1168"/>
      <c r="P40" s="1168"/>
      <c r="Q40" s="1168"/>
      <c r="R40" s="1676"/>
      <c r="S40" s="1168"/>
      <c r="T40" s="1168"/>
      <c r="U40" s="550"/>
      <c r="V40" s="1168"/>
      <c r="W40" s="1168"/>
      <c r="X40" s="1168"/>
      <c r="Y40" s="1168"/>
      <c r="Z40" s="1168"/>
      <c r="AA40" s="1672"/>
      <c r="AB40" s="572"/>
      <c r="AC40" s="572"/>
      <c r="AD40" s="572"/>
      <c r="AE40" s="572"/>
    </row>
    <row s="12366" customFormat="1" customHeight="1" ht="11.25">
      <c r="A41" s="994"/>
      <c r="B41" s="1676"/>
      <c r="C41" s="1676"/>
      <c r="D41" s="347"/>
      <c r="K41" s="1168"/>
      <c r="L41" s="1676"/>
      <c r="M41" s="1676"/>
      <c r="N41" s="1168"/>
      <c r="O41" s="1168"/>
      <c r="P41" s="1168"/>
      <c r="Q41" s="1168"/>
      <c r="R41" s="1676"/>
      <c r="S41" s="1168"/>
      <c r="T41" s="1168"/>
      <c r="U41" s="550"/>
      <c r="V41" s="1168"/>
      <c r="W41" s="1168"/>
      <c r="X41" s="1168"/>
      <c r="Y41" s="1168"/>
      <c r="Z41" s="1168"/>
      <c r="AA41" s="1672"/>
      <c r="AB41" s="572"/>
      <c r="AC41" s="572"/>
      <c r="AD41" s="572"/>
      <c r="AE41" s="572"/>
    </row>
    <row s="12366" customFormat="1" customHeight="1" ht="11.25">
      <c r="A42" s="994"/>
      <c r="B42" s="1676"/>
      <c r="C42" s="1676"/>
      <c r="D42" s="347"/>
      <c r="K42" s="1168"/>
      <c r="L42" s="1676"/>
      <c r="M42" s="1676"/>
      <c r="N42" s="1168"/>
      <c r="O42" s="1168"/>
      <c r="P42" s="1168"/>
      <c r="Q42" s="1168"/>
      <c r="R42" s="1676"/>
      <c r="S42" s="1168"/>
      <c r="T42" s="1168"/>
      <c r="U42" s="550"/>
      <c r="V42" s="1168"/>
      <c r="W42" s="1168"/>
      <c r="X42" s="1168"/>
      <c r="Y42" s="1168"/>
      <c r="Z42" s="1168"/>
      <c r="AA42" s="1672"/>
      <c r="AB42" s="572"/>
      <c r="AC42" s="572"/>
      <c r="AD42" s="572"/>
      <c r="AE42" s="572"/>
    </row>
    <row s="12366" customFormat="1" customHeight="1" ht="11.25">
      <c r="A43" s="994"/>
      <c r="B43" s="1676"/>
      <c r="C43" s="1676"/>
      <c r="D43" s="347"/>
      <c r="H43" s="572"/>
      <c r="I43" s="572"/>
      <c r="K43" s="1168"/>
      <c r="L43" s="1676"/>
      <c r="M43" s="1676"/>
      <c r="N43" s="1168"/>
      <c r="O43" s="1168"/>
      <c r="P43" s="1168"/>
      <c r="Q43" s="1168"/>
      <c r="R43" s="1676"/>
      <c r="S43" s="1168"/>
      <c r="T43" s="1168"/>
      <c r="U43" s="550"/>
      <c r="V43" s="1168"/>
      <c r="W43" s="1168"/>
      <c r="X43" s="1168"/>
      <c r="Y43" s="1168"/>
      <c r="Z43" s="1168"/>
      <c r="AA43" s="1672"/>
      <c r="AB43" s="572"/>
      <c r="AC43" s="572"/>
      <c r="AD43" s="572"/>
      <c r="AE43" s="572"/>
    </row>
    <row s="12366" customFormat="1" customHeight="1" ht="11.25">
      <c r="A44" s="994"/>
      <c r="B44" s="1676"/>
      <c r="C44" s="1676"/>
      <c r="D44" s="347"/>
      <c r="K44" s="1168"/>
      <c r="L44" s="1676"/>
      <c r="M44" s="1676"/>
      <c r="N44" s="1168"/>
      <c r="O44" s="1168"/>
      <c r="P44" s="1168"/>
      <c r="Q44" s="1168"/>
      <c r="R44" s="1676"/>
      <c r="S44" s="1168"/>
      <c r="T44" s="1168"/>
      <c r="U44" s="550"/>
      <c r="V44" s="1168"/>
      <c r="W44" s="1168"/>
      <c r="X44" s="1168"/>
      <c r="Y44" s="1168"/>
      <c r="Z44" s="1168"/>
      <c r="AA44" s="1672"/>
      <c r="AB44" s="572"/>
      <c r="AC44" s="572"/>
      <c r="AD44" s="572"/>
      <c r="AE44" s="572"/>
    </row>
    <row s="12366" customFormat="1" customHeight="1" ht="11.25">
      <c r="A45" s="994"/>
      <c r="B45" s="1676"/>
      <c r="C45" s="1676"/>
      <c r="D45" s="347"/>
      <c r="K45" s="1168"/>
      <c r="L45" s="1676"/>
      <c r="M45" s="1676"/>
      <c r="N45" s="1168"/>
      <c r="O45" s="1168"/>
      <c r="P45" s="1168"/>
      <c r="Q45" s="1168"/>
      <c r="R45" s="1676"/>
      <c r="S45" s="1168"/>
      <c r="T45" s="1168"/>
      <c r="U45" s="550"/>
      <c r="V45" s="1168"/>
      <c r="W45" s="1168"/>
      <c r="X45" s="1168"/>
      <c r="Y45" s="1168"/>
      <c r="Z45" s="1168"/>
      <c r="AA45" s="1672"/>
      <c r="AB45" s="572"/>
      <c r="AC45" s="572"/>
      <c r="AD45" s="572"/>
      <c r="AE45" s="572"/>
    </row>
    <row s="12366" customFormat="1" customHeight="1" ht="11.25">
      <c r="A46" s="994"/>
      <c r="B46" s="1676"/>
      <c r="C46" s="1676"/>
      <c r="D46" s="347"/>
      <c r="K46" s="1168"/>
      <c r="L46" s="1676"/>
      <c r="M46" s="1676"/>
      <c r="N46" s="1168"/>
      <c r="O46" s="1168"/>
      <c r="P46" s="1168"/>
      <c r="Q46" s="1168"/>
      <c r="R46" s="1676"/>
      <c r="S46" s="1168"/>
      <c r="T46" s="1168"/>
      <c r="U46" s="550"/>
      <c r="V46" s="1168"/>
      <c r="W46" s="1168"/>
      <c r="X46" s="1168"/>
      <c r="Y46" s="1168"/>
      <c r="Z46" s="1168"/>
      <c r="AA46" s="1672"/>
      <c r="AB46" s="572"/>
      <c r="AC46" s="572"/>
      <c r="AD46" s="572"/>
      <c r="AE46" s="572"/>
    </row>
    <row s="12366" customFormat="1" customHeight="1" ht="11.25">
      <c r="A47" s="994"/>
      <c r="B47" s="1676"/>
      <c r="C47" s="1676"/>
      <c r="D47" s="347"/>
      <c r="K47" s="1168"/>
      <c r="L47" s="1676"/>
      <c r="M47" s="1676"/>
      <c r="N47" s="1168"/>
      <c r="O47" s="1168"/>
      <c r="P47" s="1168"/>
      <c r="Q47" s="1168"/>
      <c r="R47" s="1676"/>
      <c r="S47" s="1168"/>
      <c r="T47" s="1168"/>
      <c r="U47" s="550"/>
      <c r="V47" s="1168"/>
      <c r="W47" s="1168"/>
      <c r="X47" s="1168"/>
      <c r="Y47" s="1168"/>
      <c r="Z47" s="1168"/>
      <c r="AA47" s="1672"/>
      <c r="AB47" s="572"/>
      <c r="AC47" s="572"/>
      <c r="AD47" s="572"/>
      <c r="AE47" s="572"/>
    </row>
    <row s="12366" customFormat="1" customHeight="1" ht="11.25">
      <c r="A48" s="994"/>
      <c r="B48" s="1676"/>
      <c r="C48" s="1676"/>
      <c r="D48" s="347"/>
      <c r="K48" s="1168"/>
      <c r="L48" s="1676"/>
      <c r="M48" s="1676"/>
      <c r="N48" s="1168"/>
      <c r="O48" s="1168"/>
      <c r="P48" s="1168"/>
      <c r="Q48" s="1168"/>
      <c r="R48" s="1676"/>
      <c r="S48" s="1168"/>
      <c r="T48" s="1168"/>
      <c r="U48" s="550"/>
      <c r="V48" s="1168"/>
      <c r="W48" s="1168"/>
      <c r="X48" s="1168"/>
      <c r="Y48" s="1168"/>
      <c r="Z48" s="1168"/>
      <c r="AA48" s="1672"/>
      <c r="AB48" s="572"/>
      <c r="AC48" s="572"/>
      <c r="AD48" s="572"/>
      <c r="AE48" s="572"/>
    </row>
    <row s="12366" customFormat="1" customHeight="1" ht="11.25">
      <c r="A49" s="994"/>
      <c r="B49" s="1676"/>
      <c r="C49" s="1676"/>
      <c r="D49" s="347"/>
      <c r="K49" s="1168"/>
      <c r="L49" s="1676"/>
      <c r="M49" s="1676"/>
      <c r="N49" s="1168"/>
      <c r="O49" s="1168"/>
      <c r="P49" s="1168"/>
      <c r="Q49" s="1168"/>
      <c r="R49" s="1676"/>
      <c r="S49" s="1168"/>
      <c r="T49" s="1168"/>
      <c r="U49" s="550"/>
      <c r="V49" s="1168"/>
      <c r="W49" s="1168"/>
      <c r="X49" s="1168"/>
      <c r="Y49" s="1168"/>
      <c r="Z49" s="1168"/>
      <c r="AA49" s="1672"/>
      <c r="AB49" s="572"/>
      <c r="AC49" s="572"/>
      <c r="AD49" s="572"/>
      <c r="AE49" s="572"/>
    </row>
    <row s="12366" customFormat="1" customHeight="1" ht="11.25">
      <c r="A50" s="994"/>
      <c r="B50" s="1676"/>
      <c r="C50" s="1676"/>
      <c r="D50" s="347"/>
      <c r="K50" s="1168"/>
      <c r="L50" s="1676"/>
      <c r="M50" s="1676"/>
      <c r="N50" s="1168"/>
      <c r="O50" s="1168"/>
      <c r="P50" s="1168"/>
      <c r="Q50" s="1168"/>
      <c r="R50" s="1676"/>
      <c r="S50" s="1168"/>
      <c r="T50" s="1168"/>
      <c r="U50" s="550"/>
      <c r="V50" s="1168"/>
      <c r="W50" s="1168"/>
      <c r="X50" s="1168"/>
      <c r="Y50" s="1168"/>
      <c r="Z50" s="1168"/>
      <c r="AA50" s="1672"/>
      <c r="AB50" s="572"/>
      <c r="AC50" s="572"/>
      <c r="AD50" s="572"/>
      <c r="AE50" s="572"/>
    </row>
    <row s="12366" customFormat="1" customHeight="1" ht="11.25">
      <c r="A51" s="994"/>
      <c r="B51" s="1676"/>
      <c r="C51" s="1676"/>
      <c r="D51" s="347"/>
      <c r="K51" s="1168"/>
      <c r="L51" s="1676"/>
      <c r="M51" s="1676"/>
      <c r="N51" s="1168"/>
      <c r="O51" s="1168"/>
      <c r="P51" s="1168"/>
      <c r="Q51" s="1168"/>
      <c r="R51" s="1676"/>
      <c r="S51" s="1168"/>
      <c r="T51" s="1168"/>
      <c r="U51" s="550"/>
      <c r="V51" s="1168"/>
      <c r="W51" s="1168"/>
      <c r="X51" s="1168"/>
      <c r="Y51" s="1168"/>
      <c r="Z51" s="1168"/>
      <c r="AA51" s="1672"/>
      <c r="AB51" s="572"/>
      <c r="AC51" s="572"/>
      <c r="AD51" s="572"/>
      <c r="AE51" s="572"/>
    </row>
    <row s="12366" customFormat="1" customHeight="1" ht="11.25">
      <c r="A52" s="994"/>
      <c r="B52" s="1676"/>
      <c r="C52" s="1676"/>
      <c r="D52" s="347"/>
      <c r="K52" s="1168"/>
      <c r="L52" s="1676"/>
      <c r="M52" s="1676"/>
      <c r="N52" s="1168"/>
      <c r="O52" s="1168"/>
      <c r="P52" s="1168"/>
      <c r="Q52" s="1168"/>
      <c r="R52" s="1676"/>
      <c r="S52" s="1168"/>
      <c r="T52" s="1168"/>
      <c r="U52" s="550"/>
      <c r="V52" s="1168"/>
      <c r="W52" s="1168"/>
      <c r="X52" s="1168"/>
      <c r="Y52" s="1168"/>
      <c r="Z52" s="1168"/>
      <c r="AA52" s="1672"/>
      <c r="AB52" s="572"/>
      <c r="AC52" s="572"/>
      <c r="AD52" s="572"/>
      <c r="AE52" s="572"/>
    </row>
    <row s="12366" customFormat="1" customHeight="1" ht="11.25">
      <c r="A53" s="994"/>
      <c r="B53" s="1676"/>
      <c r="C53" s="1676"/>
      <c r="D53" s="347"/>
      <c r="K53" s="1168"/>
      <c r="L53" s="1676"/>
      <c r="M53" s="1676"/>
      <c r="N53" s="1168"/>
      <c r="O53" s="1168"/>
      <c r="P53" s="1168"/>
      <c r="Q53" s="1168"/>
      <c r="R53" s="1676"/>
      <c r="S53" s="1168"/>
      <c r="T53" s="1168"/>
      <c r="U53" s="550"/>
      <c r="V53" s="1168"/>
      <c r="W53" s="1168"/>
      <c r="X53" s="1168"/>
      <c r="Y53" s="1168"/>
      <c r="Z53" s="1168"/>
      <c r="AA53" s="1672"/>
      <c r="AB53" s="572"/>
      <c r="AC53" s="572"/>
      <c r="AD53" s="572"/>
      <c r="AE53" s="572"/>
    </row>
    <row s="12366" customFormat="1" customHeight="1" ht="11.25">
      <c r="A54" s="994"/>
      <c r="B54" s="1676"/>
      <c r="C54" s="1676"/>
      <c r="D54" s="347"/>
      <c r="K54" s="1168"/>
      <c r="L54" s="1676"/>
      <c r="M54" s="1676"/>
      <c r="N54" s="1168"/>
      <c r="O54" s="1168"/>
      <c r="P54" s="1168"/>
      <c r="Q54" s="1168"/>
      <c r="R54" s="1676"/>
      <c r="S54" s="1168"/>
      <c r="T54" s="1168"/>
      <c r="U54" s="550"/>
      <c r="V54" s="1168"/>
      <c r="W54" s="1168"/>
      <c r="X54" s="1168"/>
      <c r="Y54" s="1168"/>
      <c r="Z54" s="1168"/>
      <c r="AA54" s="1672"/>
      <c r="AB54" s="572"/>
      <c r="AC54" s="572"/>
      <c r="AD54" s="572"/>
      <c r="AE54" s="572"/>
    </row>
    <row s="12366" customFormat="1" customHeight="1" ht="11.25">
      <c r="A55" s="994"/>
      <c r="B55" s="1676"/>
      <c r="C55" s="1676"/>
      <c r="D55" s="347"/>
      <c r="K55" s="1168"/>
      <c r="L55" s="1676"/>
      <c r="M55" s="1676"/>
      <c r="N55" s="1168"/>
      <c r="O55" s="1168"/>
      <c r="P55" s="1168"/>
      <c r="Q55" s="1168"/>
      <c r="R55" s="1676"/>
      <c r="S55" s="1168"/>
      <c r="T55" s="1168"/>
      <c r="U55" s="550"/>
      <c r="V55" s="1168"/>
      <c r="W55" s="1168"/>
      <c r="X55" s="1168"/>
      <c r="Y55" s="1168"/>
      <c r="Z55" s="1168"/>
      <c r="AA55" s="1672"/>
      <c r="AB55" s="572"/>
      <c r="AC55" s="572"/>
      <c r="AD55" s="572"/>
      <c r="AE55" s="572"/>
    </row>
    <row s="12366" customFormat="1" customHeight="1" ht="11.25">
      <c r="A56" s="994"/>
      <c r="B56" s="1676"/>
      <c r="C56" s="1676"/>
      <c r="D56" s="347"/>
      <c r="K56" s="1168"/>
      <c r="L56" s="1676"/>
      <c r="M56" s="1676"/>
      <c r="N56" s="1168"/>
      <c r="O56" s="1168"/>
      <c r="P56" s="1168"/>
      <c r="Q56" s="1168"/>
      <c r="R56" s="1676"/>
      <c r="S56" s="1168"/>
      <c r="T56" s="1168"/>
      <c r="U56" s="550"/>
      <c r="V56" s="1168"/>
      <c r="W56" s="1168"/>
      <c r="X56" s="1168"/>
      <c r="Y56" s="1168"/>
      <c r="Z56" s="1168"/>
      <c r="AA56" s="1672"/>
      <c r="AB56" s="572"/>
      <c r="AC56" s="572"/>
      <c r="AD56" s="572"/>
      <c r="AE56" s="572"/>
    </row>
    <row s="12366" customFormat="1" customHeight="1" ht="11.25">
      <c r="A57" s="994"/>
      <c r="B57" s="1676"/>
      <c r="C57" s="1676"/>
      <c r="D57" s="347"/>
      <c r="K57" s="1168"/>
      <c r="L57" s="1676"/>
      <c r="M57" s="1676"/>
      <c r="N57" s="1168"/>
      <c r="O57" s="1168"/>
      <c r="P57" s="1168"/>
      <c r="Q57" s="1168"/>
      <c r="R57" s="1676"/>
      <c r="S57" s="1168"/>
      <c r="T57" s="1168"/>
      <c r="U57" s="550"/>
      <c r="V57" s="1168"/>
      <c r="W57" s="1168"/>
      <c r="X57" s="1168"/>
      <c r="Y57" s="1168"/>
      <c r="Z57" s="1168"/>
      <c r="AA57" s="1672"/>
      <c r="AB57" s="572"/>
      <c r="AC57" s="572"/>
      <c r="AD57" s="572"/>
      <c r="AE57" s="572"/>
    </row>
    <row s="12366" customFormat="1" customHeight="1" ht="11.25">
      <c r="A58" s="994"/>
      <c r="B58" s="1676"/>
      <c r="C58" s="1676"/>
      <c r="D58" s="347"/>
      <c r="K58" s="1168"/>
      <c r="L58" s="1676"/>
      <c r="M58" s="1676"/>
      <c r="N58" s="1168"/>
      <c r="O58" s="1168"/>
      <c r="P58" s="1168"/>
      <c r="Q58" s="1168"/>
      <c r="R58" s="1676"/>
      <c r="S58" s="1168"/>
      <c r="T58" s="1168"/>
      <c r="U58" s="550"/>
      <c r="V58" s="1168"/>
      <c r="W58" s="1168"/>
      <c r="X58" s="1168"/>
      <c r="Y58" s="1168"/>
      <c r="Z58" s="1168"/>
      <c r="AA58" s="1672"/>
      <c r="AB58" s="572"/>
      <c r="AC58" s="572"/>
      <c r="AD58" s="572"/>
      <c r="AE58" s="572"/>
    </row>
    <row s="12366" customFormat="1" customHeight="1" ht="11.25">
      <c r="A59" s="994"/>
      <c r="B59" s="1676"/>
      <c r="C59" s="1676"/>
      <c r="D59" s="347"/>
      <c r="K59" s="1168"/>
      <c r="L59" s="1676"/>
      <c r="M59" s="1676"/>
      <c r="N59" s="1168"/>
      <c r="O59" s="1168"/>
      <c r="P59" s="1168"/>
      <c r="Q59" s="1168"/>
      <c r="R59" s="1676"/>
      <c r="S59" s="1168"/>
      <c r="T59" s="1168"/>
      <c r="U59" s="550"/>
      <c r="V59" s="1168"/>
      <c r="W59" s="1168"/>
      <c r="X59" s="1168"/>
      <c r="Y59" s="1168"/>
      <c r="Z59" s="1168"/>
      <c r="AA59" s="1672"/>
      <c r="AB59" s="572"/>
      <c r="AC59" s="572"/>
      <c r="AD59" s="572"/>
      <c r="AE59" s="572"/>
    </row>
    <row s="12366" customFormat="1" customHeight="1" ht="11.25">
      <c r="A60" s="994"/>
      <c r="B60" s="1676"/>
      <c r="C60" s="1676"/>
      <c r="D60" s="347"/>
      <c r="K60" s="1168"/>
      <c r="L60" s="1676"/>
      <c r="M60" s="1676"/>
      <c r="N60" s="1168"/>
      <c r="O60" s="1168"/>
      <c r="P60" s="1168"/>
      <c r="Q60" s="1168"/>
      <c r="R60" s="1676"/>
      <c r="S60" s="1168"/>
      <c r="T60" s="1168"/>
      <c r="U60" s="550"/>
      <c r="V60" s="1168"/>
      <c r="W60" s="1168"/>
      <c r="X60" s="1168"/>
      <c r="Y60" s="1168"/>
      <c r="Z60" s="1168"/>
      <c r="AA60" s="1672"/>
      <c r="AB60" s="572"/>
      <c r="AC60" s="572"/>
      <c r="AD60" s="572"/>
      <c r="AE60" s="572"/>
    </row>
    <row s="12366" customFormat="1" customHeight="1" ht="11.25">
      <c r="A61" s="994"/>
      <c r="B61" s="1676"/>
      <c r="C61" s="1676"/>
      <c r="D61" s="347"/>
      <c r="K61" s="1168"/>
      <c r="L61" s="1676"/>
      <c r="M61" s="1676"/>
      <c r="N61" s="1168"/>
      <c r="O61" s="1168"/>
      <c r="P61" s="1168"/>
      <c r="Q61" s="1168"/>
      <c r="R61" s="1676"/>
      <c r="S61" s="1168"/>
      <c r="T61" s="1168"/>
      <c r="U61" s="550"/>
      <c r="V61" s="1168"/>
      <c r="W61" s="1168"/>
      <c r="X61" s="1168"/>
      <c r="Y61" s="1168"/>
      <c r="Z61" s="1168"/>
      <c r="AA61" s="1672"/>
      <c r="AB61" s="572"/>
      <c r="AC61" s="572"/>
      <c r="AD61" s="572"/>
      <c r="AE61" s="572"/>
    </row>
    <row s="12366" customFormat="1" customHeight="1" ht="11.25">
      <c r="A62" s="994"/>
      <c r="B62" s="1676"/>
      <c r="C62" s="1676"/>
      <c r="D62" s="347"/>
      <c r="K62" s="1168"/>
      <c r="L62" s="1676"/>
      <c r="M62" s="1676"/>
      <c r="N62" s="1168"/>
      <c r="O62" s="1168"/>
      <c r="P62" s="1168"/>
      <c r="Q62" s="1168"/>
      <c r="R62" s="1676"/>
      <c r="S62" s="1168"/>
      <c r="T62" s="1168"/>
      <c r="U62" s="550"/>
      <c r="V62" s="1168"/>
      <c r="W62" s="1168"/>
      <c r="X62" s="1168"/>
      <c r="Y62" s="1168"/>
      <c r="Z62" s="1168"/>
      <c r="AA62" s="1672"/>
      <c r="AB62" s="572"/>
      <c r="AC62" s="572"/>
      <c r="AD62" s="572"/>
      <c r="AE62" s="572"/>
    </row>
    <row s="12366" customFormat="1" customHeight="1" ht="11.25">
      <c r="A63" s="994"/>
      <c r="B63" s="1676"/>
      <c r="C63" s="1676"/>
      <c r="D63" s="347"/>
      <c r="K63" s="1168"/>
      <c r="L63" s="1676"/>
      <c r="M63" s="1676"/>
      <c r="N63" s="1168"/>
      <c r="O63" s="1168"/>
      <c r="P63" s="1168"/>
      <c r="Q63" s="1168"/>
      <c r="R63" s="1676"/>
      <c r="S63" s="1168"/>
      <c r="T63" s="1168"/>
      <c r="U63" s="550"/>
      <c r="V63" s="1168"/>
      <c r="W63" s="1168"/>
      <c r="X63" s="1168"/>
      <c r="Y63" s="1168"/>
      <c r="Z63" s="1168"/>
      <c r="AA63" s="1672"/>
      <c r="AB63" s="572"/>
      <c r="AC63" s="572"/>
      <c r="AD63" s="572"/>
      <c r="AE63" s="572"/>
    </row>
    <row s="12366" customFormat="1" customHeight="1" ht="11.25">
      <c r="A64" s="994"/>
      <c r="B64" s="1676"/>
      <c r="C64" s="1676"/>
      <c r="D64" s="347"/>
      <c r="K64" s="1168"/>
      <c r="L64" s="1676"/>
      <c r="M64" s="1676"/>
      <c r="N64" s="1168"/>
      <c r="O64" s="1168"/>
      <c r="P64" s="1168"/>
      <c r="Q64" s="1168"/>
      <c r="R64" s="1676"/>
      <c r="S64" s="1168"/>
      <c r="T64" s="1168"/>
      <c r="U64" s="550"/>
      <c r="V64" s="1168"/>
      <c r="W64" s="1168"/>
      <c r="X64" s="1168"/>
      <c r="Y64" s="1168"/>
      <c r="Z64" s="1168"/>
      <c r="AA64" s="1672"/>
      <c r="AB64" s="572"/>
      <c r="AC64" s="572"/>
      <c r="AD64" s="572"/>
      <c r="AE64" s="572"/>
    </row>
    <row s="12366" customFormat="1" customHeight="1" ht="11.25">
      <c r="A65" s="994"/>
      <c r="B65" s="1676"/>
      <c r="C65" s="1676"/>
      <c r="D65" s="347"/>
      <c r="K65" s="1168"/>
      <c r="L65" s="1676"/>
      <c r="M65" s="1676"/>
      <c r="N65" s="1168"/>
      <c r="O65" s="1168"/>
      <c r="P65" s="1168"/>
      <c r="Q65" s="1168"/>
      <c r="R65" s="1676"/>
      <c r="S65" s="1168"/>
      <c r="T65" s="1168"/>
      <c r="U65" s="550"/>
      <c r="V65" s="1168"/>
      <c r="W65" s="1168"/>
      <c r="X65" s="1168"/>
      <c r="Y65" s="1168"/>
      <c r="Z65" s="1168"/>
      <c r="AA65" s="1672"/>
      <c r="AB65" s="572"/>
      <c r="AC65" s="572"/>
      <c r="AD65" s="572"/>
      <c r="AE65" s="572"/>
    </row>
    <row s="12366" customFormat="1" customHeight="1" ht="11.25">
      <c r="A66" s="994"/>
      <c r="B66" s="1676"/>
      <c r="C66" s="1676"/>
      <c r="D66" s="347"/>
      <c r="K66" s="1168"/>
      <c r="L66" s="1676"/>
      <c r="M66" s="1676"/>
      <c r="N66" s="1168"/>
      <c r="O66" s="1168"/>
      <c r="P66" s="1168"/>
      <c r="Q66" s="1168"/>
      <c r="R66" s="1676"/>
      <c r="S66" s="1168"/>
      <c r="T66" s="1168"/>
      <c r="U66" s="550"/>
      <c r="V66" s="1168"/>
      <c r="W66" s="1168"/>
      <c r="X66" s="1168"/>
      <c r="Y66" s="1168"/>
      <c r="Z66" s="1168"/>
      <c r="AA66" s="1672"/>
      <c r="AB66" s="572"/>
      <c r="AC66" s="572"/>
      <c r="AD66" s="572"/>
      <c r="AE66" s="572"/>
    </row>
    <row s="12366" customFormat="1" customHeight="1" ht="11.25">
      <c r="A67" s="994"/>
      <c r="B67" s="1676"/>
      <c r="C67" s="1676"/>
      <c r="D67" s="347"/>
      <c r="K67" s="1168"/>
      <c r="L67" s="1676"/>
      <c r="M67" s="1676"/>
      <c r="N67" s="1168"/>
      <c r="O67" s="1168"/>
      <c r="P67" s="1168"/>
      <c r="Q67" s="1168"/>
      <c r="R67" s="1676"/>
      <c r="S67" s="1168"/>
      <c r="T67" s="1168"/>
      <c r="U67" s="550"/>
      <c r="V67" s="1168"/>
      <c r="W67" s="1168"/>
      <c r="X67" s="1168"/>
      <c r="Y67" s="1168"/>
      <c r="Z67" s="1168"/>
      <c r="AA67" s="1672"/>
      <c r="AB67" s="572"/>
      <c r="AC67" s="572"/>
      <c r="AD67" s="572"/>
      <c r="AE67" s="572"/>
    </row>
    <row s="12366" customFormat="1" customHeight="1" ht="11.25">
      <c r="A68" s="994"/>
      <c r="B68" s="1676"/>
      <c r="C68" s="1676"/>
      <c r="D68" s="347"/>
      <c r="K68" s="1168"/>
      <c r="L68" s="1676"/>
      <c r="M68" s="1676"/>
      <c r="N68" s="1168"/>
      <c r="O68" s="1168"/>
      <c r="P68" s="1168"/>
      <c r="Q68" s="1168"/>
      <c r="R68" s="1676"/>
      <c r="S68" s="1168"/>
      <c r="T68" s="1168"/>
      <c r="U68" s="550"/>
      <c r="V68" s="1168"/>
      <c r="W68" s="1168"/>
      <c r="X68" s="1168"/>
      <c r="Y68" s="1168"/>
      <c r="Z68" s="1168"/>
      <c r="AA68" s="1672"/>
      <c r="AB68" s="572"/>
      <c r="AC68" s="572"/>
      <c r="AD68" s="572"/>
      <c r="AE68" s="572"/>
    </row>
    <row s="12366" customFormat="1" customHeight="1" ht="11.25">
      <c r="A69" s="994"/>
      <c r="B69" s="1676"/>
      <c r="C69" s="1676"/>
      <c r="D69" s="347"/>
      <c r="K69" s="1168"/>
      <c r="L69" s="1676"/>
      <c r="M69" s="1676"/>
      <c r="N69" s="1168"/>
      <c r="O69" s="1168"/>
      <c r="P69" s="1168"/>
      <c r="Q69" s="1168"/>
      <c r="R69" s="1676"/>
      <c r="S69" s="1168"/>
      <c r="T69" s="1168"/>
      <c r="U69" s="550"/>
      <c r="V69" s="1168"/>
      <c r="W69" s="1168"/>
      <c r="X69" s="1168"/>
      <c r="Y69" s="1168"/>
      <c r="Z69" s="1168"/>
      <c r="AA69" s="1672"/>
      <c r="AB69" s="572"/>
      <c r="AC69" s="572"/>
      <c r="AD69" s="572"/>
      <c r="AE69" s="572"/>
    </row>
    <row s="12366" customFormat="1" customHeight="1" ht="11.25">
      <c r="A70" s="994"/>
      <c r="B70" s="1676"/>
      <c r="C70" s="1676"/>
      <c r="D70" s="347"/>
      <c r="K70" s="1168"/>
      <c r="L70" s="1676"/>
      <c r="M70" s="1676"/>
      <c r="N70" s="1168"/>
      <c r="O70" s="1168"/>
      <c r="P70" s="1168"/>
      <c r="Q70" s="1168"/>
      <c r="R70" s="1676"/>
      <c r="S70" s="1168"/>
      <c r="T70" s="1168"/>
      <c r="U70" s="550"/>
      <c r="V70" s="1168"/>
      <c r="W70" s="1168"/>
      <c r="X70" s="1168"/>
      <c r="Y70" s="1168"/>
      <c r="Z70" s="1168"/>
      <c r="AA70" s="1672"/>
      <c r="AB70" s="572"/>
      <c r="AC70" s="572"/>
      <c r="AD70" s="572"/>
      <c r="AE70" s="572"/>
    </row>
    <row s="12366" customFormat="1" customHeight="1" ht="11.25">
      <c r="A71" s="994"/>
      <c r="B71" s="1676"/>
      <c r="C71" s="1676"/>
      <c r="D71" s="347"/>
      <c r="K71" s="1168"/>
      <c r="L71" s="1676"/>
      <c r="M71" s="1676"/>
      <c r="N71" s="1168"/>
      <c r="O71" s="1168"/>
      <c r="P71" s="1168"/>
      <c r="Q71" s="1168"/>
      <c r="R71" s="1676"/>
      <c r="S71" s="1168"/>
      <c r="T71" s="1168"/>
      <c r="U71" s="550"/>
      <c r="V71" s="1168"/>
      <c r="W71" s="1168"/>
      <c r="X71" s="1168"/>
      <c r="Y71" s="1168"/>
      <c r="Z71" s="1168"/>
      <c r="AA71" s="1672"/>
      <c r="AB71" s="572"/>
      <c r="AC71" s="572"/>
      <c r="AD71" s="572"/>
      <c r="AE71" s="572"/>
    </row>
    <row s="12366" customFormat="1" customHeight="1" ht="11.25">
      <c r="A72" s="994"/>
      <c r="B72" s="1676"/>
      <c r="C72" s="1676"/>
      <c r="D72" s="347"/>
      <c r="K72" s="1168"/>
      <c r="L72" s="1676"/>
      <c r="M72" s="1676"/>
      <c r="N72" s="1168"/>
      <c r="O72" s="1168"/>
      <c r="P72" s="1168"/>
      <c r="Q72" s="1168"/>
      <c r="R72" s="1676"/>
      <c r="S72" s="1168"/>
      <c r="T72" s="1168"/>
      <c r="U72" s="550"/>
      <c r="V72" s="1168"/>
      <c r="W72" s="1168"/>
      <c r="X72" s="1168"/>
      <c r="Y72" s="1168"/>
      <c r="Z72" s="1168"/>
      <c r="AA72" s="1672"/>
      <c r="AB72" s="572"/>
      <c r="AC72" s="572"/>
      <c r="AD72" s="572"/>
      <c r="AE72" s="572"/>
    </row>
    <row s="12366" customFormat="1" customHeight="1" ht="11.25">
      <c r="A73" s="994"/>
      <c r="B73" s="1676"/>
      <c r="C73" s="1676"/>
      <c r="D73" s="347"/>
      <c r="K73" s="1168"/>
      <c r="L73" s="1676"/>
      <c r="M73" s="1676"/>
      <c r="N73" s="1168"/>
      <c r="O73" s="1168"/>
      <c r="P73" s="1168"/>
      <c r="Q73" s="1168"/>
      <c r="R73" s="1676"/>
      <c r="S73" s="1168"/>
      <c r="T73" s="1168"/>
      <c r="U73" s="550"/>
      <c r="V73" s="1168"/>
      <c r="W73" s="1168"/>
      <c r="X73" s="1168"/>
      <c r="Y73" s="1168"/>
      <c r="Z73" s="1168"/>
      <c r="AA73" s="1672"/>
      <c r="AB73" s="572"/>
      <c r="AC73" s="572"/>
      <c r="AD73" s="572"/>
      <c r="AE73" s="572"/>
    </row>
    <row s="12366" customFormat="1" customHeight="1" ht="11.25">
      <c r="A74" s="994"/>
      <c r="B74" s="1676"/>
      <c r="C74" s="1676"/>
      <c r="D74" s="347"/>
      <c r="K74" s="1168"/>
      <c r="L74" s="1676"/>
      <c r="M74" s="1676"/>
      <c r="N74" s="1168"/>
      <c r="O74" s="1168"/>
      <c r="P74" s="1168"/>
      <c r="Q74" s="1168"/>
      <c r="R74" s="1676"/>
      <c r="S74" s="1168"/>
      <c r="T74" s="1168"/>
      <c r="U74" s="550"/>
      <c r="V74" s="1168"/>
      <c r="W74" s="1168"/>
      <c r="X74" s="1168"/>
      <c r="Y74" s="1168"/>
      <c r="Z74" s="1168"/>
      <c r="AA74" s="1672"/>
      <c r="AB74" s="572"/>
      <c r="AC74" s="572"/>
      <c r="AD74" s="572"/>
      <c r="AE74" s="572"/>
    </row>
    <row s="12366" customFormat="1" customHeight="1" ht="11.25">
      <c r="A75" s="994"/>
      <c r="B75" s="1676"/>
      <c r="C75" s="1676"/>
      <c r="D75" s="347"/>
      <c r="K75" s="1168"/>
      <c r="L75" s="1676"/>
      <c r="M75" s="1676"/>
      <c r="N75" s="1168"/>
      <c r="O75" s="1168"/>
      <c r="P75" s="1168"/>
      <c r="Q75" s="1168"/>
      <c r="R75" s="1676"/>
      <c r="S75" s="1168"/>
      <c r="T75" s="1168"/>
      <c r="U75" s="550"/>
      <c r="V75" s="1168"/>
      <c r="W75" s="1168"/>
      <c r="X75" s="1168"/>
      <c r="Y75" s="1168"/>
      <c r="Z75" s="1168"/>
      <c r="AA75" s="1672"/>
      <c r="AB75" s="572"/>
      <c r="AC75" s="572"/>
      <c r="AD75" s="572"/>
      <c r="AE75" s="572"/>
    </row>
    <row s="12366" customFormat="1" customHeight="1" ht="11.25">
      <c r="A76" s="994"/>
      <c r="B76" s="1676"/>
      <c r="C76" s="1676"/>
      <c r="D76" s="347"/>
      <c r="K76" s="1168"/>
      <c r="L76" s="1676"/>
      <c r="M76" s="1676"/>
      <c r="N76" s="1168"/>
      <c r="O76" s="1168"/>
      <c r="P76" s="1168"/>
      <c r="Q76" s="1168"/>
      <c r="R76" s="1676"/>
      <c r="S76" s="1168"/>
      <c r="T76" s="1168"/>
      <c r="U76" s="550"/>
      <c r="V76" s="1168"/>
      <c r="W76" s="1168"/>
      <c r="X76" s="1168"/>
      <c r="Y76" s="1168"/>
      <c r="Z76" s="1168"/>
      <c r="AA76" s="1672"/>
      <c r="AB76" s="572"/>
      <c r="AC76" s="572"/>
      <c r="AD76" s="572"/>
      <c r="AE76" s="572"/>
    </row>
    <row s="12366" customFormat="1" customHeight="1" ht="11.25">
      <c r="A77" s="994"/>
      <c r="B77" s="1676"/>
      <c r="C77" s="1676"/>
      <c r="D77" s="347"/>
      <c r="K77" s="1168"/>
      <c r="L77" s="1676"/>
      <c r="M77" s="1676"/>
      <c r="N77" s="1168"/>
      <c r="O77" s="1168"/>
      <c r="P77" s="1168"/>
      <c r="Q77" s="1168"/>
      <c r="R77" s="1676"/>
      <c r="S77" s="1168"/>
      <c r="T77" s="1168"/>
      <c r="U77" s="550"/>
      <c r="V77" s="1168"/>
      <c r="W77" s="1168"/>
      <c r="X77" s="1168"/>
      <c r="Y77" s="1168"/>
      <c r="Z77" s="1168"/>
      <c r="AA77" s="1672"/>
      <c r="AB77" s="572"/>
      <c r="AC77" s="572"/>
      <c r="AD77" s="572"/>
      <c r="AE77" s="572"/>
    </row>
    <row s="12366" customFormat="1" customHeight="1" ht="11.25">
      <c r="A78" s="994"/>
      <c r="B78" s="1676"/>
      <c r="C78" s="1676"/>
      <c r="D78" s="347"/>
      <c r="K78" s="1168"/>
      <c r="L78" s="1676"/>
      <c r="M78" s="1676"/>
      <c r="N78" s="1168"/>
      <c r="O78" s="1168"/>
      <c r="P78" s="1168"/>
      <c r="Q78" s="1168"/>
      <c r="R78" s="1676"/>
      <c r="S78" s="1168"/>
      <c r="T78" s="1168"/>
      <c r="U78" s="550"/>
      <c r="V78" s="1168"/>
      <c r="W78" s="1168"/>
      <c r="X78" s="1168"/>
      <c r="Y78" s="1168"/>
      <c r="Z78" s="1168"/>
      <c r="AA78" s="1672"/>
      <c r="AB78" s="572"/>
      <c r="AC78" s="572"/>
      <c r="AD78" s="572"/>
      <c r="AE78" s="572"/>
    </row>
    <row s="12366" customFormat="1" customHeight="1" ht="11.25">
      <c r="A79" s="994"/>
      <c r="B79" s="1676"/>
      <c r="C79" s="1676"/>
      <c r="D79" s="347"/>
      <c r="K79" s="1168"/>
      <c r="L79" s="1676"/>
      <c r="M79" s="1676"/>
      <c r="N79" s="1168"/>
      <c r="O79" s="1168"/>
      <c r="P79" s="1168"/>
      <c r="Q79" s="1168"/>
      <c r="R79" s="1676"/>
      <c r="S79" s="1168"/>
      <c r="T79" s="1168"/>
      <c r="U79" s="550"/>
      <c r="V79" s="1168"/>
      <c r="W79" s="1168"/>
      <c r="X79" s="1168"/>
      <c r="Y79" s="1168"/>
      <c r="Z79" s="1168"/>
      <c r="AA79" s="1672"/>
      <c r="AB79" s="572"/>
      <c r="AC79" s="572"/>
      <c r="AD79" s="572"/>
      <c r="AE79" s="572"/>
    </row>
    <row s="12366" customFormat="1" customHeight="1" ht="11.25">
      <c r="A80" s="994"/>
      <c r="B80" s="1676"/>
      <c r="C80" s="1676"/>
      <c r="D80" s="347"/>
      <c r="K80" s="1168"/>
      <c r="L80" s="1676"/>
      <c r="M80" s="1676"/>
      <c r="N80" s="1168"/>
      <c r="O80" s="1168"/>
      <c r="P80" s="1168"/>
      <c r="Q80" s="1168"/>
      <c r="R80" s="1676"/>
      <c r="S80" s="1168"/>
      <c r="T80" s="1168"/>
      <c r="U80" s="550"/>
      <c r="V80" s="1168"/>
      <c r="W80" s="1168"/>
      <c r="X80" s="1168"/>
      <c r="Y80" s="1168"/>
      <c r="Z80" s="1168"/>
      <c r="AA80" s="1672"/>
      <c r="AB80" s="572"/>
      <c r="AC80" s="572"/>
      <c r="AD80" s="572"/>
      <c r="AE80" s="572"/>
    </row>
    <row s="12366" customFormat="1" customHeight="1" ht="11.25">
      <c r="A81" s="994"/>
      <c r="B81" s="1676"/>
      <c r="C81" s="1676"/>
      <c r="D81" s="347"/>
      <c r="K81" s="1168"/>
      <c r="L81" s="1676"/>
      <c r="M81" s="1676"/>
      <c r="N81" s="1168"/>
      <c r="O81" s="1168"/>
      <c r="P81" s="1168"/>
      <c r="Q81" s="1168"/>
      <c r="R81" s="1676"/>
      <c r="S81" s="1168"/>
      <c r="T81" s="1168"/>
      <c r="U81" s="550"/>
      <c r="V81" s="1168"/>
      <c r="W81" s="1168"/>
      <c r="X81" s="1168"/>
      <c r="Y81" s="1168"/>
      <c r="Z81" s="1168"/>
      <c r="AA81" s="1672"/>
      <c r="AB81" s="572"/>
      <c r="AC81" s="572"/>
      <c r="AD81" s="572"/>
      <c r="AE81" s="572"/>
    </row>
    <row s="12366" customFormat="1" customHeight="1" ht="11.25">
      <c r="A82" s="994"/>
      <c r="B82" s="1676"/>
      <c r="C82" s="1676"/>
      <c r="D82" s="347"/>
      <c r="K82" s="1168"/>
      <c r="L82" s="1676"/>
      <c r="M82" s="1676"/>
      <c r="N82" s="1168"/>
      <c r="O82" s="1168"/>
      <c r="P82" s="1168"/>
      <c r="Q82" s="1168"/>
      <c r="R82" s="1676"/>
      <c r="S82" s="1168"/>
      <c r="T82" s="1168"/>
      <c r="U82" s="550"/>
      <c r="V82" s="1168"/>
      <c r="W82" s="1168"/>
      <c r="X82" s="1168"/>
      <c r="Y82" s="1168"/>
      <c r="Z82" s="1168"/>
      <c r="AA82" s="1672"/>
      <c r="AB82" s="572"/>
      <c r="AC82" s="572"/>
      <c r="AD82" s="572"/>
      <c r="AE82" s="572"/>
    </row>
    <row s="12366" customFormat="1" customHeight="1" ht="11.25">
      <c r="A83" s="994"/>
      <c r="B83" s="1676"/>
      <c r="C83" s="1676"/>
      <c r="D83" s="347"/>
      <c r="K83" s="1168"/>
      <c r="L83" s="1676"/>
      <c r="M83" s="1676"/>
      <c r="N83" s="1168"/>
      <c r="O83" s="1168"/>
      <c r="P83" s="1168"/>
      <c r="Q83" s="1168"/>
      <c r="R83" s="1676"/>
      <c r="S83" s="1168"/>
      <c r="T83" s="1168"/>
      <c r="U83" s="550"/>
      <c r="V83" s="1168"/>
      <c r="W83" s="1168"/>
      <c r="X83" s="1168"/>
      <c r="Y83" s="1168"/>
      <c r="Z83" s="1168"/>
      <c r="AA83" s="1672"/>
      <c r="AB83" s="572"/>
      <c r="AC83" s="572"/>
      <c r="AD83" s="572"/>
      <c r="AE83" s="572"/>
    </row>
    <row s="12366" customFormat="1" customHeight="1" ht="11.25">
      <c r="A84" s="994"/>
      <c r="B84" s="1676"/>
      <c r="C84" s="1676"/>
      <c r="D84" s="347"/>
      <c r="K84" s="1168"/>
      <c r="L84" s="1676"/>
      <c r="M84" s="1676"/>
      <c r="N84" s="1168"/>
      <c r="O84" s="1168"/>
      <c r="P84" s="1168"/>
      <c r="Q84" s="1168"/>
      <c r="R84" s="1676"/>
      <c r="S84" s="1168"/>
      <c r="T84" s="1168"/>
      <c r="U84" s="550"/>
      <c r="V84" s="1168"/>
      <c r="W84" s="1168"/>
      <c r="X84" s="1168"/>
      <c r="Y84" s="1168"/>
      <c r="Z84" s="1168"/>
      <c r="AA84" s="1672"/>
      <c r="AB84" s="572"/>
      <c r="AC84" s="572"/>
      <c r="AD84" s="572"/>
      <c r="AE84" s="572"/>
    </row>
    <row s="12366" customFormat="1" customHeight="1" ht="11.25">
      <c r="A85" s="994"/>
      <c r="B85" s="1676"/>
      <c r="C85" s="1676"/>
      <c r="D85" s="347"/>
      <c r="K85" s="1168"/>
      <c r="L85" s="1676"/>
      <c r="M85" s="1676"/>
      <c r="N85" s="1168"/>
      <c r="O85" s="1168"/>
      <c r="P85" s="1168"/>
      <c r="Q85" s="1168"/>
      <c r="R85" s="1676"/>
      <c r="S85" s="1168"/>
      <c r="T85" s="1168"/>
      <c r="U85" s="550"/>
      <c r="V85" s="1168"/>
      <c r="W85" s="1168"/>
      <c r="X85" s="1168"/>
      <c r="Y85" s="1168"/>
      <c r="Z85" s="1168"/>
      <c r="AA85" s="1672"/>
      <c r="AB85" s="572"/>
      <c r="AC85" s="572"/>
      <c r="AD85" s="572"/>
      <c r="AE85" s="572"/>
    </row>
    <row s="12366" customFormat="1" customHeight="1" ht="11.25">
      <c r="A86" s="994"/>
      <c r="B86" s="1676"/>
      <c r="C86" s="1676"/>
      <c r="D86" s="347"/>
      <c r="K86" s="1168"/>
      <c r="L86" s="1676"/>
      <c r="M86" s="1676"/>
      <c r="N86" s="1168"/>
      <c r="O86" s="1168"/>
      <c r="P86" s="1168"/>
      <c r="Q86" s="1168"/>
      <c r="R86" s="1676"/>
      <c r="S86" s="1168"/>
      <c r="T86" s="1168"/>
      <c r="U86" s="550"/>
      <c r="V86" s="1168"/>
      <c r="W86" s="1168"/>
      <c r="X86" s="1168"/>
      <c r="Y86" s="1168"/>
      <c r="Z86" s="1168"/>
      <c r="AA86" s="1672"/>
      <c r="AB86" s="572"/>
      <c r="AC86" s="572"/>
      <c r="AD86" s="572"/>
      <c r="AE86" s="572"/>
    </row>
    <row s="12366" customFormat="1" customHeight="1" ht="11.25">
      <c r="A87" s="994"/>
      <c r="B87" s="1676"/>
      <c r="C87" s="1676"/>
      <c r="D87" s="347"/>
      <c r="K87" s="1168"/>
      <c r="L87" s="1676"/>
      <c r="M87" s="1676"/>
      <c r="N87" s="1168"/>
      <c r="O87" s="1168"/>
      <c r="P87" s="1168"/>
      <c r="Q87" s="1168"/>
      <c r="R87" s="1676"/>
      <c r="S87" s="1168"/>
      <c r="T87" s="1168"/>
      <c r="U87" s="550"/>
      <c r="V87" s="1168"/>
      <c r="W87" s="1168"/>
      <c r="X87" s="1168"/>
      <c r="Y87" s="1168"/>
      <c r="Z87" s="1168"/>
      <c r="AA87" s="1672"/>
      <c r="AB87" s="572"/>
      <c r="AC87" s="572"/>
      <c r="AD87" s="572"/>
      <c r="AE87" s="572"/>
    </row>
    <row s="12366" customFormat="1" customHeight="1" ht="11.25">
      <c r="A88" s="994"/>
      <c r="B88" s="1676"/>
      <c r="C88" s="1676"/>
      <c r="D88" s="347"/>
      <c r="K88" s="1168"/>
      <c r="L88" s="1676"/>
      <c r="M88" s="1676"/>
      <c r="N88" s="1168"/>
      <c r="O88" s="1168"/>
      <c r="P88" s="1168"/>
      <c r="Q88" s="1168"/>
      <c r="R88" s="1676"/>
      <c r="S88" s="1168"/>
      <c r="T88" s="1168"/>
      <c r="U88" s="550"/>
      <c r="V88" s="1168"/>
      <c r="W88" s="1168"/>
      <c r="X88" s="1168"/>
      <c r="Y88" s="1168"/>
      <c r="Z88" s="1168"/>
      <c r="AA88" s="1672"/>
      <c r="AB88" s="572"/>
      <c r="AC88" s="572"/>
      <c r="AD88" s="572"/>
      <c r="AE88" s="572"/>
    </row>
    <row s="12366" customFormat="1" customHeight="1" ht="11.25">
      <c r="A89" s="994"/>
      <c r="B89" s="1676"/>
      <c r="C89" s="1676"/>
      <c r="D89" s="347"/>
      <c r="K89" s="1168"/>
      <c r="L89" s="1676"/>
      <c r="M89" s="1676"/>
      <c r="N89" s="1168"/>
      <c r="O89" s="1168"/>
      <c r="P89" s="1168"/>
      <c r="Q89" s="1168"/>
      <c r="R89" s="1676"/>
      <c r="S89" s="1168"/>
      <c r="T89" s="1168"/>
      <c r="U89" s="550"/>
      <c r="V89" s="1168"/>
      <c r="W89" s="1168"/>
      <c r="X89" s="1168"/>
      <c r="Y89" s="1168"/>
      <c r="Z89" s="1168"/>
      <c r="AA89" s="1672"/>
      <c r="AB89" s="572"/>
      <c r="AC89" s="572"/>
      <c r="AD89" s="572"/>
      <c r="AE89" s="572"/>
    </row>
    <row s="12366" customFormat="1" customHeight="1" ht="11.25">
      <c r="A90" s="994"/>
      <c r="B90" s="1676"/>
      <c r="C90" s="1676"/>
      <c r="D90" s="347"/>
      <c r="K90" s="1168"/>
      <c r="L90" s="1676"/>
      <c r="M90" s="1676"/>
      <c r="N90" s="1168"/>
      <c r="O90" s="1168"/>
      <c r="P90" s="1168"/>
      <c r="Q90" s="1168"/>
      <c r="R90" s="1676"/>
      <c r="S90" s="1168"/>
      <c r="T90" s="1168"/>
      <c r="U90" s="550"/>
      <c r="V90" s="1168"/>
      <c r="W90" s="1168"/>
      <c r="X90" s="1168"/>
      <c r="Y90" s="1168"/>
      <c r="Z90" s="1168"/>
      <c r="AA90" s="1672"/>
      <c r="AB90" s="572"/>
      <c r="AC90" s="572"/>
      <c r="AD90" s="572"/>
      <c r="AE90" s="572"/>
    </row>
    <row s="12366" customFormat="1" customHeight="1" ht="11.25">
      <c r="A91" s="994"/>
      <c r="B91" s="1676"/>
      <c r="C91" s="1676"/>
      <c r="D91" s="347"/>
      <c r="K91" s="1168"/>
      <c r="L91" s="1676"/>
      <c r="M91" s="1676"/>
      <c r="N91" s="1168"/>
      <c r="O91" s="1168"/>
      <c r="P91" s="1168"/>
      <c r="Q91" s="1168"/>
      <c r="R91" s="1676"/>
      <c r="S91" s="1168"/>
      <c r="T91" s="1168"/>
      <c r="U91" s="550"/>
      <c r="V91" s="1168"/>
      <c r="W91" s="1168"/>
      <c r="X91" s="1168"/>
      <c r="Y91" s="1168"/>
      <c r="Z91" s="1168"/>
      <c r="AA91" s="1672"/>
      <c r="AB91" s="572"/>
      <c r="AC91" s="572"/>
      <c r="AD91" s="572"/>
      <c r="AE91" s="572"/>
    </row>
    <row s="12366" customFormat="1" customHeight="1" ht="11.25">
      <c r="A92" s="994"/>
      <c r="B92" s="1676"/>
      <c r="C92" s="1676"/>
      <c r="D92" s="347"/>
      <c r="K92" s="1168"/>
      <c r="L92" s="1676"/>
      <c r="M92" s="1676"/>
      <c r="N92" s="1168"/>
      <c r="O92" s="1168"/>
      <c r="P92" s="1168"/>
      <c r="Q92" s="1168"/>
      <c r="R92" s="1676"/>
      <c r="S92" s="1168"/>
      <c r="T92" s="1168"/>
      <c r="U92" s="550"/>
      <c r="V92" s="1168"/>
      <c r="W92" s="1168"/>
      <c r="X92" s="1168"/>
      <c r="Y92" s="1168"/>
      <c r="Z92" s="1168"/>
      <c r="AA92" s="1672"/>
      <c r="AB92" s="572"/>
      <c r="AC92" s="572"/>
      <c r="AD92" s="572"/>
      <c r="AE92" s="572"/>
    </row>
    <row s="12366" customFormat="1" customHeight="1" ht="11.25">
      <c r="A93" s="994"/>
      <c r="B93" s="1676"/>
      <c r="C93" s="1676"/>
      <c r="D93" s="347"/>
      <c r="K93" s="1168"/>
      <c r="L93" s="1676"/>
      <c r="M93" s="1676"/>
      <c r="N93" s="1168"/>
      <c r="O93" s="1168"/>
      <c r="P93" s="1168"/>
      <c r="Q93" s="1168"/>
      <c r="R93" s="1676"/>
      <c r="S93" s="1168"/>
      <c r="T93" s="1168"/>
      <c r="U93" s="550"/>
      <c r="V93" s="1168"/>
      <c r="W93" s="1168"/>
      <c r="X93" s="1168"/>
      <c r="Y93" s="1168"/>
      <c r="Z93" s="1168"/>
      <c r="AA93" s="1672"/>
      <c r="AB93" s="572"/>
      <c r="AC93" s="572"/>
      <c r="AD93" s="572"/>
      <c r="AE93" s="572"/>
    </row>
    <row s="12366" customFormat="1" customHeight="1" ht="11.25">
      <c r="A94" s="994"/>
      <c r="B94" s="1676"/>
      <c r="C94" s="1676"/>
      <c r="D94" s="347"/>
      <c r="K94" s="1168"/>
      <c r="L94" s="1676"/>
      <c r="M94" s="1676"/>
      <c r="N94" s="1168"/>
      <c r="O94" s="1168"/>
      <c r="P94" s="1168"/>
      <c r="Q94" s="1168"/>
      <c r="R94" s="1676"/>
      <c r="S94" s="1168"/>
      <c r="T94" s="1168"/>
      <c r="U94" s="550"/>
      <c r="V94" s="1168"/>
      <c r="W94" s="1168"/>
      <c r="X94" s="1168"/>
      <c r="Y94" s="1168"/>
      <c r="Z94" s="1168"/>
      <c r="AA94" s="1672"/>
      <c r="AB94" s="572"/>
      <c r="AC94" s="572"/>
      <c r="AD94" s="572"/>
      <c r="AE94" s="572"/>
    </row>
    <row s="12366" customFormat="1" customHeight="1" ht="11.25">
      <c r="A95" s="994"/>
      <c r="B95" s="1676"/>
      <c r="C95" s="1676"/>
      <c r="D95" s="347"/>
      <c r="K95" s="1168"/>
      <c r="L95" s="1676"/>
      <c r="M95" s="1676"/>
      <c r="N95" s="1168"/>
      <c r="O95" s="1168"/>
      <c r="P95" s="1168"/>
      <c r="Q95" s="1168"/>
      <c r="R95" s="1676"/>
      <c r="S95" s="1168"/>
      <c r="T95" s="1168"/>
      <c r="U95" s="550"/>
      <c r="V95" s="1168"/>
      <c r="W95" s="1168"/>
      <c r="X95" s="1168"/>
      <c r="Y95" s="1168"/>
      <c r="Z95" s="1168"/>
      <c r="AA95" s="1672"/>
      <c r="AB95" s="572"/>
      <c r="AC95" s="572"/>
      <c r="AD95" s="572"/>
      <c r="AE95" s="572"/>
    </row>
    <row s="12366" customFormat="1" customHeight="1" ht="11.25">
      <c r="A96" s="994"/>
      <c r="B96" s="1676"/>
      <c r="C96" s="1676"/>
      <c r="D96" s="347"/>
      <c r="K96" s="1168"/>
      <c r="L96" s="1676"/>
      <c r="M96" s="1676"/>
      <c r="N96" s="1168"/>
      <c r="O96" s="1168"/>
      <c r="P96" s="1168"/>
      <c r="Q96" s="1168"/>
      <c r="R96" s="1676"/>
      <c r="S96" s="1168"/>
      <c r="T96" s="1168"/>
      <c r="U96" s="550"/>
      <c r="V96" s="1168"/>
      <c r="W96" s="1168"/>
      <c r="X96" s="1168"/>
      <c r="Y96" s="1168"/>
      <c r="Z96" s="1168"/>
      <c r="AA96" s="1672"/>
      <c r="AB96" s="572"/>
      <c r="AC96" s="572"/>
      <c r="AD96" s="572"/>
      <c r="AE96" s="572"/>
    </row>
    <row s="12366" customFormat="1" customHeight="1" ht="11.25">
      <c r="A97" s="994"/>
      <c r="B97" s="1676"/>
      <c r="C97" s="1676"/>
      <c r="D97" s="347"/>
      <c r="K97" s="1168"/>
      <c r="L97" s="1676"/>
      <c r="M97" s="1676"/>
      <c r="N97" s="1168"/>
      <c r="O97" s="1168"/>
      <c r="P97" s="1168"/>
      <c r="Q97" s="1168"/>
      <c r="R97" s="1676"/>
      <c r="S97" s="1168"/>
      <c r="T97" s="1168"/>
      <c r="U97" s="550"/>
      <c r="V97" s="1168"/>
      <c r="W97" s="1168"/>
      <c r="X97" s="1168"/>
      <c r="Y97" s="1168"/>
      <c r="Z97" s="1168"/>
      <c r="AA97" s="1672"/>
      <c r="AB97" s="572"/>
      <c r="AC97" s="572"/>
      <c r="AD97" s="572"/>
      <c r="AE97" s="572"/>
    </row>
    <row s="12366" customFormat="1" customHeight="1" ht="11.25">
      <c r="A98" s="994"/>
      <c r="B98" s="1676"/>
      <c r="C98" s="1676"/>
      <c r="D98" s="347"/>
      <c r="K98" s="1168"/>
      <c r="L98" s="1676"/>
      <c r="M98" s="1676"/>
      <c r="N98" s="1168"/>
      <c r="O98" s="1168"/>
      <c r="P98" s="1168"/>
      <c r="Q98" s="1168"/>
      <c r="R98" s="1676"/>
      <c r="S98" s="1168"/>
      <c r="T98" s="1168"/>
      <c r="U98" s="550"/>
      <c r="V98" s="1168"/>
      <c r="W98" s="1168"/>
      <c r="X98" s="1168"/>
      <c r="Y98" s="1168"/>
      <c r="Z98" s="1168"/>
      <c r="AA98" s="1672"/>
      <c r="AB98" s="572"/>
      <c r="AC98" s="572"/>
      <c r="AD98" s="572"/>
      <c r="AE98" s="572"/>
    </row>
    <row s="12366" customFormat="1" customHeight="1" ht="11.25">
      <c r="A99" s="994"/>
      <c r="B99" s="1676"/>
      <c r="C99" s="1676"/>
      <c r="D99" s="347"/>
      <c r="K99" s="1168"/>
      <c r="L99" s="1676"/>
      <c r="M99" s="1676"/>
      <c r="N99" s="1168"/>
      <c r="O99" s="1168"/>
      <c r="P99" s="1168"/>
      <c r="Q99" s="1168"/>
      <c r="R99" s="1676"/>
      <c r="S99" s="1168"/>
      <c r="T99" s="1168"/>
      <c r="U99" s="550"/>
      <c r="V99" s="1168"/>
      <c r="W99" s="1168"/>
      <c r="X99" s="1168"/>
      <c r="Y99" s="1168"/>
      <c r="Z99" s="1168"/>
      <c r="AA99" s="1672"/>
      <c r="AB99" s="572"/>
      <c r="AC99" s="572"/>
      <c r="AD99" s="572"/>
      <c r="AE99" s="572"/>
    </row>
    <row s="12366" customFormat="1" customHeight="1" ht="11.25">
      <c r="A100" s="994"/>
      <c r="B100" s="1676"/>
      <c r="C100" s="1676"/>
      <c r="D100" s="347"/>
      <c r="K100" s="1168"/>
      <c r="L100" s="1676"/>
      <c r="M100" s="1676"/>
      <c r="N100" s="1168"/>
      <c r="O100" s="1168"/>
      <c r="P100" s="1168"/>
      <c r="Q100" s="1168"/>
      <c r="R100" s="1676"/>
      <c r="S100" s="1168"/>
      <c r="T100" s="1168"/>
      <c r="U100" s="550"/>
      <c r="V100" s="1168"/>
      <c r="W100" s="1168"/>
      <c r="X100" s="1168"/>
      <c r="Y100" s="1168"/>
      <c r="Z100" s="1168"/>
      <c r="AA100" s="1672"/>
      <c r="AB100" s="572"/>
      <c r="AC100" s="572"/>
      <c r="AD100" s="572"/>
      <c r="AE100" s="572"/>
    </row>
    <row s="12366" customFormat="1" customHeight="1" ht="11.25">
      <c r="A101" s="994"/>
      <c r="B101" s="1676"/>
      <c r="C101" s="1676"/>
      <c r="D101" s="347"/>
      <c r="K101" s="1168"/>
      <c r="L101" s="1676"/>
      <c r="M101" s="1676"/>
      <c r="N101" s="1168"/>
      <c r="O101" s="1168"/>
      <c r="P101" s="1168"/>
      <c r="Q101" s="1168"/>
      <c r="R101" s="1676"/>
      <c r="S101" s="1168"/>
      <c r="T101" s="1168"/>
      <c r="U101" s="550"/>
      <c r="V101" s="1168"/>
      <c r="W101" s="1168"/>
      <c r="X101" s="1168"/>
      <c r="Y101" s="1168"/>
      <c r="Z101" s="1168"/>
      <c r="AA101" s="1672"/>
      <c r="AB101" s="572"/>
      <c r="AC101" s="572"/>
      <c r="AD101" s="572"/>
      <c r="AE101" s="572"/>
    </row>
    <row s="12366" customFormat="1" customHeight="1" ht="11.25">
      <c r="A102" s="994"/>
      <c r="B102" s="1676"/>
      <c r="C102" s="1676"/>
      <c r="D102" s="347"/>
      <c r="K102" s="1168"/>
      <c r="L102" s="1676"/>
      <c r="M102" s="1676"/>
      <c r="N102" s="1168"/>
      <c r="O102" s="1168"/>
      <c r="P102" s="1168"/>
      <c r="Q102" s="1168"/>
      <c r="R102" s="1676"/>
      <c r="S102" s="1168"/>
      <c r="T102" s="1168"/>
      <c r="U102" s="550"/>
      <c r="V102" s="1168"/>
      <c r="W102" s="1168"/>
      <c r="X102" s="1168"/>
      <c r="Y102" s="1168"/>
      <c r="Z102" s="1168"/>
      <c r="AA102" s="1672"/>
      <c r="AB102" s="572"/>
      <c r="AC102" s="572"/>
      <c r="AD102" s="572"/>
      <c r="AE102" s="572"/>
    </row>
    <row s="12366" customFormat="1" customHeight="1" ht="11.25">
      <c r="A103" s="994"/>
      <c r="B103" s="1676"/>
      <c r="C103" s="1676"/>
      <c r="D103" s="347"/>
      <c r="K103" s="1168"/>
      <c r="L103" s="1676"/>
      <c r="M103" s="1676"/>
      <c r="N103" s="1168"/>
      <c r="O103" s="1168"/>
      <c r="P103" s="1168"/>
      <c r="Q103" s="1168"/>
      <c r="R103" s="1676"/>
      <c r="S103" s="1168"/>
      <c r="T103" s="1168"/>
      <c r="U103" s="550"/>
      <c r="V103" s="1168"/>
      <c r="W103" s="1168"/>
      <c r="X103" s="1168"/>
      <c r="Y103" s="1168"/>
      <c r="Z103" s="1168"/>
      <c r="AA103" s="1672"/>
      <c r="AB103" s="572"/>
      <c r="AC103" s="572"/>
      <c r="AD103" s="572"/>
      <c r="AE103" s="572"/>
    </row>
    <row s="12366" customFormat="1" customHeight="1" ht="11.25">
      <c r="A104" s="994"/>
      <c r="B104" s="1676"/>
      <c r="C104" s="1676"/>
      <c r="D104" s="347"/>
      <c r="K104" s="1168"/>
      <c r="L104" s="1676"/>
      <c r="M104" s="1676"/>
      <c r="N104" s="1168"/>
      <c r="O104" s="1168"/>
      <c r="P104" s="1168"/>
      <c r="Q104" s="1168"/>
      <c r="R104" s="1676"/>
      <c r="S104" s="1168"/>
      <c r="T104" s="1168"/>
      <c r="U104" s="550"/>
      <c r="V104" s="1168"/>
      <c r="W104" s="1168"/>
      <c r="X104" s="1168"/>
      <c r="Y104" s="1168"/>
      <c r="Z104" s="1168"/>
      <c r="AA104" s="1672"/>
      <c r="AB104" s="572"/>
      <c r="AC104" s="572"/>
      <c r="AD104" s="572"/>
      <c r="AE104" s="572"/>
    </row>
    <row s="12366" customFormat="1" customHeight="1" ht="11.25">
      <c r="A105" s="994"/>
      <c r="B105" s="1676"/>
      <c r="C105" s="1676"/>
      <c r="D105" s="347"/>
      <c r="K105" s="1168"/>
      <c r="L105" s="1676"/>
      <c r="M105" s="1676"/>
      <c r="N105" s="1168"/>
      <c r="O105" s="1168"/>
      <c r="P105" s="1168"/>
      <c r="Q105" s="1168"/>
      <c r="R105" s="1676"/>
      <c r="S105" s="1168"/>
      <c r="T105" s="1168"/>
      <c r="U105" s="550"/>
      <c r="V105" s="1168"/>
      <c r="W105" s="1168"/>
      <c r="X105" s="1168"/>
      <c r="Y105" s="1168"/>
      <c r="Z105" s="1168"/>
      <c r="AA105" s="1672"/>
      <c r="AB105" s="572"/>
      <c r="AC105" s="572"/>
      <c r="AD105" s="572"/>
      <c r="AE105" s="572"/>
    </row>
    <row s="12366" customFormat="1" customHeight="1" ht="11.25">
      <c r="A106" s="994"/>
      <c r="B106" s="1676"/>
      <c r="C106" s="1676"/>
      <c r="D106" s="347"/>
      <c r="K106" s="1168"/>
      <c r="L106" s="1676"/>
      <c r="M106" s="1676"/>
      <c r="N106" s="1168"/>
      <c r="O106" s="1168"/>
      <c r="P106" s="1168"/>
      <c r="Q106" s="1168"/>
      <c r="R106" s="1676"/>
      <c r="S106" s="1168"/>
      <c r="T106" s="1168"/>
      <c r="U106" s="550"/>
      <c r="V106" s="1168"/>
      <c r="W106" s="1168"/>
      <c r="X106" s="1168"/>
      <c r="Y106" s="1168"/>
      <c r="Z106" s="1168"/>
      <c r="AA106" s="1672"/>
      <c r="AB106" s="572"/>
      <c r="AC106" s="572"/>
      <c r="AD106" s="572"/>
      <c r="AE106" s="572"/>
    </row>
    <row s="12366" customFormat="1" customHeight="1" ht="11.25">
      <c r="A107" s="994"/>
      <c r="B107" s="1676"/>
      <c r="C107" s="1676"/>
      <c r="D107" s="347"/>
      <c r="K107" s="1168"/>
      <c r="L107" s="1676"/>
      <c r="M107" s="1676"/>
      <c r="N107" s="1168"/>
      <c r="O107" s="1168"/>
      <c r="P107" s="1168"/>
      <c r="Q107" s="1168"/>
      <c r="R107" s="1676"/>
      <c r="S107" s="1168"/>
      <c r="T107" s="1168"/>
      <c r="U107" s="550"/>
      <c r="V107" s="1168"/>
      <c r="W107" s="1168"/>
      <c r="X107" s="1168"/>
      <c r="Y107" s="1168"/>
      <c r="Z107" s="1168"/>
      <c r="AA107" s="1672"/>
      <c r="AB107" s="572"/>
      <c r="AC107" s="572"/>
      <c r="AD107" s="572"/>
      <c r="AE107" s="572"/>
    </row>
    <row s="12366" customFormat="1" customHeight="1" ht="11.25">
      <c r="A108" s="994"/>
      <c r="B108" s="1676"/>
      <c r="C108" s="1676"/>
      <c r="D108" s="347"/>
      <c r="K108" s="1168"/>
      <c r="L108" s="1676"/>
      <c r="M108" s="1676"/>
      <c r="N108" s="1168"/>
      <c r="O108" s="1168"/>
      <c r="P108" s="1168"/>
      <c r="Q108" s="1168"/>
      <c r="R108" s="1676"/>
      <c r="S108" s="1168"/>
      <c r="T108" s="1168"/>
      <c r="U108" s="550"/>
      <c r="V108" s="1168"/>
      <c r="W108" s="1168"/>
      <c r="X108" s="1168"/>
      <c r="Y108" s="1168"/>
      <c r="Z108" s="1168"/>
      <c r="AA108" s="1672"/>
      <c r="AB108" s="572"/>
      <c r="AC108" s="572"/>
      <c r="AD108" s="572"/>
      <c r="AE108" s="572"/>
    </row>
    <row s="12366" customFormat="1" customHeight="1" ht="11.25">
      <c r="A109" s="994"/>
      <c r="B109" s="1676"/>
      <c r="C109" s="1676"/>
      <c r="D109" s="347"/>
      <c r="K109" s="1168"/>
      <c r="L109" s="1676"/>
      <c r="M109" s="1676"/>
      <c r="N109" s="1168"/>
      <c r="O109" s="1168"/>
      <c r="P109" s="1168"/>
      <c r="Q109" s="1168"/>
      <c r="R109" s="1676"/>
      <c r="S109" s="1168"/>
      <c r="T109" s="1168"/>
      <c r="U109" s="550"/>
      <c r="V109" s="1168"/>
      <c r="W109" s="1168"/>
      <c r="X109" s="1168"/>
      <c r="Y109" s="1168"/>
      <c r="Z109" s="1168"/>
      <c r="AA109" s="1672"/>
      <c r="AB109" s="572"/>
      <c r="AC109" s="572"/>
      <c r="AD109" s="572"/>
      <c r="AE109" s="572"/>
    </row>
    <row s="12366" customFormat="1" customHeight="1" ht="11.25">
      <c r="A110" s="994"/>
      <c r="B110" s="1676"/>
      <c r="C110" s="1676"/>
      <c r="D110" s="347"/>
      <c r="K110" s="1168"/>
      <c r="L110" s="1676"/>
      <c r="M110" s="1676"/>
      <c r="N110" s="1168"/>
      <c r="O110" s="1168"/>
      <c r="P110" s="1168"/>
      <c r="Q110" s="1168"/>
      <c r="R110" s="1676"/>
      <c r="S110" s="1168"/>
      <c r="T110" s="1168"/>
      <c r="U110" s="550"/>
      <c r="V110" s="1168"/>
      <c r="W110" s="1168"/>
      <c r="X110" s="1168"/>
      <c r="Y110" s="1168"/>
      <c r="Z110" s="1168"/>
      <c r="AA110" s="1672"/>
      <c r="AB110" s="572"/>
      <c r="AC110" s="572"/>
      <c r="AD110" s="572"/>
      <c r="AE110" s="572"/>
    </row>
    <row s="12366" customFormat="1" customHeight="1" ht="11.25">
      <c r="A111" s="994"/>
      <c r="B111" s="1676"/>
      <c r="C111" s="1676"/>
      <c r="D111" s="347"/>
      <c r="K111" s="1168"/>
      <c r="L111" s="1676"/>
      <c r="M111" s="1676"/>
      <c r="N111" s="1168"/>
      <c r="O111" s="1168"/>
      <c r="P111" s="1168"/>
      <c r="Q111" s="1168"/>
      <c r="R111" s="1676"/>
      <c r="S111" s="1168"/>
      <c r="T111" s="1168"/>
      <c r="U111" s="550"/>
      <c r="V111" s="1168"/>
      <c r="W111" s="1168"/>
      <c r="X111" s="1168"/>
      <c r="Y111" s="1168"/>
      <c r="Z111" s="1168"/>
      <c r="AA111" s="1672"/>
      <c r="AB111" s="572"/>
      <c r="AC111" s="572"/>
      <c r="AD111" s="572"/>
      <c r="AE111" s="572"/>
    </row>
    <row s="12366" customFormat="1" customHeight="1" ht="11.25">
      <c r="A112" s="994"/>
      <c r="B112" s="1676"/>
      <c r="C112" s="1676"/>
      <c r="D112" s="347"/>
      <c r="K112" s="1168"/>
      <c r="L112" s="1676"/>
      <c r="M112" s="1676"/>
      <c r="N112" s="1168"/>
      <c r="O112" s="1168"/>
      <c r="P112" s="1168"/>
      <c r="Q112" s="1168"/>
      <c r="R112" s="1676"/>
      <c r="S112" s="1168"/>
      <c r="T112" s="1168"/>
      <c r="U112" s="550"/>
      <c r="V112" s="1168"/>
      <c r="W112" s="1168"/>
      <c r="X112" s="1168"/>
      <c r="Y112" s="1168"/>
      <c r="Z112" s="1168"/>
      <c r="AA112" s="1672"/>
      <c r="AB112" s="572"/>
      <c r="AC112" s="572"/>
      <c r="AD112" s="572"/>
      <c r="AE112" s="572"/>
    </row>
    <row s="12366" customFormat="1" customHeight="1" ht="11.25">
      <c r="A113" s="994"/>
      <c r="B113" s="1676"/>
      <c r="C113" s="1676"/>
      <c r="D113" s="347"/>
      <c r="K113" s="1168"/>
      <c r="L113" s="1676"/>
      <c r="M113" s="1676"/>
      <c r="N113" s="1168"/>
      <c r="O113" s="1168"/>
      <c r="P113" s="1168"/>
      <c r="Q113" s="1168"/>
      <c r="R113" s="1676"/>
      <c r="S113" s="1168"/>
      <c r="T113" s="1168"/>
      <c r="U113" s="550"/>
      <c r="V113" s="1168"/>
      <c r="W113" s="1168"/>
      <c r="X113" s="1168"/>
      <c r="Y113" s="1168"/>
      <c r="Z113" s="1168"/>
      <c r="AA113" s="1672"/>
      <c r="AB113" s="572"/>
      <c r="AC113" s="572"/>
      <c r="AD113" s="572"/>
      <c r="AE113" s="572"/>
    </row>
    <row s="12366" customFormat="1" customHeight="1" ht="11.25">
      <c r="A114" s="994"/>
      <c r="B114" s="1676"/>
      <c r="C114" s="1676"/>
      <c r="D114" s="347"/>
      <c r="K114" s="1168"/>
      <c r="L114" s="1676"/>
      <c r="M114" s="1676"/>
      <c r="N114" s="1168"/>
      <c r="O114" s="1168"/>
      <c r="P114" s="1168"/>
      <c r="Q114" s="1168"/>
      <c r="R114" s="1676"/>
      <c r="S114" s="1168"/>
      <c r="T114" s="1168"/>
      <c r="U114" s="550"/>
      <c r="V114" s="1168"/>
      <c r="W114" s="1168"/>
      <c r="X114" s="1168"/>
      <c r="Y114" s="1168"/>
      <c r="Z114" s="1168"/>
      <c r="AA114" s="1672"/>
      <c r="AB114" s="572"/>
      <c r="AC114" s="572"/>
      <c r="AD114" s="572"/>
      <c r="AE114" s="572"/>
    </row>
    <row s="12366" customFormat="1" customHeight="1" ht="11.25">
      <c r="A115" s="994"/>
      <c r="B115" s="1676"/>
      <c r="C115" s="1676"/>
      <c r="D115" s="347"/>
      <c r="K115" s="1168"/>
      <c r="L115" s="1676"/>
      <c r="M115" s="1676"/>
      <c r="N115" s="1168"/>
      <c r="O115" s="1168"/>
      <c r="P115" s="1168"/>
      <c r="Q115" s="1168"/>
      <c r="R115" s="1676"/>
      <c r="S115" s="1168"/>
      <c r="T115" s="1168"/>
      <c r="U115" s="550"/>
      <c r="V115" s="1168"/>
      <c r="W115" s="1168"/>
      <c r="X115" s="1168"/>
      <c r="Y115" s="1168"/>
      <c r="Z115" s="1168"/>
      <c r="AA115" s="1672"/>
      <c r="AB115" s="572"/>
      <c r="AC115" s="572"/>
      <c r="AD115" s="572"/>
      <c r="AE115" s="572"/>
    </row>
    <row s="12366" customFormat="1" customHeight="1" ht="11.25">
      <c r="A116" s="994"/>
      <c r="B116" s="1676"/>
      <c r="C116" s="1676"/>
      <c r="D116" s="347"/>
      <c r="K116" s="1168"/>
      <c r="L116" s="1676"/>
      <c r="M116" s="1676"/>
      <c r="N116" s="1168"/>
      <c r="O116" s="1168"/>
      <c r="P116" s="1168"/>
      <c r="Q116" s="1168"/>
      <c r="R116" s="1676"/>
      <c r="S116" s="1168"/>
      <c r="T116" s="1168"/>
      <c r="U116" s="550"/>
      <c r="V116" s="1168"/>
      <c r="W116" s="1168"/>
      <c r="X116" s="1168"/>
      <c r="Y116" s="1168"/>
      <c r="Z116" s="1168"/>
      <c r="AA116" s="1672"/>
      <c r="AB116" s="572"/>
      <c r="AC116" s="572"/>
      <c r="AD116" s="572"/>
      <c r="AE116" s="572"/>
    </row>
    <row s="12366" customFormat="1" customHeight="1" ht="11.25">
      <c r="A117" s="994"/>
      <c r="B117" s="1676"/>
      <c r="C117" s="1676"/>
      <c r="D117" s="347"/>
      <c r="K117" s="1168"/>
      <c r="L117" s="1676"/>
      <c r="M117" s="1676"/>
      <c r="N117" s="1168"/>
      <c r="O117" s="1168"/>
      <c r="P117" s="1168"/>
      <c r="Q117" s="1168"/>
      <c r="R117" s="1676"/>
      <c r="S117" s="1168"/>
      <c r="T117" s="1168"/>
      <c r="U117" s="550"/>
      <c r="V117" s="1168"/>
      <c r="W117" s="1168"/>
      <c r="X117" s="1168"/>
      <c r="Y117" s="1168"/>
      <c r="Z117" s="1168"/>
      <c r="AA117" s="1672"/>
      <c r="AB117" s="572"/>
      <c r="AC117" s="572"/>
      <c r="AD117" s="572"/>
      <c r="AE117" s="572"/>
    </row>
    <row s="12366" customFormat="1" customHeight="1" ht="11.25">
      <c r="A118" s="994"/>
      <c r="B118" s="1676"/>
      <c r="C118" s="1676"/>
      <c r="D118" s="347"/>
      <c r="K118" s="1168"/>
      <c r="L118" s="1676"/>
      <c r="M118" s="1676"/>
      <c r="N118" s="1168"/>
      <c r="O118" s="1168"/>
      <c r="P118" s="1168"/>
      <c r="Q118" s="1168"/>
      <c r="R118" s="1676"/>
      <c r="S118" s="1168"/>
      <c r="T118" s="1168"/>
      <c r="U118" s="550"/>
      <c r="V118" s="1168"/>
      <c r="W118" s="1168"/>
      <c r="X118" s="1168"/>
      <c r="Y118" s="1168"/>
      <c r="Z118" s="1168"/>
      <c r="AA118" s="1672"/>
      <c r="AB118" s="572"/>
      <c r="AC118" s="572"/>
      <c r="AD118" s="572"/>
      <c r="AE118" s="572"/>
    </row>
    <row s="12366" customFormat="1" customHeight="1" ht="11.25">
      <c r="A119" s="994"/>
      <c r="B119" s="1676"/>
      <c r="C119" s="1676"/>
      <c r="D119" s="347"/>
      <c r="K119" s="1168"/>
      <c r="L119" s="1676"/>
      <c r="M119" s="1676"/>
      <c r="N119" s="1168"/>
      <c r="O119" s="1168"/>
      <c r="P119" s="1168"/>
      <c r="Q119" s="1168"/>
      <c r="R119" s="1676"/>
      <c r="S119" s="1168"/>
      <c r="T119" s="1168"/>
      <c r="U119" s="550"/>
      <c r="V119" s="1168"/>
      <c r="W119" s="1168"/>
      <c r="X119" s="1168"/>
      <c r="Y119" s="1168"/>
      <c r="Z119" s="1168"/>
      <c r="AA119" s="1672"/>
      <c r="AB119" s="572"/>
      <c r="AC119" s="572"/>
      <c r="AD119" s="572"/>
      <c r="AE119" s="572"/>
    </row>
    <row s="12366" customFormat="1" customHeight="1" ht="11.25">
      <c r="A120" s="994"/>
      <c r="B120" s="1676"/>
      <c r="C120" s="1676"/>
      <c r="D120" s="347"/>
      <c r="K120" s="1168"/>
      <c r="L120" s="1676"/>
      <c r="M120" s="1676"/>
      <c r="N120" s="1168"/>
      <c r="O120" s="1168"/>
      <c r="P120" s="1168"/>
      <c r="Q120" s="1168"/>
      <c r="R120" s="1676"/>
      <c r="S120" s="1168"/>
      <c r="T120" s="1168"/>
      <c r="U120" s="550"/>
      <c r="V120" s="1168"/>
      <c r="W120" s="1168"/>
      <c r="X120" s="1168"/>
      <c r="Y120" s="1168"/>
      <c r="Z120" s="1168"/>
      <c r="AA120" s="1672"/>
      <c r="AB120" s="572"/>
      <c r="AC120" s="572"/>
      <c r="AD120" s="572"/>
      <c r="AE120" s="572"/>
    </row>
    <row s="12366" customFormat="1" customHeight="1" ht="11.25">
      <c r="A121" s="994"/>
      <c r="B121" s="1676"/>
      <c r="C121" s="1676"/>
      <c r="D121" s="347"/>
      <c r="K121" s="1168"/>
      <c r="L121" s="1676"/>
      <c r="M121" s="1676"/>
      <c r="N121" s="1168"/>
      <c r="O121" s="1168"/>
      <c r="P121" s="1168"/>
      <c r="Q121" s="1168"/>
      <c r="R121" s="1676"/>
      <c r="S121" s="1168"/>
      <c r="T121" s="1168"/>
      <c r="U121" s="550"/>
      <c r="V121" s="1168"/>
      <c r="W121" s="1168"/>
      <c r="X121" s="1168"/>
      <c r="Y121" s="1168"/>
      <c r="Z121" s="1168"/>
      <c r="AA121" s="1672"/>
      <c r="AB121" s="572"/>
      <c r="AC121" s="572"/>
      <c r="AD121" s="572"/>
      <c r="AE121" s="572"/>
    </row>
    <row s="12366" customFormat="1" customHeight="1" ht="11.25">
      <c r="A122" s="994"/>
      <c r="B122" s="1676"/>
      <c r="C122" s="1676"/>
      <c r="D122" s="347"/>
      <c r="K122" s="1168"/>
      <c r="L122" s="1676"/>
      <c r="M122" s="1676"/>
      <c r="N122" s="1168"/>
      <c r="O122" s="1168"/>
      <c r="P122" s="1168"/>
      <c r="Q122" s="1168"/>
      <c r="R122" s="1676"/>
      <c r="S122" s="1168"/>
      <c r="T122" s="1168"/>
      <c r="U122" s="550"/>
      <c r="V122" s="1168"/>
      <c r="W122" s="1168"/>
      <c r="X122" s="1168"/>
      <c r="Y122" s="1168"/>
      <c r="Z122" s="1168"/>
      <c r="AA122" s="1672"/>
      <c r="AB122" s="572"/>
      <c r="AC122" s="572"/>
      <c r="AD122" s="572"/>
      <c r="AE122" s="572"/>
    </row>
    <row s="12366" customFormat="1" customHeight="1" ht="11.25">
      <c r="A123" s="994"/>
      <c r="B123" s="1676"/>
      <c r="C123" s="1676"/>
      <c r="D123" s="347"/>
      <c r="K123" s="1168"/>
      <c r="L123" s="1676"/>
      <c r="M123" s="1676"/>
      <c r="N123" s="1168"/>
      <c r="O123" s="1168"/>
      <c r="P123" s="1168"/>
      <c r="Q123" s="1168"/>
      <c r="R123" s="1676"/>
      <c r="S123" s="1168"/>
      <c r="T123" s="1168"/>
      <c r="U123" s="550"/>
      <c r="V123" s="1168"/>
      <c r="W123" s="1168"/>
      <c r="X123" s="1168"/>
      <c r="Y123" s="1168"/>
      <c r="Z123" s="1168"/>
      <c r="AA123" s="1672"/>
      <c r="AB123" s="572"/>
      <c r="AC123" s="572"/>
      <c r="AD123" s="572"/>
      <c r="AE123" s="572"/>
    </row>
    <row s="12366" customFormat="1" customHeight="1" ht="11.25">
      <c r="A124" s="994"/>
      <c r="B124" s="1676"/>
      <c r="C124" s="1676"/>
      <c r="D124" s="347"/>
      <c r="K124" s="1168"/>
      <c r="L124" s="1676"/>
      <c r="M124" s="1676"/>
      <c r="N124" s="1168"/>
      <c r="O124" s="1168"/>
      <c r="P124" s="1168"/>
      <c r="Q124" s="1168"/>
      <c r="R124" s="1676"/>
      <c r="S124" s="1168"/>
      <c r="T124" s="1168"/>
      <c r="U124" s="550"/>
      <c r="V124" s="1168"/>
      <c r="W124" s="1168"/>
      <c r="X124" s="1168"/>
      <c r="Y124" s="1168"/>
      <c r="Z124" s="1168"/>
      <c r="AA124" s="1672"/>
      <c r="AB124" s="572"/>
      <c r="AC124" s="572"/>
      <c r="AD124" s="572"/>
      <c r="AE124" s="572"/>
    </row>
    <row s="12366" customFormat="1" customHeight="1" ht="11.25">
      <c r="A125" s="994"/>
      <c r="B125" s="1676"/>
      <c r="C125" s="1676"/>
      <c r="D125" s="347"/>
      <c r="K125" s="1168"/>
      <c r="L125" s="1676"/>
      <c r="M125" s="1676"/>
      <c r="N125" s="1168"/>
      <c r="O125" s="1168"/>
      <c r="P125" s="1168"/>
      <c r="Q125" s="1168"/>
      <c r="R125" s="1676"/>
      <c r="S125" s="1168"/>
      <c r="T125" s="1168"/>
      <c r="U125" s="550"/>
      <c r="V125" s="1168"/>
      <c r="W125" s="1168"/>
      <c r="X125" s="1168"/>
      <c r="Y125" s="1168"/>
      <c r="Z125" s="1168"/>
      <c r="AA125" s="1672"/>
      <c r="AB125" s="572"/>
      <c r="AC125" s="572"/>
      <c r="AD125" s="572"/>
      <c r="AE125" s="572"/>
    </row>
    <row s="12366" customFormat="1" customHeight="1" ht="11.25">
      <c r="A126" s="994"/>
      <c r="B126" s="1676"/>
      <c r="C126" s="1676"/>
      <c r="D126" s="347"/>
      <c r="K126" s="1168"/>
      <c r="L126" s="1676"/>
      <c r="M126" s="1676"/>
      <c r="N126" s="1168"/>
      <c r="O126" s="1168"/>
      <c r="P126" s="1168"/>
      <c r="Q126" s="1168"/>
      <c r="R126" s="1676"/>
      <c r="S126" s="1168"/>
      <c r="T126" s="1168"/>
      <c r="U126" s="550"/>
      <c r="V126" s="1168"/>
      <c r="W126" s="1168"/>
      <c r="X126" s="1168"/>
      <c r="Y126" s="1168"/>
      <c r="Z126" s="1168"/>
      <c r="AA126" s="1672"/>
      <c r="AB126" s="572"/>
      <c r="AC126" s="572"/>
      <c r="AD126" s="572"/>
      <c r="AE126" s="572"/>
    </row>
    <row s="12366" customFormat="1" customHeight="1" ht="11.25">
      <c r="A127" s="994"/>
      <c r="B127" s="1676"/>
      <c r="C127" s="1676"/>
      <c r="D127" s="347"/>
      <c r="K127" s="1168"/>
      <c r="L127" s="1676"/>
      <c r="M127" s="1676"/>
      <c r="N127" s="1168"/>
      <c r="O127" s="1168"/>
      <c r="P127" s="1168"/>
      <c r="Q127" s="1168"/>
      <c r="R127" s="1676"/>
      <c r="S127" s="1168"/>
      <c r="T127" s="1168"/>
      <c r="U127" s="550"/>
      <c r="V127" s="1168"/>
      <c r="W127" s="1168"/>
      <c r="X127" s="1168"/>
      <c r="Y127" s="1168"/>
      <c r="Z127" s="1168"/>
      <c r="AA127" s="1672"/>
      <c r="AB127" s="572"/>
      <c r="AC127" s="572"/>
      <c r="AD127" s="572"/>
      <c r="AE127" s="572"/>
    </row>
    <row s="12366" customFormat="1" customHeight="1" ht="11.25">
      <c r="A128" s="994"/>
      <c r="B128" s="1676"/>
      <c r="C128" s="1676"/>
      <c r="D128" s="347"/>
      <c r="K128" s="1168"/>
      <c r="L128" s="1676"/>
      <c r="M128" s="1676"/>
      <c r="N128" s="1168"/>
      <c r="O128" s="1168"/>
      <c r="P128" s="1168"/>
      <c r="Q128" s="1168"/>
      <c r="R128" s="1676"/>
      <c r="S128" s="1168"/>
      <c r="T128" s="1168"/>
      <c r="U128" s="550"/>
      <c r="V128" s="1168"/>
      <c r="W128" s="1168"/>
      <c r="X128" s="1168"/>
      <c r="Y128" s="1168"/>
      <c r="Z128" s="1168"/>
      <c r="AA128" s="1672"/>
      <c r="AB128" s="572"/>
      <c r="AC128" s="572"/>
      <c r="AD128" s="572"/>
      <c r="AE128" s="572"/>
    </row>
    <row s="12366" customFormat="1" customHeight="1" ht="11.25">
      <c r="A129" s="994"/>
      <c r="B129" s="1676"/>
      <c r="C129" s="1676"/>
      <c r="D129" s="347"/>
      <c r="K129" s="1168"/>
      <c r="L129" s="1676"/>
      <c r="M129" s="1676"/>
      <c r="N129" s="1168"/>
      <c r="O129" s="1168"/>
      <c r="P129" s="1168"/>
      <c r="Q129" s="1168"/>
      <c r="R129" s="1676"/>
      <c r="S129" s="1168"/>
      <c r="T129" s="1168"/>
      <c r="U129" s="550"/>
      <c r="V129" s="1168"/>
      <c r="W129" s="1168"/>
      <c r="X129" s="1168"/>
      <c r="Y129" s="1168"/>
      <c r="Z129" s="1168"/>
      <c r="AA129" s="1672"/>
      <c r="AB129" s="572"/>
      <c r="AC129" s="572"/>
      <c r="AD129" s="572"/>
      <c r="AE129" s="572"/>
    </row>
    <row s="12366" customFormat="1" customHeight="1" ht="11.25">
      <c r="A130" s="994"/>
      <c r="B130" s="1676"/>
      <c r="C130" s="1676"/>
      <c r="D130" s="347"/>
      <c r="K130" s="1168"/>
      <c r="L130" s="1676"/>
      <c r="M130" s="1676"/>
      <c r="N130" s="1168"/>
      <c r="O130" s="1168"/>
      <c r="P130" s="1168"/>
      <c r="Q130" s="1168"/>
      <c r="R130" s="1676"/>
      <c r="S130" s="1168"/>
      <c r="T130" s="1168"/>
      <c r="U130" s="550"/>
      <c r="V130" s="1168"/>
      <c r="W130" s="1168"/>
      <c r="X130" s="1168"/>
      <c r="Y130" s="1168"/>
      <c r="Z130" s="1168"/>
      <c r="AA130" s="1672"/>
      <c r="AB130" s="572"/>
      <c r="AC130" s="572"/>
      <c r="AD130" s="572"/>
      <c r="AE130" s="572"/>
    </row>
    <row s="12366" customFormat="1" customHeight="1" ht="11.25">
      <c r="A131" s="994"/>
      <c r="B131" s="1676"/>
      <c r="C131" s="1676"/>
      <c r="D131" s="347"/>
      <c r="K131" s="1168"/>
      <c r="L131" s="1676"/>
      <c r="M131" s="1676"/>
      <c r="N131" s="1168"/>
      <c r="O131" s="1168"/>
      <c r="P131" s="1168"/>
      <c r="Q131" s="1168"/>
      <c r="R131" s="1676"/>
      <c r="S131" s="1168"/>
      <c r="T131" s="1168"/>
      <c r="U131" s="550"/>
      <c r="V131" s="1168"/>
      <c r="W131" s="1168"/>
      <c r="X131" s="1168"/>
      <c r="Y131" s="1168"/>
      <c r="Z131" s="1168"/>
      <c r="AA131" s="1672"/>
      <c r="AB131" s="572"/>
      <c r="AC131" s="572"/>
      <c r="AD131" s="572"/>
      <c r="AE131" s="572"/>
    </row>
    <row s="12366" customFormat="1" customHeight="1" ht="11.25">
      <c r="A132" s="994"/>
      <c r="B132" s="1676"/>
      <c r="C132" s="1676"/>
      <c r="D132" s="347"/>
      <c r="K132" s="1168"/>
      <c r="L132" s="1676"/>
      <c r="M132" s="1676"/>
      <c r="N132" s="1168"/>
      <c r="O132" s="1168"/>
      <c r="P132" s="1168"/>
      <c r="Q132" s="1168"/>
      <c r="R132" s="1676"/>
      <c r="S132" s="1168"/>
      <c r="T132" s="1168"/>
      <c r="U132" s="550"/>
      <c r="V132" s="1168"/>
      <c r="W132" s="1168"/>
      <c r="X132" s="1168"/>
      <c r="Y132" s="1168"/>
      <c r="Z132" s="1168"/>
      <c r="AA132" s="1672"/>
      <c r="AB132" s="572"/>
      <c r="AC132" s="572"/>
      <c r="AD132" s="572"/>
      <c r="AE132" s="572"/>
    </row>
    <row s="12366" customFormat="1" customHeight="1" ht="11.25">
      <c r="A133" s="994"/>
      <c r="B133" s="1676"/>
      <c r="C133" s="1676"/>
      <c r="D133" s="347"/>
      <c r="K133" s="1168"/>
      <c r="L133" s="1676"/>
      <c r="M133" s="1676"/>
      <c r="N133" s="1168"/>
      <c r="O133" s="1168"/>
      <c r="P133" s="1168"/>
      <c r="Q133" s="1168"/>
      <c r="R133" s="1676"/>
      <c r="S133" s="1168"/>
      <c r="T133" s="1168"/>
      <c r="U133" s="550"/>
      <c r="V133" s="1168"/>
      <c r="W133" s="1168"/>
      <c r="X133" s="1168"/>
      <c r="Y133" s="1168"/>
      <c r="Z133" s="1168"/>
      <c r="AA133" s="1672"/>
      <c r="AB133" s="572"/>
      <c r="AC133" s="572"/>
      <c r="AD133" s="572"/>
      <c r="AE133" s="572"/>
    </row>
    <row s="12366" customFormat="1" customHeight="1" ht="11.25">
      <c r="A134" s="994"/>
      <c r="B134" s="1676"/>
      <c r="C134" s="1676"/>
      <c r="D134" s="347"/>
      <c r="K134" s="1168"/>
      <c r="L134" s="1676"/>
      <c r="M134" s="1676"/>
      <c r="N134" s="1168"/>
      <c r="O134" s="1168"/>
      <c r="P134" s="1168"/>
      <c r="Q134" s="1168"/>
      <c r="R134" s="1676"/>
      <c r="S134" s="1168"/>
      <c r="T134" s="1168"/>
      <c r="U134" s="550"/>
      <c r="V134" s="1168"/>
      <c r="W134" s="1168"/>
      <c r="X134" s="1168"/>
      <c r="Y134" s="1168"/>
      <c r="Z134" s="1168"/>
      <c r="AA134" s="1672"/>
      <c r="AB134" s="572"/>
      <c r="AC134" s="572"/>
      <c r="AD134" s="572"/>
      <c r="AE134" s="572"/>
    </row>
    <row s="12366" customFormat="1" customHeight="1" ht="11.25">
      <c r="A135" s="994"/>
      <c r="B135" s="1676"/>
      <c r="C135" s="1676"/>
      <c r="D135" s="347"/>
      <c r="K135" s="1168"/>
      <c r="L135" s="1676"/>
      <c r="M135" s="1676"/>
      <c r="N135" s="1168"/>
      <c r="O135" s="1168"/>
      <c r="P135" s="1168"/>
      <c r="Q135" s="1168"/>
      <c r="R135" s="1676"/>
      <c r="S135" s="1168"/>
      <c r="T135" s="1168"/>
      <c r="U135" s="550"/>
      <c r="V135" s="1168"/>
      <c r="W135" s="1168"/>
      <c r="X135" s="1168"/>
      <c r="Y135" s="1168"/>
      <c r="Z135" s="1168"/>
      <c r="AA135" s="1672"/>
      <c r="AB135" s="572"/>
      <c r="AC135" s="572"/>
      <c r="AD135" s="572"/>
      <c r="AE135" s="572"/>
    </row>
    <row s="12366" customFormat="1" customHeight="1" ht="11.25">
      <c r="A136" s="994"/>
      <c r="B136" s="1676"/>
      <c r="C136" s="1676"/>
      <c r="D136" s="347"/>
      <c r="K136" s="1168"/>
      <c r="L136" s="1676"/>
      <c r="M136" s="1676"/>
      <c r="N136" s="1168"/>
      <c r="O136" s="1168"/>
      <c r="P136" s="1168"/>
      <c r="Q136" s="1168"/>
      <c r="R136" s="1676"/>
      <c r="S136" s="1168"/>
      <c r="T136" s="1168"/>
      <c r="U136" s="550"/>
      <c r="V136" s="1168"/>
      <c r="W136" s="1168"/>
      <c r="X136" s="1168"/>
      <c r="Y136" s="1168"/>
      <c r="Z136" s="1168"/>
      <c r="AA136" s="1672"/>
      <c r="AB136" s="572"/>
      <c r="AC136" s="572"/>
      <c r="AD136" s="572"/>
      <c r="AE136" s="572"/>
    </row>
    <row s="12366" customFormat="1" customHeight="1" ht="11.25">
      <c r="A137" s="994"/>
      <c r="B137" s="1676"/>
      <c r="C137" s="1676"/>
      <c r="D137" s="347"/>
      <c r="K137" s="1168"/>
      <c r="L137" s="1676"/>
      <c r="M137" s="1676"/>
      <c r="N137" s="1168"/>
      <c r="O137" s="1168"/>
      <c r="P137" s="1168"/>
      <c r="Q137" s="1168"/>
      <c r="R137" s="1676"/>
      <c r="S137" s="1168"/>
      <c r="T137" s="1168"/>
      <c r="U137" s="550"/>
      <c r="V137" s="1168"/>
      <c r="W137" s="1168"/>
      <c r="X137" s="1168"/>
      <c r="Y137" s="1168"/>
      <c r="Z137" s="1168"/>
      <c r="AA137" s="1672"/>
      <c r="AB137" s="572"/>
      <c r="AC137" s="572"/>
      <c r="AD137" s="572"/>
      <c r="AE137" s="572"/>
    </row>
    <row s="12366" customFormat="1" customHeight="1" ht="11.25">
      <c r="A138" s="994"/>
      <c r="B138" s="1676"/>
      <c r="C138" s="1676"/>
      <c r="D138" s="347"/>
      <c r="K138" s="1168"/>
      <c r="L138" s="1676"/>
      <c r="M138" s="1676"/>
      <c r="N138" s="1168"/>
      <c r="O138" s="1168"/>
      <c r="P138" s="1168"/>
      <c r="Q138" s="1168"/>
      <c r="R138" s="1676"/>
      <c r="S138" s="1168"/>
      <c r="T138" s="1168"/>
      <c r="U138" s="550"/>
      <c r="V138" s="1168"/>
      <c r="W138" s="1168"/>
      <c r="X138" s="1168"/>
      <c r="Y138" s="1168"/>
      <c r="Z138" s="1168"/>
      <c r="AA138" s="1672"/>
      <c r="AB138" s="572"/>
      <c r="AC138" s="572"/>
      <c r="AD138" s="572"/>
      <c r="AE138" s="572"/>
    </row>
    <row s="12366" customFormat="1" customHeight="1" ht="11.25">
      <c r="A139" s="994"/>
      <c r="B139" s="1676"/>
      <c r="C139" s="1676"/>
      <c r="D139" s="347"/>
      <c r="K139" s="1168"/>
      <c r="L139" s="1676"/>
      <c r="M139" s="1676"/>
      <c r="N139" s="1168"/>
      <c r="O139" s="1168"/>
      <c r="P139" s="1168"/>
      <c r="Q139" s="1168"/>
      <c r="R139" s="1676"/>
      <c r="S139" s="1168"/>
      <c r="T139" s="1168"/>
      <c r="U139" s="550"/>
      <c r="V139" s="1168"/>
      <c r="W139" s="1168"/>
      <c r="X139" s="1168"/>
      <c r="Y139" s="1168"/>
      <c r="Z139" s="1168"/>
      <c r="AA139" s="1672"/>
      <c r="AB139" s="572"/>
      <c r="AC139" s="572"/>
      <c r="AD139" s="572"/>
      <c r="AE139" s="572"/>
    </row>
    <row s="12366" customFormat="1" customHeight="1" ht="11.25">
      <c r="A140" s="994"/>
      <c r="B140" s="1676"/>
      <c r="C140" s="1676"/>
      <c r="D140" s="347"/>
      <c r="K140" s="1168"/>
      <c r="L140" s="1676"/>
      <c r="M140" s="1676"/>
      <c r="N140" s="1168"/>
      <c r="O140" s="1168"/>
      <c r="P140" s="1168"/>
      <c r="Q140" s="1168"/>
      <c r="R140" s="1676"/>
      <c r="S140" s="1168"/>
      <c r="T140" s="1168"/>
      <c r="U140" s="550"/>
      <c r="V140" s="1168"/>
      <c r="W140" s="1168"/>
      <c r="X140" s="1168"/>
      <c r="Y140" s="1168"/>
      <c r="Z140" s="1168"/>
      <c r="AA140" s="1672"/>
      <c r="AB140" s="572"/>
      <c r="AC140" s="572"/>
      <c r="AD140" s="572"/>
      <c r="AE140" s="572"/>
    </row>
    <row s="12366" customFormat="1" customHeight="1" ht="11.25">
      <c r="A141" s="994"/>
      <c r="B141" s="1676"/>
      <c r="C141" s="1676"/>
      <c r="D141" s="347"/>
      <c r="K141" s="1168"/>
      <c r="L141" s="1676"/>
      <c r="M141" s="1676"/>
      <c r="N141" s="1168"/>
      <c r="O141" s="1168"/>
      <c r="P141" s="1168"/>
      <c r="Q141" s="1168"/>
      <c r="R141" s="1676"/>
      <c r="S141" s="1168"/>
      <c r="T141" s="1168"/>
      <c r="U141" s="550"/>
      <c r="V141" s="1168"/>
      <c r="W141" s="1168"/>
      <c r="X141" s="1168"/>
      <c r="Y141" s="1168"/>
      <c r="Z141" s="1168"/>
      <c r="AA141" s="1672"/>
      <c r="AB141" s="572"/>
      <c r="AC141" s="572"/>
      <c r="AD141" s="572"/>
      <c r="AE141" s="572"/>
    </row>
    <row s="12366" customFormat="1" customHeight="1" ht="11.25">
      <c r="A142" s="994"/>
      <c r="B142" s="1676"/>
      <c r="C142" s="1676"/>
      <c r="D142" s="347"/>
      <c r="K142" s="1168"/>
      <c r="L142" s="1676"/>
      <c r="M142" s="1676"/>
      <c r="N142" s="1168"/>
      <c r="O142" s="1168"/>
      <c r="P142" s="1168"/>
      <c r="Q142" s="1168"/>
      <c r="R142" s="1676"/>
      <c r="S142" s="1168"/>
      <c r="T142" s="1168"/>
      <c r="U142" s="550"/>
      <c r="V142" s="1168"/>
      <c r="W142" s="1168"/>
      <c r="X142" s="1168"/>
      <c r="Y142" s="1168"/>
      <c r="Z142" s="1168"/>
      <c r="AA142" s="1672"/>
      <c r="AB142" s="572"/>
      <c r="AC142" s="572"/>
      <c r="AD142" s="572"/>
      <c r="AE142" s="572"/>
    </row>
    <row s="12366" customFormat="1" customHeight="1" ht="11.25">
      <c r="A143" s="994"/>
      <c r="B143" s="1676"/>
      <c r="C143" s="1676"/>
      <c r="D143" s="347"/>
      <c r="K143" s="1168"/>
      <c r="L143" s="1676"/>
      <c r="M143" s="1676"/>
      <c r="N143" s="1168"/>
      <c r="O143" s="1168"/>
      <c r="P143" s="1168"/>
      <c r="Q143" s="1168"/>
      <c r="R143" s="1676"/>
      <c r="S143" s="1168"/>
      <c r="T143" s="1168"/>
      <c r="U143" s="550"/>
      <c r="V143" s="1168"/>
      <c r="W143" s="1168"/>
      <c r="X143" s="1168"/>
      <c r="Y143" s="1168"/>
      <c r="Z143" s="1168"/>
      <c r="AA143" s="1672"/>
      <c r="AB143" s="572"/>
      <c r="AC143" s="572"/>
      <c r="AD143" s="572"/>
      <c r="AE143" s="572"/>
    </row>
    <row s="12366" customFormat="1" customHeight="1" ht="11.25">
      <c r="A144" s="994"/>
      <c r="B144" s="1676"/>
      <c r="C144" s="1676"/>
      <c r="D144" s="347"/>
      <c r="K144" s="1168"/>
      <c r="L144" s="1676"/>
      <c r="M144" s="1676"/>
      <c r="N144" s="1168"/>
      <c r="O144" s="1168"/>
      <c r="P144" s="1168"/>
      <c r="Q144" s="1168"/>
      <c r="R144" s="1676"/>
      <c r="S144" s="1168"/>
      <c r="T144" s="1168"/>
      <c r="U144" s="550"/>
      <c r="V144" s="1168"/>
      <c r="W144" s="1168"/>
      <c r="X144" s="1168"/>
      <c r="Y144" s="1168"/>
      <c r="Z144" s="1168"/>
      <c r="AA144" s="1672"/>
      <c r="AB144" s="572"/>
      <c r="AC144" s="572"/>
      <c r="AD144" s="572"/>
      <c r="AE144" s="572"/>
    </row>
    <row s="12366" customFormat="1" customHeight="1" ht="11.25">
      <c r="A145" s="994"/>
      <c r="B145" s="1676"/>
      <c r="C145" s="1676"/>
      <c r="D145" s="347"/>
      <c r="K145" s="1168"/>
      <c r="L145" s="1676"/>
      <c r="M145" s="1676"/>
      <c r="N145" s="1168"/>
      <c r="O145" s="1168"/>
      <c r="P145" s="1168"/>
      <c r="Q145" s="1168"/>
      <c r="R145" s="1676"/>
      <c r="S145" s="1168"/>
      <c r="T145" s="1168"/>
      <c r="U145" s="550"/>
      <c r="V145" s="1168"/>
      <c r="W145" s="1168"/>
      <c r="X145" s="1168"/>
      <c r="Y145" s="1168"/>
      <c r="Z145" s="1168"/>
      <c r="AA145" s="1672"/>
      <c r="AB145" s="572"/>
      <c r="AC145" s="572"/>
      <c r="AD145" s="572"/>
      <c r="AE145" s="572"/>
    </row>
    <row s="12366" customFormat="1" customHeight="1" ht="11.25">
      <c r="A146" s="994"/>
      <c r="B146" s="1676"/>
      <c r="C146" s="1676"/>
      <c r="D146" s="347"/>
      <c r="K146" s="1168"/>
      <c r="L146" s="1676"/>
      <c r="M146" s="1676"/>
      <c r="N146" s="1168"/>
      <c r="O146" s="1168"/>
      <c r="P146" s="1168"/>
      <c r="Q146" s="1168"/>
      <c r="R146" s="1676"/>
      <c r="S146" s="1168"/>
      <c r="T146" s="1168"/>
      <c r="U146" s="550"/>
      <c r="V146" s="1168"/>
      <c r="W146" s="1168"/>
      <c r="X146" s="1168"/>
      <c r="Y146" s="1168"/>
      <c r="Z146" s="1168"/>
      <c r="AA146" s="1672"/>
      <c r="AB146" s="572"/>
      <c r="AC146" s="572"/>
      <c r="AD146" s="572"/>
      <c r="AE146" s="572"/>
    </row>
    <row s="12366" customFormat="1" customHeight="1" ht="11.25">
      <c r="A147" s="994"/>
      <c r="B147" s="1676"/>
      <c r="C147" s="1676"/>
      <c r="D147" s="347"/>
      <c r="K147" s="1168"/>
      <c r="L147" s="1676"/>
      <c r="M147" s="1676"/>
      <c r="N147" s="1168"/>
      <c r="O147" s="1168"/>
      <c r="P147" s="1168"/>
      <c r="Q147" s="1168"/>
      <c r="R147" s="1676"/>
      <c r="S147" s="1168"/>
      <c r="T147" s="1168"/>
      <c r="U147" s="550"/>
      <c r="V147" s="1168"/>
      <c r="W147" s="1168"/>
      <c r="X147" s="1168"/>
      <c r="Y147" s="1168"/>
      <c r="Z147" s="1168"/>
      <c r="AA147" s="1672"/>
      <c r="AB147" s="572"/>
      <c r="AC147" s="572"/>
      <c r="AD147" s="572"/>
      <c r="AE147" s="572"/>
    </row>
    <row s="12366" customFormat="1" customHeight="1" ht="11.25">
      <c r="A148" s="994"/>
      <c r="B148" s="1676"/>
      <c r="C148" s="1676"/>
      <c r="D148" s="347"/>
      <c r="K148" s="1168"/>
      <c r="L148" s="1676"/>
      <c r="M148" s="1676"/>
      <c r="N148" s="1168"/>
      <c r="O148" s="1168"/>
      <c r="P148" s="1168"/>
      <c r="Q148" s="1168"/>
      <c r="R148" s="1676"/>
      <c r="S148" s="1168"/>
      <c r="T148" s="1168"/>
      <c r="U148" s="550"/>
      <c r="V148" s="1168"/>
      <c r="W148" s="1168"/>
      <c r="X148" s="1168"/>
      <c r="Y148" s="1168"/>
      <c r="Z148" s="1168"/>
      <c r="AA148" s="1672"/>
      <c r="AB148" s="572"/>
      <c r="AC148" s="572"/>
      <c r="AD148" s="572"/>
      <c r="AE148" s="572"/>
    </row>
    <row s="12366" customFormat="1" customHeight="1" ht="11.25">
      <c r="A149" s="994"/>
      <c r="B149" s="1676"/>
      <c r="C149" s="1676"/>
      <c r="D149" s="347"/>
      <c r="K149" s="1168"/>
      <c r="L149" s="1676"/>
      <c r="M149" s="1676"/>
      <c r="N149" s="1168"/>
      <c r="O149" s="1168"/>
      <c r="P149" s="1168"/>
      <c r="Q149" s="1168"/>
      <c r="R149" s="1676"/>
      <c r="S149" s="1168"/>
      <c r="T149" s="1168"/>
      <c r="U149" s="550"/>
      <c r="V149" s="1168"/>
      <c r="W149" s="1168"/>
      <c r="X149" s="1168"/>
      <c r="Y149" s="1168"/>
      <c r="Z149" s="1168"/>
      <c r="AA149" s="1672"/>
      <c r="AB149" s="572"/>
      <c r="AC149" s="572"/>
      <c r="AD149" s="572"/>
      <c r="AE149" s="572"/>
    </row>
    <row s="12366" customFormat="1" customHeight="1" ht="11.25">
      <c r="A150" s="994"/>
      <c r="B150" s="1676"/>
      <c r="C150" s="1676"/>
      <c r="D150" s="347"/>
      <c r="K150" s="1168"/>
      <c r="L150" s="1676"/>
      <c r="M150" s="1676"/>
      <c r="N150" s="1168"/>
      <c r="O150" s="1168"/>
      <c r="P150" s="1168"/>
      <c r="Q150" s="1168"/>
      <c r="R150" s="1676"/>
      <c r="S150" s="1168"/>
      <c r="T150" s="1168"/>
      <c r="U150" s="550"/>
      <c r="V150" s="1168"/>
      <c r="W150" s="1168"/>
      <c r="X150" s="1168"/>
      <c r="Y150" s="1168"/>
      <c r="Z150" s="1168"/>
      <c r="AA150" s="1672"/>
      <c r="AB150" s="572"/>
      <c r="AC150" s="572"/>
      <c r="AD150" s="572"/>
      <c r="AE150" s="572"/>
    </row>
    <row s="12366" customFormat="1" customHeight="1" ht="11.25">
      <c r="A151" s="994"/>
      <c r="B151" s="1676"/>
      <c r="C151" s="1676"/>
      <c r="D151" s="347"/>
      <c r="K151" s="1168"/>
      <c r="L151" s="1676"/>
      <c r="M151" s="1676"/>
      <c r="N151" s="1168"/>
      <c r="O151" s="1168"/>
      <c r="P151" s="1168"/>
      <c r="Q151" s="1168"/>
      <c r="R151" s="1676"/>
      <c r="S151" s="1168"/>
      <c r="T151" s="1168"/>
      <c r="U151" s="550"/>
      <c r="V151" s="1168"/>
      <c r="W151" s="1168"/>
      <c r="X151" s="1168"/>
      <c r="Y151" s="1168"/>
      <c r="Z151" s="1168"/>
      <c r="AA151" s="1672"/>
      <c r="AB151" s="572"/>
      <c r="AC151" s="572"/>
      <c r="AD151" s="572"/>
      <c r="AE151" s="572"/>
    </row>
    <row s="12366" customFormat="1" customHeight="1" ht="11.25">
      <c r="A152" s="994"/>
      <c r="B152" s="1676"/>
      <c r="C152" s="1676"/>
      <c r="D152" s="347"/>
      <c r="K152" s="1168"/>
      <c r="L152" s="1676"/>
      <c r="M152" s="1676"/>
      <c r="N152" s="1168"/>
      <c r="O152" s="1168"/>
      <c r="P152" s="1168"/>
      <c r="Q152" s="1168"/>
      <c r="R152" s="1676"/>
      <c r="S152" s="1168"/>
      <c r="T152" s="1168"/>
      <c r="U152" s="550"/>
      <c r="V152" s="1168"/>
      <c r="W152" s="1168"/>
      <c r="X152" s="1168"/>
      <c r="Y152" s="1168"/>
      <c r="Z152" s="1168"/>
      <c r="AA152" s="1672"/>
      <c r="AB152" s="572"/>
      <c r="AC152" s="572"/>
      <c r="AD152" s="572"/>
      <c r="AE152" s="572"/>
    </row>
    <row s="12366" customFormat="1" customHeight="1" ht="11.25">
      <c r="A153" s="994"/>
      <c r="B153" s="1676"/>
      <c r="C153" s="1676"/>
      <c r="D153" s="347"/>
      <c r="K153" s="1168"/>
      <c r="L153" s="1676"/>
      <c r="M153" s="1676"/>
      <c r="N153" s="1168"/>
      <c r="O153" s="1168"/>
      <c r="P153" s="1168"/>
      <c r="Q153" s="1168"/>
      <c r="R153" s="1676"/>
      <c r="S153" s="1168"/>
      <c r="T153" s="1168"/>
      <c r="U153" s="550"/>
      <c r="V153" s="1168"/>
      <c r="W153" s="1168"/>
      <c r="X153" s="1168"/>
      <c r="Y153" s="1168"/>
      <c r="Z153" s="1168"/>
      <c r="AA153" s="1672"/>
      <c r="AB153" s="572"/>
      <c r="AC153" s="572"/>
      <c r="AD153" s="572"/>
      <c r="AE153" s="572"/>
    </row>
    <row s="12366" customFormat="1" customHeight="1" ht="11.25">
      <c r="A154" s="994"/>
      <c r="B154" s="1676"/>
      <c r="C154" s="1676"/>
      <c r="D154" s="347"/>
      <c r="K154" s="1168"/>
      <c r="L154" s="1676"/>
      <c r="M154" s="1676"/>
      <c r="N154" s="1168"/>
      <c r="O154" s="1168"/>
      <c r="P154" s="1168"/>
      <c r="Q154" s="1168"/>
      <c r="R154" s="1676"/>
      <c r="S154" s="1168"/>
      <c r="T154" s="1168"/>
      <c r="U154" s="550"/>
      <c r="V154" s="1168"/>
      <c r="W154" s="1168"/>
      <c r="X154" s="1168"/>
      <c r="Y154" s="1168"/>
      <c r="Z154" s="1168"/>
      <c r="AA154" s="1672"/>
      <c r="AB154" s="572"/>
      <c r="AC154" s="572"/>
      <c r="AD154" s="572"/>
      <c r="AE154" s="572"/>
    </row>
    <row s="12366" customFormat="1" customHeight="1" ht="11.25">
      <c r="A155" s="994"/>
      <c r="B155" s="1676"/>
      <c r="C155" s="1676"/>
      <c r="D155" s="347"/>
      <c r="K155" s="1168"/>
      <c r="L155" s="1676"/>
      <c r="M155" s="1676"/>
      <c r="N155" s="1168"/>
      <c r="O155" s="1168"/>
      <c r="P155" s="1168"/>
      <c r="Q155" s="1168"/>
      <c r="R155" s="1676"/>
      <c r="S155" s="1168"/>
      <c r="T155" s="1168"/>
      <c r="U155" s="550"/>
      <c r="V155" s="1168"/>
      <c r="W155" s="1168"/>
      <c r="X155" s="1168"/>
      <c r="Y155" s="1168"/>
      <c r="Z155" s="1168"/>
      <c r="AA155" s="1672"/>
      <c r="AB155" s="572"/>
      <c r="AC155" s="572"/>
      <c r="AD155" s="572"/>
      <c r="AE155" s="572"/>
    </row>
    <row s="12366" customFormat="1" customHeight="1" ht="11.25">
      <c r="A156" s="994"/>
      <c r="B156" s="1676"/>
      <c r="C156" s="1676"/>
      <c r="D156" s="347"/>
      <c r="K156" s="1168"/>
      <c r="L156" s="1676"/>
      <c r="M156" s="1676"/>
      <c r="N156" s="1168"/>
      <c r="O156" s="1168"/>
      <c r="P156" s="1168"/>
      <c r="Q156" s="1168"/>
      <c r="R156" s="1676"/>
      <c r="S156" s="1168"/>
      <c r="T156" s="1168"/>
      <c r="U156" s="550"/>
      <c r="V156" s="1168"/>
      <c r="W156" s="1168"/>
      <c r="X156" s="1168"/>
      <c r="Y156" s="1168"/>
      <c r="Z156" s="1168"/>
      <c r="AA156" s="1672"/>
      <c r="AB156" s="572"/>
      <c r="AC156" s="572"/>
      <c r="AD156" s="572"/>
      <c r="AE156" s="572"/>
    </row>
    <row s="12366" customFormat="1" customHeight="1" ht="11.25">
      <c r="A157" s="994"/>
      <c r="B157" s="1676"/>
      <c r="C157" s="1676"/>
      <c r="D157" s="347"/>
      <c r="K157" s="1168"/>
      <c r="L157" s="1676"/>
      <c r="M157" s="1676"/>
      <c r="N157" s="1168"/>
      <c r="O157" s="1168"/>
      <c r="P157" s="1168"/>
      <c r="Q157" s="1168"/>
      <c r="R157" s="1676"/>
      <c r="S157" s="1168"/>
      <c r="T157" s="1168"/>
      <c r="U157" s="550"/>
      <c r="V157" s="1168"/>
      <c r="W157" s="1168"/>
      <c r="X157" s="1168"/>
      <c r="Y157" s="1168"/>
      <c r="Z157" s="1168"/>
      <c r="AA157" s="1672"/>
      <c r="AB157" s="572"/>
      <c r="AC157" s="572"/>
      <c r="AD157" s="572"/>
      <c r="AE157" s="572"/>
    </row>
    <row s="12366" customFormat="1" customHeight="1" ht="11.25">
      <c r="A158" s="994"/>
      <c r="B158" s="1676"/>
      <c r="C158" s="1676"/>
      <c r="D158" s="347"/>
      <c r="K158" s="1168"/>
      <c r="L158" s="1676"/>
      <c r="M158" s="1676"/>
      <c r="N158" s="1168"/>
      <c r="O158" s="1168"/>
      <c r="P158" s="1168"/>
      <c r="Q158" s="1168"/>
      <c r="R158" s="1676"/>
      <c r="S158" s="1168"/>
      <c r="T158" s="1168"/>
      <c r="U158" s="550"/>
      <c r="V158" s="1168"/>
      <c r="W158" s="1168"/>
      <c r="X158" s="1168"/>
      <c r="Y158" s="1168"/>
      <c r="Z158" s="1168"/>
      <c r="AA158" s="1672"/>
      <c r="AB158" s="572"/>
      <c r="AC158" s="572"/>
      <c r="AD158" s="572"/>
      <c r="AE158" s="572"/>
    </row>
    <row s="12366" customFormat="1" customHeight="1" ht="11.25">
      <c r="A159" s="994"/>
      <c r="B159" s="1676"/>
      <c r="C159" s="1676"/>
      <c r="D159" s="347"/>
      <c r="K159" s="1168"/>
      <c r="L159" s="1676"/>
      <c r="M159" s="1676"/>
      <c r="N159" s="1168"/>
      <c r="O159" s="1168"/>
      <c r="P159" s="1168"/>
      <c r="Q159" s="1168"/>
      <c r="R159" s="1676"/>
      <c r="S159" s="1168"/>
      <c r="T159" s="1168"/>
      <c r="U159" s="550"/>
      <c r="V159" s="1168"/>
      <c r="W159" s="1168"/>
      <c r="X159" s="1168"/>
      <c r="Y159" s="1168"/>
      <c r="Z159" s="1168"/>
      <c r="AA159" s="1672"/>
      <c r="AB159" s="572"/>
      <c r="AC159" s="572"/>
      <c r="AD159" s="572"/>
      <c r="AE159" s="572"/>
    </row>
    <row s="12366" customFormat="1" customHeight="1" ht="11.25">
      <c r="A160" s="994"/>
      <c r="B160" s="1676"/>
      <c r="C160" s="1676"/>
      <c r="D160" s="347"/>
      <c r="K160" s="1168"/>
      <c r="L160" s="1676"/>
      <c r="M160" s="1676"/>
      <c r="N160" s="1168"/>
      <c r="O160" s="1168"/>
      <c r="P160" s="1168"/>
      <c r="Q160" s="1168"/>
      <c r="R160" s="1676"/>
      <c r="S160" s="1168"/>
      <c r="T160" s="1168"/>
      <c r="U160" s="550"/>
      <c r="V160" s="1168"/>
      <c r="W160" s="1168"/>
      <c r="X160" s="1168"/>
      <c r="Y160" s="1168"/>
      <c r="Z160" s="1168"/>
      <c r="AA160" s="1672"/>
      <c r="AB160" s="572"/>
      <c r="AC160" s="572"/>
      <c r="AD160" s="572"/>
      <c r="AE160" s="572"/>
    </row>
    <row s="12366" customFormat="1" customHeight="1" ht="11.25">
      <c r="A161" s="994"/>
      <c r="B161" s="1676"/>
      <c r="C161" s="1676"/>
      <c r="D161" s="347"/>
      <c r="K161" s="1168"/>
      <c r="L161" s="1676"/>
      <c r="M161" s="1676"/>
      <c r="N161" s="1168"/>
      <c r="O161" s="1168"/>
      <c r="P161" s="1168"/>
      <c r="Q161" s="1168"/>
      <c r="R161" s="1676"/>
      <c r="S161" s="1168"/>
      <c r="T161" s="1168"/>
      <c r="U161" s="550"/>
      <c r="V161" s="1168"/>
      <c r="W161" s="1168"/>
      <c r="X161" s="1168"/>
      <c r="Y161" s="1168"/>
      <c r="Z161" s="1168"/>
      <c r="AA161" s="1672"/>
      <c r="AB161" s="572"/>
      <c r="AC161" s="572"/>
      <c r="AD161" s="572"/>
      <c r="AE161" s="572"/>
    </row>
    <row s="12366" customFormat="1" customHeight="1" ht="11.25">
      <c r="A162" s="994"/>
      <c r="B162" s="1676"/>
      <c r="C162" s="1676"/>
      <c r="D162" s="347"/>
      <c r="K162" s="1168"/>
      <c r="L162" s="1676"/>
      <c r="M162" s="1676"/>
      <c r="N162" s="1168"/>
      <c r="O162" s="1168"/>
      <c r="P162" s="1168"/>
      <c r="Q162" s="1168"/>
      <c r="R162" s="1676"/>
      <c r="S162" s="1168"/>
      <c r="T162" s="1168"/>
      <c r="U162" s="550"/>
      <c r="V162" s="1168"/>
      <c r="W162" s="1168"/>
      <c r="X162" s="1168"/>
      <c r="Y162" s="1168"/>
      <c r="Z162" s="1168"/>
      <c r="AA162" s="1672"/>
      <c r="AB162" s="572"/>
      <c r="AC162" s="572"/>
      <c r="AD162" s="572"/>
      <c r="AE162" s="572"/>
    </row>
    <row s="12366" customFormat="1" customHeight="1" ht="11.25">
      <c r="A163" s="994"/>
      <c r="B163" s="1676"/>
      <c r="C163" s="1676"/>
      <c r="D163" s="347"/>
      <c r="K163" s="1168"/>
      <c r="L163" s="1676"/>
      <c r="M163" s="1676"/>
      <c r="N163" s="1168"/>
      <c r="O163" s="1168"/>
      <c r="P163" s="1168"/>
      <c r="Q163" s="1168"/>
      <c r="R163" s="1676"/>
      <c r="S163" s="1168"/>
      <c r="T163" s="1168"/>
      <c r="U163" s="550"/>
      <c r="V163" s="1168"/>
      <c r="W163" s="1168"/>
      <c r="X163" s="1168"/>
      <c r="Y163" s="1168"/>
      <c r="Z163" s="1168"/>
      <c r="AA163" s="1672"/>
      <c r="AB163" s="572"/>
      <c r="AC163" s="572"/>
      <c r="AD163" s="572"/>
      <c r="AE163" s="572"/>
    </row>
    <row s="12366" customFormat="1" customHeight="1" ht="11.25">
      <c r="A164" s="994"/>
      <c r="B164" s="1676"/>
      <c r="C164" s="1676"/>
      <c r="D164" s="347"/>
      <c r="K164" s="1168"/>
      <c r="L164" s="1676"/>
      <c r="M164" s="1676"/>
      <c r="N164" s="1168"/>
      <c r="O164" s="1168"/>
      <c r="P164" s="1168"/>
      <c r="Q164" s="1168"/>
      <c r="R164" s="1676"/>
      <c r="S164" s="1168"/>
      <c r="T164" s="1168"/>
      <c r="U164" s="550"/>
      <c r="V164" s="1168"/>
      <c r="W164" s="1168"/>
      <c r="X164" s="1168"/>
      <c r="Y164" s="1168"/>
      <c r="Z164" s="1168"/>
      <c r="AA164" s="1672"/>
      <c r="AB164" s="572"/>
      <c r="AC164" s="572"/>
      <c r="AD164" s="572"/>
      <c r="AE164" s="572"/>
    </row>
    <row s="12366" customFormat="1" customHeight="1" ht="11.25">
      <c r="A165" s="994"/>
      <c r="B165" s="1676"/>
      <c r="C165" s="1676"/>
      <c r="D165" s="347"/>
      <c r="K165" s="1168"/>
      <c r="L165" s="1676"/>
      <c r="M165" s="1676"/>
      <c r="N165" s="1168"/>
      <c r="O165" s="1168"/>
      <c r="P165" s="1168"/>
      <c r="Q165" s="1168"/>
      <c r="R165" s="1676"/>
      <c r="S165" s="1168"/>
      <c r="T165" s="1168"/>
      <c r="U165" s="550"/>
      <c r="V165" s="1168"/>
      <c r="W165" s="1168"/>
      <c r="X165" s="1168"/>
      <c r="Y165" s="1168"/>
      <c r="Z165" s="1168"/>
      <c r="AA165" s="1672"/>
      <c r="AB165" s="572"/>
      <c r="AC165" s="572"/>
      <c r="AD165" s="572"/>
      <c r="AE165" s="572"/>
    </row>
    <row s="12366" customFormat="1" customHeight="1" ht="11.25">
      <c r="A166" s="994"/>
      <c r="B166" s="1676"/>
      <c r="C166" s="1676"/>
      <c r="D166" s="347"/>
      <c r="K166" s="1168"/>
      <c r="L166" s="1676"/>
      <c r="M166" s="1676"/>
      <c r="N166" s="1168"/>
      <c r="O166" s="1168"/>
      <c r="P166" s="1168"/>
      <c r="Q166" s="1168"/>
      <c r="R166" s="1676"/>
      <c r="S166" s="1168"/>
      <c r="T166" s="1168"/>
      <c r="U166" s="550"/>
      <c r="V166" s="1168"/>
      <c r="W166" s="1168"/>
      <c r="X166" s="1168"/>
      <c r="Y166" s="1168"/>
      <c r="Z166" s="1168"/>
      <c r="AA166" s="1672"/>
      <c r="AB166" s="572"/>
      <c r="AC166" s="572"/>
      <c r="AD166" s="572"/>
      <c r="AE166" s="572"/>
    </row>
    <row s="12366" customFormat="1" customHeight="1" ht="11.25">
      <c r="A167" s="994"/>
      <c r="B167" s="1676"/>
      <c r="C167" s="1676"/>
      <c r="D167" s="347"/>
      <c r="K167" s="1168"/>
      <c r="L167" s="1676"/>
      <c r="M167" s="1676"/>
      <c r="N167" s="1168"/>
      <c r="O167" s="1168"/>
      <c r="P167" s="1168"/>
      <c r="Q167" s="1168"/>
      <c r="R167" s="1676"/>
      <c r="S167" s="1168"/>
      <c r="T167" s="1168"/>
      <c r="U167" s="550"/>
      <c r="V167" s="1168"/>
      <c r="W167" s="1168"/>
      <c r="X167" s="1168"/>
      <c r="Y167" s="1168"/>
      <c r="Z167" s="1168"/>
      <c r="AA167" s="1672"/>
      <c r="AB167" s="572"/>
      <c r="AC167" s="572"/>
      <c r="AD167" s="572"/>
      <c r="AE167" s="572"/>
    </row>
    <row s="12366" customFormat="1" customHeight="1" ht="11.25">
      <c r="A168" s="994"/>
      <c r="B168" s="1676"/>
      <c r="C168" s="1676"/>
      <c r="D168" s="347"/>
      <c r="K168" s="1168"/>
      <c r="L168" s="1676"/>
      <c r="M168" s="1676"/>
      <c r="N168" s="1168"/>
      <c r="O168" s="1168"/>
      <c r="P168" s="1168"/>
      <c r="Q168" s="1168"/>
      <c r="R168" s="1676"/>
      <c r="S168" s="1168"/>
      <c r="T168" s="1168"/>
      <c r="U168" s="550"/>
      <c r="V168" s="1168"/>
      <c r="W168" s="1168"/>
      <c r="X168" s="1168"/>
      <c r="Y168" s="1168"/>
      <c r="Z168" s="1168"/>
      <c r="AA168" s="1672"/>
      <c r="AB168" s="572"/>
      <c r="AC168" s="572"/>
      <c r="AD168" s="572"/>
      <c r="AE168" s="572"/>
    </row>
    <row s="12366" customFormat="1" customHeight="1" ht="11.25">
      <c r="A169" s="994"/>
      <c r="B169" s="1676"/>
      <c r="C169" s="1676"/>
      <c r="D169" s="347"/>
      <c r="K169" s="1168"/>
      <c r="L169" s="1676"/>
      <c r="M169" s="1676"/>
      <c r="N169" s="1168"/>
      <c r="O169" s="1168"/>
      <c r="P169" s="1168"/>
      <c r="Q169" s="1168"/>
      <c r="R169" s="1676"/>
      <c r="S169" s="1168"/>
      <c r="T169" s="1168"/>
      <c r="U169" s="550"/>
      <c r="V169" s="1168"/>
      <c r="W169" s="1168"/>
      <c r="X169" s="1168"/>
      <c r="Y169" s="1168"/>
      <c r="Z169" s="1168"/>
      <c r="AA169" s="1672"/>
      <c r="AB169" s="572"/>
      <c r="AC169" s="572"/>
      <c r="AD169" s="572"/>
      <c r="AE169" s="572"/>
    </row>
    <row s="12366" customFormat="1" customHeight="1" ht="11.25">
      <c r="A170" s="994"/>
      <c r="B170" s="1676"/>
      <c r="C170" s="1676"/>
      <c r="D170" s="347"/>
      <c r="K170" s="1168"/>
      <c r="L170" s="1676"/>
      <c r="M170" s="1676"/>
      <c r="N170" s="1168"/>
      <c r="O170" s="1168"/>
      <c r="P170" s="1168"/>
      <c r="Q170" s="1168"/>
      <c r="R170" s="1676"/>
      <c r="S170" s="1168"/>
      <c r="T170" s="1168"/>
      <c r="U170" s="550"/>
      <c r="V170" s="1168"/>
      <c r="W170" s="1168"/>
      <c r="X170" s="1168"/>
      <c r="Y170" s="1168"/>
      <c r="Z170" s="1168"/>
      <c r="AA170" s="1672"/>
      <c r="AB170" s="572"/>
      <c r="AC170" s="572"/>
      <c r="AD170" s="572"/>
      <c r="AE170" s="572"/>
    </row>
    <row s="12366" customFormat="1" customHeight="1" ht="11.25">
      <c r="A171" s="994"/>
      <c r="B171" s="1676"/>
      <c r="C171" s="1676"/>
      <c r="D171" s="347"/>
      <c r="K171" s="1168"/>
      <c r="L171" s="1676"/>
      <c r="M171" s="1676"/>
      <c r="N171" s="1168"/>
      <c r="O171" s="1168"/>
      <c r="P171" s="1168"/>
      <c r="Q171" s="1168"/>
      <c r="R171" s="1676"/>
      <c r="S171" s="1168"/>
      <c r="T171" s="1168"/>
      <c r="U171" s="550"/>
      <c r="V171" s="1168"/>
      <c r="W171" s="1168"/>
      <c r="X171" s="1168"/>
      <c r="Y171" s="1168"/>
      <c r="Z171" s="1168"/>
      <c r="AA171" s="1672"/>
      <c r="AB171" s="572"/>
      <c r="AC171" s="572"/>
      <c r="AD171" s="572"/>
      <c r="AE171" s="572"/>
    </row>
    <row s="12366" customFormat="1" customHeight="1" ht="11.25">
      <c r="A172" s="994"/>
      <c r="B172" s="1676"/>
      <c r="C172" s="1676"/>
      <c r="D172" s="347"/>
      <c r="K172" s="1168"/>
      <c r="L172" s="1676"/>
      <c r="M172" s="1676"/>
      <c r="N172" s="1168"/>
      <c r="O172" s="1168"/>
      <c r="P172" s="1168"/>
      <c r="Q172" s="1168"/>
      <c r="R172" s="1676"/>
      <c r="S172" s="1168"/>
      <c r="T172" s="1168"/>
      <c r="U172" s="550"/>
      <c r="V172" s="1168"/>
      <c r="W172" s="1168"/>
      <c r="X172" s="1168"/>
      <c r="Y172" s="1168"/>
      <c r="Z172" s="1168"/>
      <c r="AA172" s="1672"/>
      <c r="AB172" s="572"/>
      <c r="AC172" s="572"/>
      <c r="AD172" s="572"/>
      <c r="AE172" s="572"/>
    </row>
    <row s="12366" customFormat="1" customHeight="1" ht="11.25">
      <c r="A173" s="994"/>
      <c r="B173" s="1676"/>
      <c r="C173" s="1676"/>
      <c r="D173" s="347"/>
      <c r="K173" s="1168"/>
      <c r="L173" s="1676"/>
      <c r="M173" s="1676"/>
      <c r="N173" s="1168"/>
      <c r="O173" s="1168"/>
      <c r="P173" s="1168"/>
      <c r="Q173" s="1168"/>
      <c r="R173" s="1676"/>
      <c r="S173" s="1168"/>
      <c r="T173" s="1168"/>
      <c r="U173" s="550"/>
      <c r="V173" s="1168"/>
      <c r="W173" s="1168"/>
      <c r="X173" s="1168"/>
      <c r="Y173" s="1168"/>
      <c r="Z173" s="1168"/>
      <c r="AA173" s="1672"/>
      <c r="AB173" s="572"/>
      <c r="AC173" s="572"/>
      <c r="AD173" s="572"/>
      <c r="AE173" s="572"/>
    </row>
    <row s="12366" customFormat="1" customHeight="1" ht="11.25">
      <c r="A174" s="994"/>
      <c r="B174" s="1676"/>
      <c r="C174" s="1676"/>
      <c r="D174" s="347"/>
      <c r="K174" s="1168"/>
      <c r="L174" s="1676"/>
      <c r="M174" s="1676"/>
      <c r="N174" s="1168"/>
      <c r="O174" s="1168"/>
      <c r="P174" s="1168"/>
      <c r="Q174" s="1168"/>
      <c r="R174" s="1676"/>
      <c r="S174" s="1168"/>
      <c r="T174" s="1168"/>
      <c r="U174" s="550"/>
      <c r="V174" s="1168"/>
      <c r="W174" s="1168"/>
      <c r="X174" s="1168"/>
      <c r="Y174" s="1168"/>
      <c r="Z174" s="1168"/>
      <c r="AA174" s="1672"/>
      <c r="AB174" s="572"/>
      <c r="AC174" s="572"/>
      <c r="AD174" s="572"/>
      <c r="AE174" s="572"/>
    </row>
    <row s="12366" customFormat="1" customHeight="1" ht="11.25">
      <c r="A175" s="994"/>
      <c r="B175" s="1676"/>
      <c r="C175" s="1676"/>
      <c r="D175" s="347"/>
      <c r="K175" s="1168"/>
      <c r="L175" s="1676"/>
      <c r="M175" s="1676"/>
      <c r="N175" s="1168"/>
      <c r="O175" s="1168"/>
      <c r="P175" s="1168"/>
      <c r="Q175" s="1168"/>
      <c r="R175" s="1676"/>
      <c r="S175" s="1168"/>
      <c r="T175" s="1168"/>
      <c r="U175" s="550"/>
      <c r="V175" s="1168"/>
      <c r="W175" s="1168"/>
      <c r="X175" s="1168"/>
      <c r="Y175" s="1168"/>
      <c r="Z175" s="1168"/>
      <c r="AA175" s="1672"/>
      <c r="AB175" s="572"/>
      <c r="AC175" s="572"/>
      <c r="AD175" s="572"/>
      <c r="AE175" s="572"/>
    </row>
    <row s="12366" customFormat="1" customHeight="1" ht="11.25">
      <c r="A176" s="994"/>
      <c r="B176" s="1676"/>
      <c r="C176" s="1676"/>
      <c r="D176" s="347"/>
      <c r="K176" s="1168"/>
      <c r="L176" s="1676"/>
      <c r="M176" s="1676"/>
      <c r="N176" s="1168"/>
      <c r="O176" s="1168"/>
      <c r="P176" s="1168"/>
      <c r="Q176" s="1168"/>
      <c r="R176" s="1676"/>
      <c r="S176" s="1168"/>
      <c r="T176" s="1168"/>
      <c r="U176" s="550"/>
      <c r="V176" s="1168"/>
      <c r="W176" s="1168"/>
      <c r="X176" s="1168"/>
      <c r="Y176" s="1168"/>
      <c r="Z176" s="1168"/>
      <c r="AA176" s="1672"/>
      <c r="AB176" s="572"/>
      <c r="AC176" s="572"/>
      <c r="AD176" s="572"/>
      <c r="AE176" s="572"/>
    </row>
    <row s="12366" customFormat="1" customHeight="1" ht="11.25">
      <c r="A177" s="994"/>
      <c r="B177" s="1676"/>
      <c r="C177" s="1676"/>
      <c r="D177" s="347"/>
      <c r="K177" s="1168"/>
      <c r="L177" s="1676"/>
      <c r="M177" s="1676"/>
      <c r="N177" s="1168"/>
      <c r="O177" s="1168"/>
      <c r="P177" s="1168"/>
      <c r="Q177" s="1168"/>
      <c r="R177" s="1676"/>
      <c r="S177" s="1168"/>
      <c r="T177" s="1168"/>
      <c r="U177" s="550"/>
      <c r="V177" s="1168"/>
      <c r="W177" s="1168"/>
      <c r="X177" s="1168"/>
      <c r="Y177" s="1168"/>
      <c r="Z177" s="1168"/>
      <c r="AA177" s="1672"/>
      <c r="AB177" s="572"/>
      <c r="AC177" s="572"/>
      <c r="AD177" s="572"/>
      <c r="AE177" s="572"/>
    </row>
    <row s="12366" customFormat="1" customHeight="1" ht="11.25">
      <c r="A178" s="994"/>
      <c r="B178" s="1676"/>
      <c r="C178" s="1676"/>
      <c r="D178" s="347"/>
      <c r="K178" s="1168"/>
      <c r="L178" s="1676"/>
      <c r="M178" s="1676"/>
      <c r="N178" s="1168"/>
      <c r="O178" s="1168"/>
      <c r="P178" s="1168"/>
      <c r="Q178" s="1168"/>
      <c r="R178" s="1676"/>
      <c r="S178" s="1168"/>
      <c r="T178" s="1168"/>
      <c r="U178" s="550"/>
      <c r="V178" s="1168"/>
      <c r="W178" s="1168"/>
      <c r="X178" s="1168"/>
      <c r="Y178" s="1168"/>
      <c r="Z178" s="1168"/>
      <c r="AA178" s="1672"/>
      <c r="AB178" s="572"/>
      <c r="AC178" s="572"/>
      <c r="AD178" s="572"/>
      <c r="AE178" s="572"/>
    </row>
    <row s="12366" customFormat="1" customHeight="1" ht="11.25">
      <c r="A179" s="994"/>
      <c r="B179" s="1676"/>
      <c r="C179" s="1676"/>
      <c r="D179" s="347"/>
      <c r="K179" s="1168"/>
      <c r="L179" s="1676"/>
      <c r="M179" s="1676"/>
      <c r="N179" s="1168"/>
      <c r="O179" s="1168"/>
      <c r="P179" s="1168"/>
      <c r="Q179" s="1168"/>
      <c r="R179" s="1676"/>
      <c r="S179" s="1168"/>
      <c r="T179" s="1168"/>
      <c r="U179" s="550"/>
      <c r="V179" s="1168"/>
      <c r="W179" s="1168"/>
      <c r="X179" s="1168"/>
      <c r="Y179" s="1168"/>
      <c r="Z179" s="1168"/>
      <c r="AA179" s="1672"/>
      <c r="AB179" s="572"/>
      <c r="AC179" s="572"/>
      <c r="AD179" s="572"/>
      <c r="AE179" s="572"/>
    </row>
    <row s="12366" customFormat="1" customHeight="1" ht="11.25">
      <c r="A180" s="994"/>
      <c r="B180" s="1676"/>
      <c r="C180" s="1676"/>
      <c r="D180" s="347"/>
      <c r="K180" s="1168"/>
      <c r="L180" s="1676"/>
      <c r="M180" s="1676"/>
      <c r="N180" s="1168"/>
      <c r="O180" s="1168"/>
      <c r="P180" s="1168"/>
      <c r="Q180" s="1168"/>
      <c r="R180" s="1676"/>
      <c r="S180" s="1168"/>
      <c r="T180" s="1168"/>
      <c r="U180" s="550"/>
      <c r="V180" s="1168"/>
      <c r="W180" s="1168"/>
      <c r="X180" s="1168"/>
      <c r="Y180" s="1168"/>
      <c r="Z180" s="1168"/>
      <c r="AA180" s="1672"/>
      <c r="AB180" s="572"/>
      <c r="AC180" s="572"/>
      <c r="AD180" s="572"/>
      <c r="AE180" s="572"/>
    </row>
    <row s="12366" customFormat="1" customHeight="1" ht="11.25">
      <c r="A181" s="994"/>
      <c r="B181" s="1676"/>
      <c r="C181" s="1676"/>
      <c r="D181" s="347"/>
      <c r="K181" s="1168"/>
      <c r="L181" s="1676"/>
      <c r="M181" s="1676"/>
      <c r="N181" s="1168"/>
      <c r="O181" s="1168"/>
      <c r="P181" s="1168"/>
      <c r="Q181" s="1168"/>
      <c r="R181" s="1676"/>
      <c r="S181" s="1168"/>
      <c r="T181" s="1168"/>
      <c r="U181" s="550"/>
      <c r="V181" s="1168"/>
      <c r="W181" s="1168"/>
      <c r="X181" s="1168"/>
      <c r="Y181" s="1168"/>
      <c r="Z181" s="1168"/>
      <c r="AA181" s="1672"/>
      <c r="AB181" s="572"/>
      <c r="AC181" s="572"/>
      <c r="AD181" s="572"/>
      <c r="AE181" s="572"/>
    </row>
    <row s="12366" customFormat="1" customHeight="1" ht="11.25">
      <c r="A182" s="994"/>
      <c r="B182" s="1676"/>
      <c r="C182" s="1676"/>
      <c r="D182" s="347"/>
      <c r="K182" s="1168"/>
      <c r="L182" s="1676"/>
      <c r="M182" s="1676"/>
      <c r="N182" s="1168"/>
      <c r="O182" s="1168"/>
      <c r="P182" s="1168"/>
      <c r="Q182" s="1168"/>
      <c r="R182" s="1676"/>
      <c r="S182" s="1168"/>
      <c r="T182" s="1168"/>
      <c r="U182" s="550"/>
      <c r="V182" s="1168"/>
      <c r="W182" s="1168"/>
      <c r="X182" s="1168"/>
      <c r="Y182" s="1168"/>
      <c r="Z182" s="1168"/>
      <c r="AA182" s="1672"/>
      <c r="AB182" s="572"/>
      <c r="AC182" s="572"/>
      <c r="AD182" s="572"/>
      <c r="AE182" s="572"/>
    </row>
    <row s="12366" customFormat="1" customHeight="1" ht="11.25">
      <c r="A183" s="994"/>
      <c r="B183" s="1676"/>
      <c r="C183" s="1676"/>
      <c r="D183" s="347"/>
      <c r="K183" s="1168"/>
      <c r="L183" s="1676"/>
      <c r="M183" s="1676"/>
      <c r="N183" s="1168"/>
      <c r="O183" s="1168"/>
      <c r="P183" s="1168"/>
      <c r="Q183" s="1168"/>
      <c r="R183" s="1676"/>
      <c r="S183" s="1168"/>
      <c r="T183" s="1168"/>
      <c r="U183" s="550"/>
      <c r="V183" s="1168"/>
      <c r="W183" s="1168"/>
      <c r="X183" s="1168"/>
      <c r="Y183" s="1168"/>
      <c r="Z183" s="1168"/>
      <c r="AA183" s="1672"/>
      <c r="AB183" s="572"/>
      <c r="AC183" s="572"/>
      <c r="AD183" s="572"/>
      <c r="AE183" s="572"/>
    </row>
    <row s="12366" customFormat="1" customHeight="1" ht="11.25">
      <c r="A184" s="994"/>
      <c r="B184" s="1676"/>
      <c r="C184" s="1676"/>
      <c r="D184" s="347"/>
      <c r="K184" s="1168"/>
      <c r="L184" s="1676"/>
      <c r="M184" s="1676"/>
      <c r="N184" s="1168"/>
      <c r="O184" s="1168"/>
      <c r="P184" s="1168"/>
      <c r="Q184" s="1168"/>
      <c r="R184" s="1676"/>
      <c r="S184" s="1168"/>
      <c r="T184" s="1168"/>
      <c r="U184" s="550"/>
      <c r="V184" s="1168"/>
      <c r="W184" s="1168"/>
      <c r="X184" s="1168"/>
      <c r="Y184" s="1168"/>
      <c r="Z184" s="1168"/>
      <c r="AA184" s="1672"/>
      <c r="AB184" s="572"/>
      <c r="AC184" s="572"/>
      <c r="AD184" s="572"/>
      <c r="AE184" s="572"/>
    </row>
    <row s="12366" customFormat="1" customHeight="1" ht="11.25">
      <c r="A185" s="994"/>
      <c r="B185" s="1676"/>
      <c r="C185" s="1676"/>
      <c r="D185" s="347"/>
      <c r="K185" s="1168"/>
      <c r="L185" s="1676"/>
      <c r="M185" s="1676"/>
      <c r="N185" s="1168"/>
      <c r="O185" s="1168"/>
      <c r="P185" s="1168"/>
      <c r="Q185" s="1168"/>
      <c r="R185" s="1676"/>
      <c r="S185" s="1168"/>
      <c r="T185" s="1168"/>
      <c r="U185" s="550"/>
      <c r="V185" s="1168"/>
      <c r="W185" s="1168"/>
      <c r="X185" s="1168"/>
      <c r="Y185" s="1168"/>
      <c r="Z185" s="1168"/>
      <c r="AA185" s="1672"/>
      <c r="AB185" s="572"/>
      <c r="AC185" s="572"/>
      <c r="AD185" s="572"/>
      <c r="AE185" s="572"/>
    </row>
    <row s="12366" customFormat="1" customHeight="1" ht="11.25">
      <c r="A186" s="994"/>
      <c r="B186" s="1676"/>
      <c r="C186" s="1676"/>
      <c r="D186" s="347"/>
      <c r="K186" s="1168"/>
      <c r="L186" s="1676"/>
      <c r="M186" s="1676"/>
      <c r="N186" s="1168"/>
      <c r="O186" s="1168"/>
      <c r="P186" s="1168"/>
      <c r="Q186" s="1168"/>
      <c r="R186" s="1676"/>
      <c r="S186" s="1168"/>
      <c r="T186" s="1168"/>
      <c r="U186" s="550"/>
      <c r="V186" s="1168"/>
      <c r="W186" s="1168"/>
      <c r="X186" s="1168"/>
      <c r="Y186" s="1168"/>
      <c r="Z186" s="1168"/>
      <c r="AA186" s="1672"/>
      <c r="AB186" s="572"/>
      <c r="AC186" s="572"/>
      <c r="AD186" s="572"/>
      <c r="AE186" s="572"/>
    </row>
    <row s="12366" customFormat="1" customHeight="1" ht="11.25">
      <c r="A187" s="994"/>
      <c r="B187" s="1676"/>
      <c r="C187" s="1676"/>
      <c r="D187" s="347"/>
      <c r="K187" s="1168"/>
      <c r="L187" s="1676"/>
      <c r="M187" s="1676"/>
      <c r="N187" s="1168"/>
      <c r="O187" s="1168"/>
      <c r="P187" s="1168"/>
      <c r="Q187" s="1168"/>
      <c r="R187" s="1676"/>
      <c r="S187" s="1168"/>
      <c r="T187" s="1168"/>
      <c r="U187" s="550"/>
      <c r="V187" s="1168"/>
      <c r="W187" s="1168"/>
      <c r="X187" s="1168"/>
      <c r="Y187" s="1168"/>
      <c r="Z187" s="1168"/>
      <c r="AA187" s="1672"/>
      <c r="AB187" s="572"/>
      <c r="AC187" s="572"/>
      <c r="AD187" s="572"/>
      <c r="AE187" s="572"/>
    </row>
    <row s="12366" customFormat="1" customHeight="1" ht="11.25">
      <c r="A188" s="994"/>
      <c r="B188" s="1676"/>
      <c r="C188" s="1676"/>
      <c r="D188" s="347"/>
      <c r="K188" s="1168"/>
      <c r="L188" s="1676"/>
      <c r="M188" s="1676"/>
      <c r="N188" s="1168"/>
      <c r="O188" s="1168"/>
      <c r="P188" s="1168"/>
      <c r="Q188" s="1168"/>
      <c r="R188" s="1676"/>
      <c r="S188" s="1168"/>
      <c r="T188" s="1168"/>
      <c r="U188" s="550"/>
      <c r="V188" s="1168"/>
      <c r="W188" s="1168"/>
      <c r="X188" s="1168"/>
      <c r="Y188" s="1168"/>
      <c r="Z188" s="1168"/>
      <c r="AA188" s="1672"/>
      <c r="AB188" s="572"/>
      <c r="AC188" s="572"/>
      <c r="AD188" s="572"/>
      <c r="AE188" s="572"/>
    </row>
    <row s="12366" customFormat="1" customHeight="1" ht="11.25">
      <c r="A189" s="994"/>
      <c r="B189" s="1676"/>
      <c r="C189" s="1676"/>
      <c r="D189" s="347"/>
      <c r="K189" s="1168"/>
      <c r="L189" s="1676"/>
      <c r="M189" s="1676"/>
      <c r="N189" s="1168"/>
      <c r="O189" s="1168"/>
      <c r="P189" s="1168"/>
      <c r="Q189" s="1168"/>
      <c r="R189" s="1676"/>
      <c r="S189" s="1168"/>
      <c r="T189" s="1168"/>
      <c r="U189" s="550"/>
      <c r="V189" s="1168"/>
      <c r="W189" s="1168"/>
      <c r="X189" s="1168"/>
      <c r="Y189" s="1168"/>
      <c r="Z189" s="1168"/>
      <c r="AA189" s="1672"/>
      <c r="AB189" s="572"/>
      <c r="AC189" s="572"/>
      <c r="AD189" s="572"/>
      <c r="AE189" s="572"/>
    </row>
    <row s="12366" customFormat="1" customHeight="1" ht="11.25">
      <c r="A190" s="994"/>
      <c r="B190" s="1676"/>
      <c r="C190" s="1676"/>
      <c r="D190" s="347"/>
      <c r="K190" s="1168"/>
      <c r="L190" s="1676"/>
      <c r="M190" s="1676"/>
      <c r="N190" s="1168"/>
      <c r="O190" s="1168"/>
      <c r="P190" s="1168"/>
      <c r="Q190" s="1168"/>
      <c r="R190" s="1676"/>
      <c r="S190" s="1168"/>
      <c r="T190" s="1168"/>
      <c r="U190" s="550"/>
      <c r="V190" s="1168"/>
      <c r="W190" s="1168"/>
      <c r="X190" s="1168"/>
      <c r="Y190" s="1168"/>
      <c r="Z190" s="1168"/>
      <c r="AA190" s="1672"/>
      <c r="AB190" s="572"/>
      <c r="AC190" s="572"/>
      <c r="AD190" s="572"/>
      <c r="AE190" s="572"/>
    </row>
    <row s="12366" customFormat="1" customHeight="1" ht="11.25">
      <c r="A191" s="994"/>
      <c r="B191" s="1676"/>
      <c r="C191" s="1676"/>
      <c r="D191" s="347"/>
      <c r="K191" s="1168"/>
      <c r="L191" s="1676"/>
      <c r="M191" s="1676"/>
      <c r="N191" s="1168"/>
      <c r="O191" s="1168"/>
      <c r="P191" s="1168"/>
      <c r="Q191" s="1168"/>
      <c r="R191" s="1676"/>
      <c r="S191" s="1168"/>
      <c r="T191" s="1168"/>
      <c r="U191" s="550"/>
      <c r="V191" s="1168"/>
      <c r="W191" s="1168"/>
      <c r="X191" s="1168"/>
      <c r="Y191" s="1168"/>
      <c r="Z191" s="1168"/>
      <c r="AA191" s="1672"/>
      <c r="AB191" s="572"/>
      <c r="AC191" s="572"/>
      <c r="AD191" s="572"/>
      <c r="AE191" s="572"/>
    </row>
    <row s="12366" customFormat="1" customHeight="1" ht="11.25">
      <c r="A192" s="994"/>
      <c r="B192" s="1676"/>
      <c r="C192" s="1676"/>
      <c r="D192" s="347"/>
      <c r="K192" s="1168"/>
      <c r="L192" s="1676"/>
      <c r="M192" s="1676"/>
      <c r="N192" s="1168"/>
      <c r="O192" s="1168"/>
      <c r="P192" s="1168"/>
      <c r="Q192" s="1168"/>
      <c r="R192" s="1676"/>
      <c r="S192" s="1168"/>
      <c r="T192" s="1168"/>
      <c r="U192" s="550"/>
      <c r="V192" s="1168"/>
      <c r="W192" s="1168"/>
      <c r="X192" s="1168"/>
      <c r="Y192" s="1168"/>
      <c r="Z192" s="1168"/>
      <c r="AA192" s="1672"/>
      <c r="AB192" s="572"/>
      <c r="AC192" s="572"/>
      <c r="AD192" s="572"/>
      <c r="AE192" s="572"/>
    </row>
    <row s="12366" customFormat="1" customHeight="1" ht="11.25">
      <c r="A193" s="994"/>
      <c r="B193" s="1676"/>
      <c r="C193" s="1676"/>
      <c r="D193" s="347"/>
      <c r="K193" s="1168"/>
      <c r="L193" s="1676"/>
      <c r="M193" s="1676"/>
      <c r="N193" s="1168"/>
      <c r="O193" s="1168"/>
      <c r="P193" s="1168"/>
      <c r="Q193" s="1168"/>
      <c r="R193" s="1676"/>
      <c r="S193" s="1168"/>
      <c r="T193" s="1168"/>
      <c r="U193" s="550"/>
      <c r="V193" s="1168"/>
      <c r="W193" s="1168"/>
      <c r="X193" s="1168"/>
      <c r="Y193" s="1168"/>
      <c r="Z193" s="1168"/>
      <c r="AA193" s="1672"/>
      <c r="AB193" s="572"/>
      <c r="AC193" s="572"/>
      <c r="AD193" s="572"/>
      <c r="AE193" s="572"/>
    </row>
    <row s="12366" customFormat="1" customHeight="1" ht="11.25">
      <c r="A194" s="994"/>
      <c r="B194" s="1676"/>
      <c r="C194" s="1676"/>
      <c r="D194" s="347"/>
      <c r="K194" s="1168"/>
      <c r="L194" s="1676"/>
      <c r="M194" s="1676"/>
      <c r="N194" s="1168"/>
      <c r="O194" s="1168"/>
      <c r="P194" s="1168"/>
      <c r="Q194" s="1168"/>
      <c r="R194" s="1676"/>
      <c r="S194" s="1168"/>
      <c r="T194" s="1168"/>
      <c r="U194" s="550"/>
      <c r="V194" s="1168"/>
      <c r="W194" s="1168"/>
      <c r="X194" s="1168"/>
      <c r="Y194" s="1168"/>
      <c r="Z194" s="1168"/>
      <c r="AA194" s="1672"/>
      <c r="AB194" s="572"/>
      <c r="AC194" s="572"/>
      <c r="AD194" s="572"/>
      <c r="AE194" s="572"/>
    </row>
    <row s="12366" customFormat="1" customHeight="1" ht="11.25">
      <c r="A195" s="994"/>
      <c r="B195" s="1676"/>
      <c r="C195" s="1676"/>
      <c r="D195" s="347"/>
      <c r="K195" s="1168"/>
      <c r="L195" s="1676"/>
      <c r="M195" s="1676"/>
      <c r="N195" s="1168"/>
      <c r="O195" s="1168"/>
      <c r="P195" s="1168"/>
      <c r="Q195" s="1168"/>
      <c r="R195" s="1676"/>
      <c r="S195" s="1168"/>
      <c r="T195" s="1168"/>
      <c r="U195" s="550"/>
      <c r="V195" s="1168"/>
      <c r="W195" s="1168"/>
      <c r="X195" s="1168"/>
      <c r="Y195" s="1168"/>
      <c r="Z195" s="1168"/>
      <c r="AA195" s="1672"/>
      <c r="AB195" s="572"/>
      <c r="AC195" s="572"/>
      <c r="AD195" s="572"/>
      <c r="AE195" s="572"/>
    </row>
    <row r="199" customHeight="1" ht="11.25">
      <c r="A199" s="997"/>
      <c r="B199" s="1671"/>
      <c r="D199" s="1671"/>
      <c r="K199" s="1671"/>
      <c r="N199" s="1671"/>
      <c r="O199" s="1671"/>
      <c r="P199" s="1671"/>
      <c r="Q199" s="1671"/>
      <c r="S199" s="1671"/>
      <c r="T199" s="1671"/>
      <c r="U199" s="1671"/>
      <c r="V199" s="1671"/>
      <c r="W199" s="1671"/>
      <c r="X199" s="1671"/>
      <c r="Y199" s="1671"/>
      <c r="Z199" s="1671"/>
      <c r="AA199" s="1671"/>
      <c r="AB199" s="1671"/>
      <c r="AC199" s="1671"/>
      <c r="AD199" s="1671"/>
      <c r="AE199" s="1671"/>
    </row>
    <row customHeight="1" ht="11.25">
      <c r="A200" s="997"/>
      <c r="B200" s="1671"/>
      <c r="D200" s="1671"/>
      <c r="K200" s="1671"/>
      <c r="N200" s="1671"/>
      <c r="O200" s="1671"/>
      <c r="P200" s="1671"/>
      <c r="Q200" s="1671"/>
      <c r="S200" s="1671"/>
      <c r="T200" s="1671"/>
      <c r="U200" s="1671"/>
      <c r="V200" s="1671"/>
      <c r="W200" s="1671"/>
      <c r="X200" s="1671"/>
      <c r="Y200" s="1671"/>
      <c r="Z200" s="1671"/>
      <c r="AA200" s="1671"/>
      <c r="AB200" s="1671"/>
      <c r="AC200" s="1671"/>
      <c r="AD200" s="1671"/>
      <c r="AE200" s="1671"/>
    </row>
    <row customHeight="1" ht="11.25">
      <c r="A201" s="997"/>
      <c r="B201" s="1671"/>
      <c r="D201" s="1671"/>
      <c r="K201" s="1671"/>
      <c r="N201" s="1671"/>
      <c r="O201" s="1671"/>
      <c r="P201" s="1671"/>
      <c r="Q201" s="1671"/>
      <c r="S201" s="1671"/>
      <c r="T201" s="1671"/>
      <c r="U201" s="1671"/>
      <c r="V201" s="1671"/>
      <c r="W201" s="1671"/>
      <c r="X201" s="1671"/>
      <c r="Y201" s="1671"/>
      <c r="Z201" s="1671"/>
      <c r="AA201" s="1671"/>
      <c r="AB201" s="1671"/>
      <c r="AC201" s="1671"/>
      <c r="AD201" s="1671"/>
      <c r="AE201" s="1671"/>
    </row>
    <row customHeight="1" ht="11.25">
      <c r="A202" s="997"/>
      <c r="B202" s="1671"/>
      <c r="D202" s="1671"/>
      <c r="K202" s="1671"/>
      <c r="N202" s="1671"/>
      <c r="O202" s="1671"/>
      <c r="P202" s="1671"/>
      <c r="Q202" s="1671"/>
      <c r="S202" s="1671"/>
      <c r="T202" s="1671"/>
      <c r="U202" s="1671"/>
      <c r="V202" s="1671"/>
      <c r="W202" s="1671"/>
      <c r="X202" s="1671"/>
      <c r="Y202" s="1671"/>
      <c r="Z202" s="1671"/>
      <c r="AA202" s="1671"/>
      <c r="AB202" s="1671"/>
      <c r="AC202" s="1671"/>
      <c r="AD202" s="1671"/>
      <c r="AE202" s="1671"/>
    </row>
    <row customHeight="1" ht="11.25">
      <c r="A203" s="997"/>
      <c r="B203" s="1671"/>
      <c r="D203" s="1671"/>
      <c r="K203" s="1671"/>
      <c r="N203" s="1671"/>
      <c r="O203" s="1671"/>
      <c r="P203" s="1671"/>
      <c r="Q203" s="1671"/>
      <c r="S203" s="1671"/>
      <c r="T203" s="1671"/>
      <c r="U203" s="1671"/>
      <c r="V203" s="1671"/>
      <c r="W203" s="1671"/>
      <c r="X203" s="1671"/>
      <c r="Y203" s="1671"/>
      <c r="Z203" s="1671"/>
      <c r="AA203" s="1671"/>
      <c r="AB203" s="1671"/>
      <c r="AC203" s="1671"/>
      <c r="AD203" s="1671"/>
      <c r="AE203" s="1671"/>
    </row>
    <row customHeight="1" ht="11.25">
      <c r="A204" s="997"/>
      <c r="B204" s="1671"/>
      <c r="D204" s="1671"/>
      <c r="K204" s="1671"/>
      <c r="N204" s="1671"/>
      <c r="O204" s="1671"/>
      <c r="P204" s="1671"/>
      <c r="Q204" s="1671"/>
      <c r="S204" s="1671"/>
      <c r="T204" s="1671"/>
      <c r="U204" s="1671"/>
      <c r="V204" s="1671"/>
      <c r="W204" s="1671"/>
      <c r="X204" s="1671"/>
      <c r="Y204" s="1671"/>
      <c r="Z204" s="1671"/>
      <c r="AA204" s="1671"/>
      <c r="AB204" s="1671"/>
      <c r="AC204" s="1671"/>
      <c r="AD204" s="1671"/>
      <c r="AE204" s="1671"/>
    </row>
    <row customHeight="1" ht="11.25">
      <c r="A205" s="997"/>
      <c r="B205" s="1671"/>
      <c r="D205" s="1671"/>
      <c r="K205" s="1671"/>
      <c r="N205" s="1671"/>
      <c r="O205" s="1671"/>
      <c r="P205" s="1671"/>
      <c r="Q205" s="1671"/>
      <c r="S205" s="1671"/>
      <c r="T205" s="1671"/>
      <c r="U205" s="1671"/>
      <c r="V205" s="1671"/>
      <c r="W205" s="1671"/>
      <c r="X205" s="1671"/>
      <c r="Y205" s="1671"/>
      <c r="Z205" s="1671"/>
      <c r="AA205" s="1671"/>
      <c r="AB205" s="1671"/>
      <c r="AC205" s="1671"/>
      <c r="AD205" s="1671"/>
      <c r="AE205" s="1671"/>
    </row>
    <row customHeight="1" ht="11.25">
      <c r="A206" s="997"/>
      <c r="B206" s="1671"/>
      <c r="D206" s="1671"/>
      <c r="K206" s="1671"/>
      <c r="N206" s="1671"/>
      <c r="O206" s="1671"/>
      <c r="P206" s="1671"/>
      <c r="Q206" s="1671"/>
      <c r="S206" s="1671"/>
      <c r="T206" s="1671"/>
      <c r="U206" s="1671"/>
      <c r="V206" s="1671"/>
      <c r="W206" s="1671"/>
      <c r="X206" s="1671"/>
      <c r="Y206" s="1671"/>
      <c r="Z206" s="1671"/>
      <c r="AA206" s="1671"/>
      <c r="AB206" s="1671"/>
      <c r="AC206" s="1671"/>
      <c r="AD206" s="1671"/>
      <c r="AE206" s="1671"/>
    </row>
    <row customHeight="1" ht="11.25">
      <c r="A207" s="997"/>
      <c r="B207" s="1671"/>
      <c r="D207" s="1671"/>
      <c r="K207" s="1671"/>
      <c r="N207" s="1671"/>
      <c r="O207" s="1671"/>
      <c r="P207" s="1671"/>
      <c r="Q207" s="1671"/>
      <c r="S207" s="1671"/>
      <c r="T207" s="1671"/>
      <c r="U207" s="1671"/>
      <c r="V207" s="1671"/>
      <c r="W207" s="1671"/>
      <c r="X207" s="1671"/>
      <c r="Y207" s="1671"/>
      <c r="Z207" s="1671"/>
      <c r="AA207" s="1671"/>
      <c r="AB207" s="1671"/>
      <c r="AC207" s="1671"/>
      <c r="AD207" s="1671"/>
      <c r="AE207" s="1671"/>
    </row>
    <row customHeight="1" ht="11.25">
      <c r="A208" s="997"/>
      <c r="B208" s="1671"/>
      <c r="D208" s="1671"/>
      <c r="K208" s="1671"/>
      <c r="N208" s="1671"/>
      <c r="O208" s="1671"/>
      <c r="P208" s="1671"/>
      <c r="Q208" s="1671"/>
      <c r="S208" s="1671"/>
      <c r="T208" s="1671"/>
      <c r="U208" s="1671"/>
      <c r="V208" s="1671"/>
      <c r="W208" s="1671"/>
      <c r="X208" s="1671"/>
      <c r="Y208" s="1671"/>
      <c r="Z208" s="1671"/>
      <c r="AA208" s="1671"/>
      <c r="AB208" s="1671"/>
      <c r="AC208" s="1671"/>
      <c r="AD208" s="1671"/>
      <c r="AE208" s="1671"/>
    </row>
    <row customHeight="1" ht="11.25">
      <c r="A209" s="997"/>
      <c r="B209" s="1671"/>
      <c r="D209" s="1671"/>
      <c r="K209" s="1671"/>
      <c r="N209" s="1671"/>
      <c r="O209" s="1671"/>
      <c r="P209" s="1671"/>
      <c r="Q209" s="1671"/>
      <c r="S209" s="1671"/>
      <c r="T209" s="1671"/>
      <c r="U209" s="1671"/>
      <c r="V209" s="1671"/>
      <c r="W209" s="1671"/>
      <c r="X209" s="1671"/>
      <c r="Y209" s="1671"/>
      <c r="Z209" s="1671"/>
      <c r="AA209" s="1671"/>
      <c r="AB209" s="1671"/>
      <c r="AC209" s="1671"/>
      <c r="AD209" s="1671"/>
      <c r="AE209" s="1671"/>
    </row>
  </sheetData>
  <sheetProtection formatColumns="0" formatRows="0" autoFilter="0" sort="0" insertRows="0" insertColumns="1" deleteRows="0" deleteColumns="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7C7226-ACD4-F6F2-36E1-E35C327B59BF}" mc:Ignorable="x14ac xr xr2 xr3">
  <sheetPr>
    <tabColor theme="9" tint="-0.25"/>
  </sheetPr>
  <dimension ref="A1:W101"/>
  <sheetViews>
    <sheetView topLeftCell="A1" showGridLines="0" zoomScale="90" workbookViewId="0">
      <selection activeCell="A1" sqref="A1"/>
    </sheetView>
  </sheetViews>
  <sheetFormatPr defaultColWidth="10.57421875" customHeight="1" defaultRowHeight="11.25"/>
  <cols>
    <col min="1" max="1" style="12541" width="9.140625" hidden="1" customWidth="1"/>
    <col min="2" max="2" style="2612" width="3.57421875" hidden="1" customWidth="1"/>
    <col min="3" max="3" style="3195" width="3.7109375" customWidth="1"/>
    <col min="4" max="4" style="3195" width="7.7109375" customWidth="1"/>
    <col min="5" max="5" style="3195" width="69.8515625" customWidth="1"/>
    <col min="6" max="6" style="3195" width="11.140625" customWidth="1"/>
    <col min="7" max="8" style="3195" width="44.00390625" hidden="1" customWidth="1"/>
    <col min="9" max="10" style="2624" width="44.00390625" customWidth="1"/>
    <col min="11" max="11" style="3195" width="74.00390625" customWidth="1"/>
    <col min="12" max="12" style="3195" width="3.7109375" customWidth="1"/>
    <col min="13" max="23" style="3195" width="10.57421875"/>
  </cols>
  <sheetData>
    <row s="2625" customFormat="1" customHeight="1" ht="11.25" hidden="1">
      <c r="A1" s="542"/>
      <c r="B1" s="517"/>
      <c r="G1" s="423">
        <v>4</v>
      </c>
      <c r="I1" s="423">
        <v>4</v>
      </c>
      <c r="K1" s="423">
        <v>5</v>
      </c>
    </row>
    <row customHeight="1" ht="3"/>
    <row customHeight="1" ht="75">
      <c r="D3" s="209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2"/>
      <c r="F3" s="2093"/>
    </row>
    <row s="2624" customFormat="1" customHeight="1" ht="20.25">
      <c r="A4" s="958"/>
      <c r="B4" s="517"/>
      <c r="D4" s="2079" t="str">
        <f>IF(org=0,"Не определено",org)</f>
        <v>АО "Мурманэнергосбыт"</v>
      </c>
      <c r="E4" s="2080"/>
      <c r="F4" s="2081"/>
    </row>
    <row customHeight="1" ht="11.25">
      <c r="C5" s="515"/>
      <c r="D5" s="594"/>
      <c r="E5" s="594"/>
      <c r="F5" s="594"/>
      <c r="G5" s="594"/>
      <c r="H5" s="758"/>
      <c r="I5" s="594"/>
      <c r="J5" s="758"/>
      <c r="K5" s="594"/>
    </row>
    <row customHeight="1" ht="0.75">
      <c r="C6" s="515"/>
      <c r="D6" s="515"/>
      <c r="E6" s="528"/>
      <c r="F6" s="620"/>
      <c r="G6" s="1029"/>
      <c r="H6" s="1029"/>
      <c r="I6" s="1029" t="s">
        <v>198</v>
      </c>
      <c r="J6" s="1029"/>
    </row>
    <row customHeight="1" ht="11.25">
      <c r="D7" s="717"/>
      <c r="E7" s="2213" t="s">
        <v>189</v>
      </c>
      <c r="F7" s="2214"/>
      <c r="G7" s="2230" t="str">
        <f>IF(G6="","",INDEX(DIFFERENTIATION_UNMERGE_VD,MATCH(G6,DIFFERENTIATION_ID_DIFF,0)))</f>
        <v/>
      </c>
      <c r="H7" s="2231"/>
      <c r="I7" s="2230">
        <f>IF(I6="","",INDEX(DIFFERENTIATION_UNMERGE_VD,MATCH(I6,DIFFERENTIATION_ID_DIFF,0)))</f>
        <v>0</v>
      </c>
      <c r="J7" s="2231"/>
      <c r="K7" s="2028"/>
      <c r="L7" s="515"/>
    </row>
    <row customHeight="1" ht="11.25">
      <c r="A8" s="710"/>
      <c r="D8" s="717"/>
      <c r="E8" s="2213" t="s">
        <v>771</v>
      </c>
      <c r="F8" s="2214"/>
      <c r="G8" s="2230" t="str">
        <f>IF(G6="","",INDEX(DIFFERENTIATION_UNMERGE_AREA,MATCH(G6,DIFFERENTIATION_ID_DIFF,0)))</f>
        <v/>
      </c>
      <c r="H8" s="2231"/>
      <c r="I8" s="2230" t="str">
        <f>IF(I6="","",INDEX(DIFFERENTIATION_UNMERGE_AREA,MATCH(I6,DIFFERENTIATION_ID_DIFF,0)))</f>
        <v/>
      </c>
      <c r="J8" s="2231"/>
      <c r="K8" s="2036"/>
      <c r="L8" s="515"/>
    </row>
    <row customHeight="1" ht="11.25">
      <c r="A9" s="710"/>
      <c r="D9" s="717"/>
      <c r="E9" s="2213" t="s">
        <v>772</v>
      </c>
      <c r="F9" s="2214"/>
      <c r="G9" s="2230" t="str">
        <f>IF(G6="","",INDEX(DIFFERENTIATION_UNMERGE_SYSTEM,MATCH(G6,DIFFERENTIATION_ID_DIFF,0)))</f>
        <v/>
      </c>
      <c r="H9" s="2231"/>
      <c r="I9" s="2230" t="str">
        <f>IF(I6="","",INDEX(DIFFERENTIATION_UNMERGE_SYSTEM,MATCH(I6,DIFFERENTIATION_ID_DIFF,0)))</f>
        <v>без дифференциации</v>
      </c>
      <c r="J9" s="2231"/>
      <c r="K9" s="2036"/>
      <c r="L9" s="515"/>
    </row>
    <row s="2624" customFormat="1" customHeight="1" ht="11.25">
      <c r="A10" s="1028"/>
      <c r="B10" s="517"/>
      <c r="D10" s="1955" t="s">
        <v>513</v>
      </c>
      <c r="E10" s="1956"/>
      <c r="F10" s="1956"/>
      <c r="G10" s="1956"/>
      <c r="H10" s="1956"/>
      <c r="I10" s="1956"/>
      <c r="J10" s="1957"/>
      <c r="K10" s="2036"/>
      <c r="L10" s="515"/>
    </row>
    <row s="2628" customFormat="1" customHeight="1" ht="22.5">
      <c r="A11" s="2233"/>
      <c r="B11" s="2233"/>
      <c r="C11" s="663"/>
      <c r="D11" s="709" t="s">
        <v>89</v>
      </c>
      <c r="E11" s="711" t="s">
        <v>928</v>
      </c>
      <c r="F11" s="711" t="s">
        <v>773</v>
      </c>
      <c r="G11" s="471" t="s">
        <v>516</v>
      </c>
      <c r="H11" s="471" t="s">
        <v>605</v>
      </c>
      <c r="I11" s="813" t="s">
        <v>516</v>
      </c>
      <c r="J11" s="814" t="s">
        <v>605</v>
      </c>
      <c r="K11" s="2090"/>
      <c r="L11" s="664"/>
    </row>
    <row s="2612" customFormat="1" customHeight="1" ht="10.5">
      <c r="A12" s="959"/>
      <c r="D12" s="1032" t="s">
        <v>193</v>
      </c>
      <c r="E12" s="1032" t="s">
        <v>104</v>
      </c>
      <c r="F12" s="1032" t="s">
        <v>91</v>
      </c>
      <c r="G12" s="1033" t="str">
        <f>G1&amp;".1"</f>
        <v>4.1</v>
      </c>
      <c r="H12" s="1033" t="str">
        <f>G1&amp;".2"</f>
        <v>4.2</v>
      </c>
      <c r="I12" s="1033" t="str">
        <f>I1&amp;".1"</f>
        <v>4.1</v>
      </c>
      <c r="J12" s="1033" t="str">
        <f>I1&amp;".2"</f>
        <v>4.2</v>
      </c>
      <c r="K12" s="1033"/>
    </row>
    <row customHeight="1" ht="22.5">
      <c r="A13" s="2232" t="s">
        <v>929</v>
      </c>
      <c r="D13" s="960" t="s">
        <v>193</v>
      </c>
      <c r="E13" s="267" t="s">
        <v>930</v>
      </c>
      <c r="F13" s="666" t="s">
        <v>931</v>
      </c>
      <c r="G13" s="563"/>
      <c r="H13" s="667"/>
      <c r="I13" s="563"/>
      <c r="J13" s="667"/>
      <c r="K13" s="277" t="s">
        <v>932</v>
      </c>
      <c r="L13" s="726"/>
    </row>
    <row customHeight="1" ht="22.5">
      <c r="A14" s="2232"/>
      <c r="D14" s="545" t="s">
        <v>104</v>
      </c>
      <c r="E14" s="267" t="s">
        <v>933</v>
      </c>
      <c r="F14" s="666" t="s">
        <v>934</v>
      </c>
      <c r="G14" s="563"/>
      <c r="H14" s="668"/>
      <c r="I14" s="563"/>
      <c r="J14" s="668"/>
      <c r="K14" s="277" t="s">
        <v>935</v>
      </c>
      <c r="L14" s="726"/>
    </row>
    <row s="2624" customFormat="1" customHeight="1" ht="78.75">
      <c r="A15" s="2232"/>
      <c r="B15" s="517"/>
      <c r="D15" s="960" t="s">
        <v>91</v>
      </c>
      <c r="E15" s="713" t="s">
        <v>936</v>
      </c>
      <c r="F15" s="957" t="s">
        <v>519</v>
      </c>
      <c r="G15" s="957" t="s">
        <v>519</v>
      </c>
      <c r="H15" s="92"/>
      <c r="I15" s="957" t="s">
        <v>519</v>
      </c>
      <c r="J15" s="92"/>
      <c r="K15" s="277" t="s">
        <v>937</v>
      </c>
      <c r="L15" s="726"/>
    </row>
    <row s="2624" customFormat="1" customHeight="1" ht="22.5">
      <c r="A16" s="2232"/>
      <c r="B16" s="517"/>
      <c r="D16" s="960" t="s">
        <v>539</v>
      </c>
      <c r="E16" s="961" t="s">
        <v>938</v>
      </c>
      <c r="F16" s="957" t="s">
        <v>939</v>
      </c>
      <c r="G16" s="823"/>
      <c r="H16" s="92"/>
      <c r="I16" s="823"/>
      <c r="J16" s="92"/>
      <c r="K16" s="277"/>
      <c r="L16" s="726"/>
    </row>
    <row s="2624" customFormat="1" customHeight="1" ht="22.5">
      <c r="A17" s="2232"/>
      <c r="B17" s="517"/>
      <c r="D17" s="960" t="s">
        <v>547</v>
      </c>
      <c r="E17" s="961" t="s">
        <v>940</v>
      </c>
      <c r="F17" s="957" t="s">
        <v>941</v>
      </c>
      <c r="G17" s="823"/>
      <c r="H17" s="92"/>
      <c r="I17" s="823"/>
      <c r="J17" s="92"/>
      <c r="K17" s="277"/>
      <c r="L17" s="726"/>
    </row>
    <row s="2624" customFormat="1" customHeight="1" ht="33.75">
      <c r="A18" s="2232"/>
      <c r="B18" s="517"/>
      <c r="D18" s="960" t="s">
        <v>549</v>
      </c>
      <c r="E18" s="961" t="s">
        <v>942</v>
      </c>
      <c r="F18" s="957" t="s">
        <v>778</v>
      </c>
      <c r="G18" s="686"/>
      <c r="H18" s="92"/>
      <c r="I18" s="686"/>
      <c r="J18" s="92"/>
      <c r="K18" s="277"/>
      <c r="L18" s="726"/>
    </row>
    <row customHeight="1" ht="101.25">
      <c r="A19" s="2232"/>
      <c r="D19" s="960" t="s">
        <v>92</v>
      </c>
      <c r="E19" s="267" t="s">
        <v>943</v>
      </c>
      <c r="F19" s="666" t="s">
        <v>753</v>
      </c>
      <c r="G19" s="669"/>
      <c r="H19" s="668"/>
      <c r="I19" s="962"/>
      <c r="J19" s="668"/>
      <c r="K19" s="277" t="s">
        <v>944</v>
      </c>
      <c r="L19" s="726"/>
    </row>
    <row s="2624" customFormat="1" customHeight="1" ht="18.75">
      <c r="A20" s="2232"/>
      <c r="C20" s="963"/>
      <c r="D20" s="960" t="s">
        <v>874</v>
      </c>
      <c r="E20" s="961" t="s">
        <v>945</v>
      </c>
      <c r="F20" s="957" t="s">
        <v>519</v>
      </c>
      <c r="G20" s="957" t="s">
        <v>519</v>
      </c>
      <c r="H20" s="956" t="s">
        <v>519</v>
      </c>
      <c r="I20" s="957" t="s">
        <v>519</v>
      </c>
      <c r="J20" s="956" t="s">
        <v>519</v>
      </c>
      <c r="K20" s="955"/>
      <c r="L20" s="726"/>
      <c r="W20" s="681"/>
    </row>
    <row s="2624" customFormat="1" customHeight="1" ht="33.75">
      <c r="A21" s="2232"/>
      <c r="C21" s="963"/>
      <c r="D21" s="960" t="s">
        <v>877</v>
      </c>
      <c r="E21" s="582" t="s">
        <v>946</v>
      </c>
      <c r="F21" s="957" t="s">
        <v>947</v>
      </c>
      <c r="G21" s="949"/>
      <c r="H21" s="92"/>
      <c r="I21" s="949"/>
      <c r="J21" s="92"/>
      <c r="K21" s="955"/>
      <c r="L21" s="726"/>
      <c r="W21" s="681"/>
    </row>
    <row s="2624" customFormat="1" customHeight="1" ht="33.75">
      <c r="A22" s="2232"/>
      <c r="C22" s="963"/>
      <c r="D22" s="960" t="s">
        <v>880</v>
      </c>
      <c r="E22" s="582" t="s">
        <v>948</v>
      </c>
      <c r="F22" s="957" t="s">
        <v>949</v>
      </c>
      <c r="G22" s="949"/>
      <c r="H22" s="92"/>
      <c r="I22" s="949"/>
      <c r="J22" s="92"/>
      <c r="K22" s="955"/>
      <c r="L22" s="726"/>
      <c r="W22" s="681"/>
    </row>
    <row s="2624" customFormat="1" customHeight="1" ht="22.5">
      <c r="A23" s="2232"/>
      <c r="C23" s="963"/>
      <c r="D23" s="960" t="s">
        <v>917</v>
      </c>
      <c r="E23" s="961" t="s">
        <v>950</v>
      </c>
      <c r="F23" s="957" t="s">
        <v>519</v>
      </c>
      <c r="G23" s="957" t="s">
        <v>519</v>
      </c>
      <c r="H23" s="956" t="s">
        <v>519</v>
      </c>
      <c r="I23" s="957" t="s">
        <v>519</v>
      </c>
      <c r="J23" s="956" t="s">
        <v>519</v>
      </c>
      <c r="K23" s="955"/>
      <c r="L23" s="726"/>
      <c r="W23" s="681"/>
    </row>
    <row s="2624" customFormat="1" customHeight="1" ht="22.5">
      <c r="A24" s="2232"/>
      <c r="C24" s="963"/>
      <c r="D24" s="960" t="s">
        <v>951</v>
      </c>
      <c r="E24" s="582" t="s">
        <v>952</v>
      </c>
      <c r="F24" s="957" t="s">
        <v>953</v>
      </c>
      <c r="G24" s="949"/>
      <c r="H24" s="692"/>
      <c r="I24" s="949"/>
      <c r="J24" s="692"/>
      <c r="K24" s="955"/>
      <c r="L24" s="726"/>
      <c r="W24" s="681"/>
    </row>
    <row s="2624" customFormat="1" customHeight="1" ht="22.5">
      <c r="A25" s="2232"/>
      <c r="C25" s="963"/>
      <c r="D25" s="960" t="s">
        <v>954</v>
      </c>
      <c r="E25" s="582" t="s">
        <v>955</v>
      </c>
      <c r="F25" s="957" t="s">
        <v>519</v>
      </c>
      <c r="G25" s="957" t="s">
        <v>519</v>
      </c>
      <c r="H25" s="956" t="s">
        <v>519</v>
      </c>
      <c r="I25" s="957" t="s">
        <v>519</v>
      </c>
      <c r="J25" s="956" t="s">
        <v>519</v>
      </c>
      <c r="K25" s="955"/>
      <c r="L25" s="726"/>
      <c r="W25" s="681"/>
    </row>
    <row s="2624" customFormat="1" customHeight="1" ht="18.75">
      <c r="A26" s="2232"/>
      <c r="C26" s="963"/>
      <c r="D26" s="960" t="s">
        <v>956</v>
      </c>
      <c r="E26" s="559" t="s">
        <v>957</v>
      </c>
      <c r="F26" s="957" t="s">
        <v>958</v>
      </c>
      <c r="G26" s="686"/>
      <c r="H26" s="692"/>
      <c r="I26" s="686"/>
      <c r="J26" s="692"/>
      <c r="K26" s="955"/>
      <c r="L26" s="726"/>
      <c r="W26" s="681"/>
    </row>
    <row s="2624" customFormat="1" customHeight="1" ht="18.75">
      <c r="A27" s="2232"/>
      <c r="C27" s="963"/>
      <c r="D27" s="960" t="s">
        <v>959</v>
      </c>
      <c r="E27" s="559" t="s">
        <v>960</v>
      </c>
      <c r="F27" s="957" t="s">
        <v>961</v>
      </c>
      <c r="G27" s="686"/>
      <c r="H27" s="692"/>
      <c r="I27" s="686"/>
      <c r="J27" s="692"/>
      <c r="K27" s="955"/>
      <c r="L27" s="726"/>
      <c r="W27" s="681"/>
    </row>
    <row s="2624" customFormat="1" customHeight="1" ht="18.75">
      <c r="A28" s="2232"/>
      <c r="C28" s="963"/>
      <c r="D28" s="960" t="s">
        <v>962</v>
      </c>
      <c r="E28" s="582" t="s">
        <v>963</v>
      </c>
      <c r="F28" s="957" t="s">
        <v>519</v>
      </c>
      <c r="G28" s="957" t="s">
        <v>519</v>
      </c>
      <c r="H28" s="956" t="s">
        <v>519</v>
      </c>
      <c r="I28" s="957" t="s">
        <v>519</v>
      </c>
      <c r="J28" s="956" t="s">
        <v>519</v>
      </c>
      <c r="K28" s="955"/>
      <c r="L28" s="726"/>
      <c r="W28" s="681"/>
    </row>
    <row s="2624" customFormat="1" customHeight="1" ht="18.75">
      <c r="A29" s="2232"/>
      <c r="C29" s="963"/>
      <c r="D29" s="960" t="s">
        <v>964</v>
      </c>
      <c r="E29" s="559" t="s">
        <v>957</v>
      </c>
      <c r="F29" s="957" t="s">
        <v>965</v>
      </c>
      <c r="G29" s="686"/>
      <c r="H29" s="692"/>
      <c r="I29" s="686"/>
      <c r="J29" s="692"/>
      <c r="K29" s="955"/>
      <c r="L29" s="726"/>
      <c r="W29" s="681"/>
    </row>
    <row s="2624" customFormat="1" customHeight="1" ht="18.75">
      <c r="A30" s="2232"/>
      <c r="C30" s="963"/>
      <c r="D30" s="960" t="s">
        <v>966</v>
      </c>
      <c r="E30" s="559" t="s">
        <v>967</v>
      </c>
      <c r="F30" s="957" t="s">
        <v>968</v>
      </c>
      <c r="G30" s="686"/>
      <c r="H30" s="692"/>
      <c r="I30" s="686"/>
      <c r="J30" s="692"/>
      <c r="K30" s="955"/>
      <c r="L30" s="726"/>
      <c r="W30" s="681"/>
    </row>
    <row customHeight="1" ht="126.75">
      <c r="A31" s="2232"/>
      <c r="D31" s="960" t="s">
        <v>116</v>
      </c>
      <c r="E31" s="267" t="s">
        <v>969</v>
      </c>
      <c r="F31" s="666" t="s">
        <v>765</v>
      </c>
      <c r="G31" s="563"/>
      <c r="H31" s="668"/>
      <c r="I31" s="563"/>
      <c r="J31" s="668"/>
      <c r="K31" s="277" t="s">
        <v>970</v>
      </c>
      <c r="L31" s="726"/>
    </row>
    <row customHeight="1" ht="56.25">
      <c r="A32" s="2232"/>
      <c r="D32" s="960" t="s">
        <v>93</v>
      </c>
      <c r="E32" s="267" t="s">
        <v>971</v>
      </c>
      <c r="F32" s="545" t="s">
        <v>941</v>
      </c>
      <c r="G32" s="563"/>
      <c r="H32" s="668"/>
      <c r="I32" s="563"/>
      <c r="J32" s="668"/>
      <c r="K32" s="277" t="s">
        <v>972</v>
      </c>
      <c r="L32" s="726"/>
    </row>
    <row customHeight="1" ht="11.25">
      <c r="A33" s="2232"/>
      <c r="E33" s="670"/>
      <c r="F33" s="167"/>
      <c r="G33" s="167"/>
      <c r="H33" s="167"/>
      <c r="I33" s="167"/>
      <c r="J33" s="167"/>
      <c r="K33" s="167"/>
    </row>
    <row customHeight="1" ht="12.75">
      <c r="A34" s="2232"/>
      <c r="D34" s="49">
        <v>1</v>
      </c>
      <c r="E34" s="331" t="s">
        <v>973</v>
      </c>
    </row>
    <row customHeight="1" ht="11.25">
      <c r="A35" s="2232"/>
      <c r="D35" s="369"/>
      <c r="E35" s="331" t="s">
        <v>974</v>
      </c>
    </row>
    <row s="2628" customFormat="1" customHeight="1" ht="11.25">
      <c r="A36" s="1040"/>
      <c r="B36" s="524"/>
      <c r="D36" s="1041"/>
      <c r="E36" s="1042"/>
    </row>
    <row s="2624" customFormat="1" customHeight="1" ht="22.5" hidden="1">
      <c r="A37" s="2232" t="s">
        <v>975</v>
      </c>
      <c r="B37" s="517"/>
      <c r="D37" s="960">
        <v>1</v>
      </c>
      <c r="E37" s="713" t="s">
        <v>976</v>
      </c>
      <c r="F37" s="666" t="s">
        <v>931</v>
      </c>
      <c r="G37" s="563"/>
      <c r="H37" s="525"/>
      <c r="I37" s="563"/>
      <c r="J37" s="525"/>
      <c r="K37" s="277" t="s">
        <v>977</v>
      </c>
    </row>
    <row s="2624" customFormat="1" customHeight="1" ht="22.5" hidden="1">
      <c r="A38" s="2232"/>
      <c r="B38" s="517"/>
      <c r="D38" s="675" t="s">
        <v>104</v>
      </c>
      <c r="E38" s="1039" t="s">
        <v>978</v>
      </c>
      <c r="F38" s="1043" t="s">
        <v>753</v>
      </c>
      <c r="G38" s="1043" t="s">
        <v>753</v>
      </c>
      <c r="H38" s="1037"/>
      <c r="I38" s="1043" t="s">
        <v>753</v>
      </c>
      <c r="J38" s="1037"/>
      <c r="K38" s="1038"/>
    </row>
    <row s="2624" customFormat="1" customHeight="1" ht="33.75" hidden="1">
      <c r="A39" s="2232"/>
      <c r="B39" s="517"/>
      <c r="D39" s="671" t="s">
        <v>832</v>
      </c>
      <c r="E39" s="729" t="s">
        <v>979</v>
      </c>
      <c r="F39" s="666" t="s">
        <v>980</v>
      </c>
      <c r="G39" s="674"/>
      <c r="H39" s="1030"/>
      <c r="I39" s="674"/>
      <c r="J39" s="1030"/>
      <c r="K39" s="277" t="s">
        <v>981</v>
      </c>
    </row>
    <row s="2624" customFormat="1" customHeight="1" ht="33.75" hidden="1">
      <c r="A40" s="2232"/>
      <c r="B40" s="517"/>
      <c r="D40" s="671" t="s">
        <v>835</v>
      </c>
      <c r="E40" s="729" t="s">
        <v>982</v>
      </c>
      <c r="F40" s="1034" t="s">
        <v>983</v>
      </c>
      <c r="G40" s="747"/>
      <c r="H40" s="1030"/>
      <c r="I40" s="747"/>
      <c r="J40" s="1030"/>
      <c r="K40" s="277" t="s">
        <v>984</v>
      </c>
    </row>
    <row s="2624" customFormat="1" customHeight="1" ht="22.5" hidden="1">
      <c r="A41" s="2232"/>
      <c r="B41" s="517"/>
      <c r="D41" s="671" t="s">
        <v>91</v>
      </c>
      <c r="E41" s="728" t="s">
        <v>985</v>
      </c>
      <c r="F41" s="666" t="s">
        <v>753</v>
      </c>
      <c r="G41" s="666" t="s">
        <v>753</v>
      </c>
      <c r="H41" s="1031"/>
      <c r="I41" s="666" t="s">
        <v>753</v>
      </c>
      <c r="J41" s="1031"/>
      <c r="K41" s="290"/>
    </row>
    <row s="2624" customFormat="1" customHeight="1" ht="45" hidden="1">
      <c r="A42" s="2232"/>
      <c r="B42" s="517"/>
      <c r="D42" s="671" t="s">
        <v>539</v>
      </c>
      <c r="E42" s="729" t="s">
        <v>986</v>
      </c>
      <c r="F42" s="666" t="s">
        <v>765</v>
      </c>
      <c r="G42" s="563"/>
      <c r="H42" s="1031"/>
      <c r="I42" s="563"/>
      <c r="J42" s="1031"/>
      <c r="K42" s="290" t="s">
        <v>987</v>
      </c>
    </row>
    <row s="2624" customFormat="1" customHeight="1" ht="45" hidden="1">
      <c r="A43" s="2232"/>
      <c r="B43" s="517"/>
      <c r="D43" s="671" t="s">
        <v>547</v>
      </c>
      <c r="E43" s="673" t="s">
        <v>988</v>
      </c>
      <c r="F43" s="1035" t="s">
        <v>765</v>
      </c>
      <c r="G43" s="748"/>
      <c r="H43" s="1030"/>
      <c r="I43" s="748"/>
      <c r="J43" s="1030"/>
      <c r="K43" s="290" t="s">
        <v>989</v>
      </c>
    </row>
    <row s="2624" customFormat="1" customHeight="1" ht="11.25" hidden="1">
      <c r="A44" s="2232"/>
      <c r="B44" s="517"/>
      <c r="D44" s="671" t="s">
        <v>92</v>
      </c>
      <c r="E44" s="672" t="s">
        <v>990</v>
      </c>
      <c r="F44" s="666" t="s">
        <v>980</v>
      </c>
      <c r="G44" s="674"/>
      <c r="H44" s="1030"/>
      <c r="I44" s="674"/>
      <c r="J44" s="1030"/>
      <c r="K44" s="277"/>
    </row>
    <row s="2624" customFormat="1" customHeight="1" ht="11.25" hidden="1">
      <c r="A45" s="2232"/>
      <c r="B45" s="517"/>
      <c r="D45" s="671" t="s">
        <v>874</v>
      </c>
      <c r="E45" s="673" t="s">
        <v>991</v>
      </c>
      <c r="F45" s="666" t="s">
        <v>980</v>
      </c>
      <c r="G45" s="674"/>
      <c r="H45" s="1030"/>
      <c r="I45" s="674"/>
      <c r="J45" s="1030"/>
      <c r="K45" s="277"/>
    </row>
    <row s="2624" customFormat="1" customHeight="1" ht="11.25" hidden="1">
      <c r="A46" s="2232"/>
      <c r="B46" s="517"/>
      <c r="D46" s="671" t="s">
        <v>917</v>
      </c>
      <c r="E46" s="673" t="s">
        <v>992</v>
      </c>
      <c r="F46" s="666" t="s">
        <v>980</v>
      </c>
      <c r="G46" s="674"/>
      <c r="H46" s="1030"/>
      <c r="I46" s="674"/>
      <c r="J46" s="1030"/>
      <c r="K46" s="277"/>
    </row>
    <row s="2624" customFormat="1" customHeight="1" ht="11.25" hidden="1">
      <c r="A47" s="2232"/>
      <c r="B47" s="517"/>
      <c r="D47" s="671" t="s">
        <v>920</v>
      </c>
      <c r="E47" s="673" t="s">
        <v>993</v>
      </c>
      <c r="F47" s="666" t="s">
        <v>980</v>
      </c>
      <c r="G47" s="674"/>
      <c r="H47" s="1030"/>
      <c r="I47" s="674"/>
      <c r="J47" s="1030"/>
      <c r="K47" s="277"/>
    </row>
    <row s="2624" customFormat="1" customHeight="1" ht="11.25" hidden="1">
      <c r="A48" s="2232"/>
      <c r="B48" s="517"/>
      <c r="D48" s="671" t="s">
        <v>994</v>
      </c>
      <c r="E48" s="677" t="s">
        <v>995</v>
      </c>
      <c r="F48" s="666" t="s">
        <v>980</v>
      </c>
      <c r="G48" s="674"/>
      <c r="H48" s="1030"/>
      <c r="I48" s="674"/>
      <c r="J48" s="1030"/>
      <c r="K48" s="277"/>
    </row>
    <row s="2624" customFormat="1" customHeight="1" ht="11.25" hidden="1">
      <c r="A49" s="2232"/>
      <c r="B49" s="517"/>
      <c r="D49" s="671" t="s">
        <v>996</v>
      </c>
      <c r="E49" s="677" t="s">
        <v>997</v>
      </c>
      <c r="F49" s="666" t="s">
        <v>980</v>
      </c>
      <c r="G49" s="674"/>
      <c r="H49" s="1030"/>
      <c r="I49" s="674"/>
      <c r="J49" s="1030"/>
      <c r="K49" s="277"/>
    </row>
    <row s="2624" customFormat="1" customHeight="1" ht="11.25" hidden="1">
      <c r="A50" s="2232"/>
      <c r="B50" s="517"/>
      <c r="D50" s="671" t="s">
        <v>998</v>
      </c>
      <c r="E50" s="673" t="s">
        <v>999</v>
      </c>
      <c r="F50" s="666" t="s">
        <v>980</v>
      </c>
      <c r="G50" s="674"/>
      <c r="H50" s="1030"/>
      <c r="I50" s="674"/>
      <c r="J50" s="1030"/>
      <c r="K50" s="277"/>
    </row>
    <row s="2624" customFormat="1" customHeight="1" ht="11.25" hidden="1">
      <c r="A51" s="2232"/>
      <c r="B51" s="517"/>
      <c r="D51" s="671" t="s">
        <v>1000</v>
      </c>
      <c r="E51" s="673" t="s">
        <v>1001</v>
      </c>
      <c r="F51" s="666" t="s">
        <v>980</v>
      </c>
      <c r="G51" s="674"/>
      <c r="H51" s="1030"/>
      <c r="I51" s="674"/>
      <c r="J51" s="1030"/>
      <c r="K51" s="277"/>
    </row>
    <row s="2624" customFormat="1" customHeight="1" ht="45" hidden="1">
      <c r="A52" s="2232"/>
      <c r="B52" s="517"/>
      <c r="D52" s="671" t="s">
        <v>116</v>
      </c>
      <c r="E52" s="672" t="s">
        <v>1002</v>
      </c>
      <c r="F52" s="666" t="s">
        <v>980</v>
      </c>
      <c r="G52" s="674"/>
      <c r="H52" s="1030"/>
      <c r="I52" s="674"/>
      <c r="J52" s="1030"/>
      <c r="K52" s="277"/>
    </row>
    <row s="2624" customFormat="1" customHeight="1" ht="11.25" hidden="1">
      <c r="A53" s="2232"/>
      <c r="B53" s="517"/>
      <c r="D53" s="671" t="s">
        <v>528</v>
      </c>
      <c r="E53" s="673" t="s">
        <v>991</v>
      </c>
      <c r="F53" s="666" t="s">
        <v>980</v>
      </c>
      <c r="G53" s="674"/>
      <c r="H53" s="1030"/>
      <c r="I53" s="674"/>
      <c r="J53" s="1030"/>
      <c r="K53" s="277"/>
    </row>
    <row s="2624" customFormat="1" customHeight="1" ht="11.25" hidden="1">
      <c r="A54" s="2232"/>
      <c r="B54" s="517"/>
      <c r="D54" s="671" t="s">
        <v>530</v>
      </c>
      <c r="E54" s="673" t="s">
        <v>992</v>
      </c>
      <c r="F54" s="666" t="s">
        <v>980</v>
      </c>
      <c r="G54" s="674"/>
      <c r="H54" s="1030"/>
      <c r="I54" s="674"/>
      <c r="J54" s="1030"/>
      <c r="K54" s="277"/>
    </row>
    <row s="2624" customFormat="1" customHeight="1" ht="11.25" hidden="1">
      <c r="A55" s="2232"/>
      <c r="B55" s="517"/>
      <c r="D55" s="671" t="s">
        <v>533</v>
      </c>
      <c r="E55" s="673" t="s">
        <v>993</v>
      </c>
      <c r="F55" s="666" t="s">
        <v>980</v>
      </c>
      <c r="G55" s="674"/>
      <c r="H55" s="1030"/>
      <c r="I55" s="674"/>
      <c r="J55" s="1030"/>
      <c r="K55" s="277"/>
    </row>
    <row s="2624" customFormat="1" customHeight="1" ht="11.25" hidden="1">
      <c r="A56" s="2232"/>
      <c r="B56" s="517"/>
      <c r="D56" s="671" t="s">
        <v>1003</v>
      </c>
      <c r="E56" s="677" t="s">
        <v>995</v>
      </c>
      <c r="F56" s="666" t="s">
        <v>980</v>
      </c>
      <c r="G56" s="674"/>
      <c r="H56" s="1030"/>
      <c r="I56" s="674"/>
      <c r="J56" s="1030"/>
      <c r="K56" s="277"/>
    </row>
    <row s="2624" customFormat="1" customHeight="1" ht="11.25" hidden="1">
      <c r="A57" s="2232"/>
      <c r="B57" s="517"/>
      <c r="D57" s="671" t="s">
        <v>1004</v>
      </c>
      <c r="E57" s="677" t="s">
        <v>997</v>
      </c>
      <c r="F57" s="666" t="s">
        <v>980</v>
      </c>
      <c r="G57" s="674"/>
      <c r="H57" s="1030"/>
      <c r="I57" s="674"/>
      <c r="J57" s="1030"/>
      <c r="K57" s="277"/>
    </row>
    <row s="2624" customFormat="1" customHeight="1" ht="11.25" hidden="1">
      <c r="A58" s="2232"/>
      <c r="B58" s="517"/>
      <c r="D58" s="671" t="s">
        <v>535</v>
      </c>
      <c r="E58" s="673" t="s">
        <v>999</v>
      </c>
      <c r="F58" s="666" t="s">
        <v>980</v>
      </c>
      <c r="G58" s="674"/>
      <c r="H58" s="1030"/>
      <c r="I58" s="674"/>
      <c r="J58" s="1030"/>
      <c r="K58" s="277"/>
    </row>
    <row s="2624" customFormat="1" customHeight="1" ht="11.25" hidden="1">
      <c r="A59" s="2232"/>
      <c r="B59" s="517"/>
      <c r="D59" s="671" t="s">
        <v>1005</v>
      </c>
      <c r="E59" s="673" t="s">
        <v>1001</v>
      </c>
      <c r="F59" s="666" t="s">
        <v>980</v>
      </c>
      <c r="G59" s="674"/>
      <c r="H59" s="1030"/>
      <c r="I59" s="674"/>
      <c r="J59" s="1030"/>
      <c r="K59" s="277"/>
    </row>
    <row s="2624" customFormat="1" customHeight="1" ht="33.75" hidden="1">
      <c r="A60" s="2232"/>
      <c r="B60" s="517"/>
      <c r="D60" s="671" t="s">
        <v>93</v>
      </c>
      <c r="E60" s="672" t="s">
        <v>1006</v>
      </c>
      <c r="F60" s="727" t="s">
        <v>765</v>
      </c>
      <c r="G60" s="748"/>
      <c r="H60" s="1030"/>
      <c r="I60" s="748"/>
      <c r="J60" s="1030"/>
      <c r="K60" s="290" t="s">
        <v>1007</v>
      </c>
    </row>
    <row s="2624" customFormat="1" customHeight="1" ht="33.75" hidden="1">
      <c r="A61" s="2232"/>
      <c r="B61" s="517"/>
      <c r="D61" s="671" t="s">
        <v>94</v>
      </c>
      <c r="E61" s="672" t="s">
        <v>1008</v>
      </c>
      <c r="F61" s="732" t="s">
        <v>941</v>
      </c>
      <c r="G61" s="674"/>
      <c r="H61" s="1030"/>
      <c r="I61" s="674"/>
      <c r="J61" s="1030"/>
      <c r="K61" s="277"/>
    </row>
    <row s="2624" customFormat="1" customHeight="1" ht="22.5" hidden="1">
      <c r="A62" s="2232"/>
      <c r="B62" s="517" t="s">
        <v>795</v>
      </c>
      <c r="D62" s="671" t="s">
        <v>130</v>
      </c>
      <c r="E62" s="672" t="s">
        <v>1009</v>
      </c>
      <c r="F62" s="732" t="s">
        <v>519</v>
      </c>
      <c r="G62" s="388"/>
      <c r="H62" s="1030"/>
      <c r="I62" s="388"/>
      <c r="J62" s="1030"/>
      <c r="K62" s="277" t="s">
        <v>1010</v>
      </c>
    </row>
    <row s="2624" customFormat="1" customHeight="1" ht="45" hidden="1">
      <c r="A63" s="2232"/>
      <c r="B63" s="517" t="s">
        <v>795</v>
      </c>
      <c r="D63" s="671" t="s">
        <v>1011</v>
      </c>
      <c r="E63" s="673" t="s">
        <v>1012</v>
      </c>
      <c r="F63" s="727" t="s">
        <v>519</v>
      </c>
      <c r="G63" s="388"/>
      <c r="H63" s="1030"/>
      <c r="I63" s="388"/>
      <c r="J63" s="1030"/>
      <c r="K63" s="277" t="s">
        <v>1010</v>
      </c>
    </row>
    <row s="2628" customFormat="1" customHeight="1" ht="11.25">
      <c r="A64" s="1040"/>
      <c r="B64" s="524"/>
      <c r="D64" s="1041"/>
      <c r="E64" s="1042"/>
    </row>
    <row s="2624" customFormat="1" customHeight="1" ht="22.5" hidden="1">
      <c r="A65" s="2232" t="s">
        <v>1013</v>
      </c>
      <c r="B65" s="517"/>
      <c r="D65" s="671">
        <v>1</v>
      </c>
      <c r="E65" s="750" t="s">
        <v>1014</v>
      </c>
      <c r="F65" s="746" t="s">
        <v>931</v>
      </c>
      <c r="G65" s="747"/>
      <c r="H65" s="1036"/>
      <c r="I65" s="747"/>
      <c r="J65" s="1036"/>
      <c r="K65" s="289" t="s">
        <v>1015</v>
      </c>
    </row>
    <row s="2624" customFormat="1" customHeight="1" ht="56.25" hidden="1">
      <c r="A66" s="2232"/>
      <c r="B66" s="517"/>
      <c r="D66" s="749" t="s">
        <v>104</v>
      </c>
      <c r="E66" s="713" t="s">
        <v>1016</v>
      </c>
      <c r="F66" s="666" t="s">
        <v>753</v>
      </c>
      <c r="G66" s="666" t="s">
        <v>753</v>
      </c>
      <c r="H66" s="525"/>
      <c r="I66" s="666" t="s">
        <v>753</v>
      </c>
      <c r="J66" s="525"/>
      <c r="K66" s="277"/>
    </row>
    <row s="2624" customFormat="1" customHeight="1" ht="33.75" hidden="1">
      <c r="A67" s="2232"/>
      <c r="B67" s="517"/>
      <c r="D67" s="749" t="s">
        <v>829</v>
      </c>
      <c r="E67" s="961" t="s">
        <v>1017</v>
      </c>
      <c r="F67" s="666" t="s">
        <v>983</v>
      </c>
      <c r="G67" s="733"/>
      <c r="H67" s="525"/>
      <c r="I67" s="733"/>
      <c r="J67" s="525"/>
      <c r="K67" s="277"/>
    </row>
    <row s="2624" customFormat="1" customHeight="1" ht="22.5" hidden="1">
      <c r="A68" s="2232"/>
      <c r="B68" s="517"/>
      <c r="D68" s="749" t="s">
        <v>520</v>
      </c>
      <c r="E68" s="961" t="s">
        <v>1018</v>
      </c>
      <c r="F68" s="666" t="s">
        <v>983</v>
      </c>
      <c r="G68" s="733"/>
      <c r="H68" s="525"/>
      <c r="I68" s="733"/>
      <c r="J68" s="525"/>
      <c r="K68" s="277"/>
    </row>
    <row s="2624" customFormat="1" customHeight="1" ht="22.5" hidden="1">
      <c r="A69" s="2232"/>
      <c r="B69" s="517"/>
      <c r="D69" s="749" t="s">
        <v>523</v>
      </c>
      <c r="E69" s="961" t="s">
        <v>1019</v>
      </c>
      <c r="F69" s="727" t="s">
        <v>765</v>
      </c>
      <c r="G69" s="748"/>
      <c r="H69" s="525"/>
      <c r="I69" s="748"/>
      <c r="J69" s="525"/>
      <c r="K69" s="277"/>
    </row>
    <row s="2624" customFormat="1" customHeight="1" ht="22.5" hidden="1">
      <c r="A70" s="2232"/>
      <c r="B70" s="517"/>
      <c r="D70" s="749" t="s">
        <v>849</v>
      </c>
      <c r="E70" s="961" t="s">
        <v>1020</v>
      </c>
      <c r="F70" s="727" t="s">
        <v>765</v>
      </c>
      <c r="G70" s="748"/>
      <c r="H70" s="525"/>
      <c r="I70" s="748"/>
      <c r="J70" s="525"/>
      <c r="K70" s="277"/>
    </row>
    <row s="2624" customFormat="1" customHeight="1" ht="22.5" hidden="1">
      <c r="A71" s="2232"/>
      <c r="B71" s="517"/>
      <c r="D71" s="671" t="s">
        <v>91</v>
      </c>
      <c r="E71" s="672" t="s">
        <v>1021</v>
      </c>
      <c r="F71" s="666" t="s">
        <v>983</v>
      </c>
      <c r="G71" s="563"/>
      <c r="H71" s="1037"/>
      <c r="I71" s="563"/>
      <c r="J71" s="1037"/>
      <c r="K71" s="290"/>
    </row>
    <row s="2624" customFormat="1" customHeight="1" ht="56.25" hidden="1">
      <c r="A72" s="2232"/>
      <c r="B72" s="517"/>
      <c r="D72" s="671" t="s">
        <v>92</v>
      </c>
      <c r="E72" s="672" t="s">
        <v>1022</v>
      </c>
      <c r="F72" s="727" t="s">
        <v>765</v>
      </c>
      <c r="G72" s="748"/>
      <c r="H72" s="1030"/>
      <c r="I72" s="748"/>
      <c r="J72" s="1030"/>
      <c r="K72" s="290"/>
    </row>
    <row s="2624" customFormat="1" customHeight="1" ht="33.75" hidden="1">
      <c r="A73" s="2232"/>
      <c r="B73" s="517"/>
      <c r="D73" s="671" t="s">
        <v>116</v>
      </c>
      <c r="E73" s="672" t="s">
        <v>1023</v>
      </c>
      <c r="F73" s="732" t="s">
        <v>941</v>
      </c>
      <c r="G73" s="674"/>
      <c r="H73" s="1030"/>
      <c r="I73" s="674"/>
      <c r="J73" s="1030"/>
      <c r="K73" s="277"/>
    </row>
    <row s="2624" customFormat="1" customHeight="1" ht="22.5" hidden="1">
      <c r="A74" s="2232"/>
      <c r="B74" s="517" t="s">
        <v>795</v>
      </c>
      <c r="D74" s="671" t="s">
        <v>93</v>
      </c>
      <c r="E74" s="672" t="s">
        <v>1024</v>
      </c>
      <c r="F74" s="732" t="s">
        <v>519</v>
      </c>
      <c r="G74" s="388"/>
      <c r="H74" s="1030"/>
      <c r="I74" s="388"/>
      <c r="J74" s="1030"/>
      <c r="K74" s="277" t="s">
        <v>1010</v>
      </c>
    </row>
    <row s="2624" customFormat="1" customHeight="1" ht="45" hidden="1">
      <c r="A75" s="2232"/>
      <c r="B75" s="517" t="s">
        <v>795</v>
      </c>
      <c r="D75" s="671" t="s">
        <v>1025</v>
      </c>
      <c r="E75" s="673" t="s">
        <v>1026</v>
      </c>
      <c r="F75" s="727" t="s">
        <v>519</v>
      </c>
      <c r="G75" s="388"/>
      <c r="H75" s="1030"/>
      <c r="I75" s="388"/>
      <c r="J75" s="1030"/>
      <c r="K75" s="277" t="s">
        <v>1010</v>
      </c>
    </row>
    <row s="2628" customFormat="1" customHeight="1" ht="11.25">
      <c r="A76" s="1040"/>
      <c r="B76" s="524"/>
      <c r="D76" s="1041"/>
      <c r="E76" s="1042"/>
    </row>
    <row s="2624" customFormat="1" customHeight="1" ht="11.25" hidden="1">
      <c r="A77" s="2232" t="s">
        <v>1027</v>
      </c>
      <c r="B77" s="517"/>
      <c r="D77" s="671">
        <v>1</v>
      </c>
      <c r="E77" s="672" t="s">
        <v>1028</v>
      </c>
      <c r="F77" s="727" t="s">
        <v>931</v>
      </c>
      <c r="G77" s="730"/>
      <c r="H77" s="1030"/>
      <c r="I77" s="730"/>
      <c r="J77" s="1030"/>
      <c r="K77" s="277" t="s">
        <v>1029</v>
      </c>
    </row>
    <row s="2624" customFormat="1" customHeight="1" ht="11.25" hidden="1">
      <c r="A78" s="2232"/>
      <c r="B78" s="517"/>
      <c r="D78" s="671" t="s">
        <v>104</v>
      </c>
      <c r="E78" s="672" t="s">
        <v>1030</v>
      </c>
      <c r="F78" s="727" t="s">
        <v>931</v>
      </c>
      <c r="G78" s="730"/>
      <c r="H78" s="1030"/>
      <c r="I78" s="730"/>
      <c r="J78" s="1030"/>
      <c r="K78" s="277" t="s">
        <v>1031</v>
      </c>
    </row>
    <row s="2624" customFormat="1" customHeight="1" ht="22.5" hidden="1">
      <c r="A79" s="2232"/>
      <c r="B79" s="517"/>
      <c r="D79" s="671" t="s">
        <v>91</v>
      </c>
      <c r="E79" s="728" t="s">
        <v>1032</v>
      </c>
      <c r="F79" s="666" t="s">
        <v>980</v>
      </c>
      <c r="G79" s="730"/>
      <c r="H79" s="1030"/>
      <c r="I79" s="730"/>
      <c r="J79" s="1030"/>
      <c r="K79" s="277" t="s">
        <v>1033</v>
      </c>
    </row>
    <row s="2624" customFormat="1" customHeight="1" ht="11.25" hidden="1">
      <c r="A80" s="2232"/>
      <c r="B80" s="517"/>
      <c r="D80" s="671" t="s">
        <v>539</v>
      </c>
      <c r="E80" s="729" t="s">
        <v>1034</v>
      </c>
      <c r="F80" s="666" t="s">
        <v>980</v>
      </c>
      <c r="G80" s="730"/>
      <c r="H80" s="1030"/>
      <c r="I80" s="730"/>
      <c r="J80" s="1030"/>
      <c r="K80" s="277"/>
    </row>
    <row s="2624" customFormat="1" customHeight="1" ht="11.25" hidden="1">
      <c r="A81" s="2232"/>
      <c r="B81" s="517"/>
      <c r="D81" s="671" t="s">
        <v>547</v>
      </c>
      <c r="E81" s="729" t="s">
        <v>1035</v>
      </c>
      <c r="F81" s="666" t="s">
        <v>980</v>
      </c>
      <c r="G81" s="730"/>
      <c r="H81" s="1030"/>
      <c r="I81" s="730"/>
      <c r="J81" s="1030"/>
      <c r="K81" s="277"/>
    </row>
    <row s="2624" customFormat="1" customHeight="1" ht="11.25" hidden="1">
      <c r="A82" s="2232"/>
      <c r="B82" s="517"/>
      <c r="D82" s="671" t="s">
        <v>549</v>
      </c>
      <c r="E82" s="729" t="s">
        <v>1036</v>
      </c>
      <c r="F82" s="666" t="s">
        <v>980</v>
      </c>
      <c r="G82" s="730"/>
      <c r="H82" s="1030"/>
      <c r="I82" s="730"/>
      <c r="J82" s="1030"/>
      <c r="K82" s="277"/>
    </row>
    <row s="2624" customFormat="1" customHeight="1" ht="11.25" hidden="1">
      <c r="A83" s="2232"/>
      <c r="B83" s="517"/>
      <c r="D83" s="671" t="s">
        <v>551</v>
      </c>
      <c r="E83" s="729" t="s">
        <v>1037</v>
      </c>
      <c r="F83" s="666" t="s">
        <v>980</v>
      </c>
      <c r="G83" s="730"/>
      <c r="H83" s="1030"/>
      <c r="I83" s="730"/>
      <c r="J83" s="1030"/>
      <c r="K83" s="277"/>
    </row>
    <row s="2624" customFormat="1" customHeight="1" ht="11.25" hidden="1">
      <c r="A84" s="2232"/>
      <c r="B84" s="517"/>
      <c r="D84" s="671" t="s">
        <v>1038</v>
      </c>
      <c r="E84" s="729" t="s">
        <v>1039</v>
      </c>
      <c r="F84" s="666" t="s">
        <v>980</v>
      </c>
      <c r="G84" s="730"/>
      <c r="H84" s="1030"/>
      <c r="I84" s="730"/>
      <c r="J84" s="1030"/>
      <c r="K84" s="277"/>
    </row>
    <row s="2624" customFormat="1" customHeight="1" ht="11.25" hidden="1">
      <c r="A85" s="2232"/>
      <c r="B85" s="517"/>
      <c r="D85" s="671" t="s">
        <v>1040</v>
      </c>
      <c r="E85" s="729" t="s">
        <v>1041</v>
      </c>
      <c r="F85" s="666" t="s">
        <v>980</v>
      </c>
      <c r="G85" s="730"/>
      <c r="H85" s="1030"/>
      <c r="I85" s="730"/>
      <c r="J85" s="1030"/>
      <c r="K85" s="277"/>
    </row>
    <row s="2624" customFormat="1" customHeight="1" ht="11.25" hidden="1">
      <c r="A86" s="2232"/>
      <c r="B86" s="517"/>
      <c r="D86" s="671" t="s">
        <v>1042</v>
      </c>
      <c r="E86" s="729" t="s">
        <v>1043</v>
      </c>
      <c r="F86" s="666" t="s">
        <v>980</v>
      </c>
      <c r="G86" s="730"/>
      <c r="H86" s="1030"/>
      <c r="I86" s="730"/>
      <c r="J86" s="1030"/>
      <c r="K86" s="277"/>
    </row>
    <row s="2624" customFormat="1" customHeight="1" ht="45" hidden="1">
      <c r="A87" s="2232"/>
      <c r="B87" s="517"/>
      <c r="D87" s="671" t="s">
        <v>92</v>
      </c>
      <c r="E87" s="672" t="s">
        <v>1044</v>
      </c>
      <c r="F87" s="666" t="s">
        <v>980</v>
      </c>
      <c r="G87" s="730"/>
      <c r="H87" s="1030"/>
      <c r="I87" s="730"/>
      <c r="J87" s="1030"/>
      <c r="K87" s="277" t="s">
        <v>1045</v>
      </c>
    </row>
    <row s="2624" customFormat="1" customHeight="1" ht="11.25" hidden="1">
      <c r="A88" s="2232"/>
      <c r="B88" s="517"/>
      <c r="D88" s="671" t="s">
        <v>874</v>
      </c>
      <c r="E88" s="729" t="s">
        <v>1034</v>
      </c>
      <c r="F88" s="666" t="s">
        <v>980</v>
      </c>
      <c r="G88" s="730"/>
      <c r="H88" s="1030"/>
      <c r="I88" s="730"/>
      <c r="J88" s="1030"/>
      <c r="K88" s="277"/>
    </row>
    <row s="2624" customFormat="1" customHeight="1" ht="11.25" hidden="1">
      <c r="A89" s="2232"/>
      <c r="B89" s="517"/>
      <c r="D89" s="671" t="s">
        <v>917</v>
      </c>
      <c r="E89" s="729" t="s">
        <v>1035</v>
      </c>
      <c r="F89" s="666" t="s">
        <v>980</v>
      </c>
      <c r="G89" s="730"/>
      <c r="H89" s="1030"/>
      <c r="I89" s="730"/>
      <c r="J89" s="1030"/>
      <c r="K89" s="277"/>
    </row>
    <row s="2624" customFormat="1" customHeight="1" ht="11.25" hidden="1">
      <c r="A90" s="2232"/>
      <c r="B90" s="517"/>
      <c r="D90" s="671" t="s">
        <v>920</v>
      </c>
      <c r="E90" s="729" t="s">
        <v>1036</v>
      </c>
      <c r="F90" s="666" t="s">
        <v>980</v>
      </c>
      <c r="G90" s="730"/>
      <c r="H90" s="1030"/>
      <c r="I90" s="730"/>
      <c r="J90" s="1030"/>
      <c r="K90" s="277"/>
    </row>
    <row s="2624" customFormat="1" customHeight="1" ht="11.25" hidden="1">
      <c r="A91" s="2232"/>
      <c r="B91" s="517"/>
      <c r="D91" s="671" t="s">
        <v>998</v>
      </c>
      <c r="E91" s="729" t="s">
        <v>1037</v>
      </c>
      <c r="F91" s="666" t="s">
        <v>980</v>
      </c>
      <c r="G91" s="730"/>
      <c r="H91" s="1030"/>
      <c r="I91" s="730"/>
      <c r="J91" s="1030"/>
      <c r="K91" s="277"/>
    </row>
    <row s="2624" customFormat="1" customHeight="1" ht="11.25" hidden="1">
      <c r="A92" s="2232"/>
      <c r="B92" s="517"/>
      <c r="D92" s="671" t="s">
        <v>1000</v>
      </c>
      <c r="E92" s="729" t="s">
        <v>1039</v>
      </c>
      <c r="F92" s="666" t="s">
        <v>980</v>
      </c>
      <c r="G92" s="730"/>
      <c r="H92" s="1030"/>
      <c r="I92" s="730"/>
      <c r="J92" s="1030"/>
      <c r="K92" s="277"/>
    </row>
    <row s="2624" customFormat="1" customHeight="1" ht="11.25" hidden="1">
      <c r="A93" s="2232"/>
      <c r="B93" s="517"/>
      <c r="D93" s="671" t="s">
        <v>1046</v>
      </c>
      <c r="E93" s="729" t="s">
        <v>1041</v>
      </c>
      <c r="F93" s="666" t="s">
        <v>980</v>
      </c>
      <c r="G93" s="730"/>
      <c r="H93" s="1030"/>
      <c r="I93" s="730"/>
      <c r="J93" s="1030"/>
      <c r="K93" s="277"/>
    </row>
    <row s="2624" customFormat="1" customHeight="1" ht="11.25" hidden="1">
      <c r="A94" s="2232"/>
      <c r="B94" s="517"/>
      <c r="D94" s="671" t="s">
        <v>1047</v>
      </c>
      <c r="E94" s="729" t="s">
        <v>1043</v>
      </c>
      <c r="F94" s="666" t="s">
        <v>980</v>
      </c>
      <c r="G94" s="730"/>
      <c r="H94" s="1030"/>
      <c r="I94" s="730"/>
      <c r="J94" s="1030"/>
      <c r="K94" s="277"/>
    </row>
    <row s="2624" customFormat="1" customHeight="1" ht="24.75" hidden="1">
      <c r="A95" s="2232"/>
      <c r="B95" s="517"/>
      <c r="D95" s="671" t="s">
        <v>116</v>
      </c>
      <c r="E95" s="672" t="s">
        <v>1048</v>
      </c>
      <c r="F95" s="731" t="s">
        <v>765</v>
      </c>
      <c r="G95" s="733"/>
      <c r="H95" s="1030"/>
      <c r="I95" s="733"/>
      <c r="J95" s="1030"/>
      <c r="K95" s="277" t="s">
        <v>1049</v>
      </c>
    </row>
    <row s="2624" customFormat="1" customHeight="1" ht="33.75" hidden="1">
      <c r="A96" s="2232"/>
      <c r="B96" s="517"/>
      <c r="D96" s="671" t="s">
        <v>93</v>
      </c>
      <c r="E96" s="672" t="s">
        <v>1050</v>
      </c>
      <c r="F96" s="732" t="s">
        <v>941</v>
      </c>
      <c r="G96" s="734"/>
      <c r="H96" s="1030"/>
      <c r="I96" s="734"/>
      <c r="J96" s="1030"/>
      <c r="K96" s="277"/>
    </row>
    <row s="2624" customFormat="1" customHeight="1" ht="22.5" hidden="1">
      <c r="A97" s="2232"/>
      <c r="B97" s="517" t="s">
        <v>795</v>
      </c>
      <c r="D97" s="671" t="s">
        <v>94</v>
      </c>
      <c r="E97" s="672" t="s">
        <v>1051</v>
      </c>
      <c r="F97" s="732" t="s">
        <v>519</v>
      </c>
      <c r="G97" s="391"/>
      <c r="H97" s="1030"/>
      <c r="I97" s="391"/>
      <c r="J97" s="1030"/>
      <c r="K97" s="277" t="s">
        <v>1010</v>
      </c>
    </row>
    <row s="2624" customFormat="1" customHeight="1" ht="45" hidden="1">
      <c r="A98" s="2232"/>
      <c r="B98" s="517" t="s">
        <v>795</v>
      </c>
      <c r="D98" s="671" t="s">
        <v>1052</v>
      </c>
      <c r="E98" s="673" t="s">
        <v>1053</v>
      </c>
      <c r="F98" s="727" t="s">
        <v>519</v>
      </c>
      <c r="G98" s="391"/>
      <c r="H98" s="1030"/>
      <c r="I98" s="391"/>
      <c r="J98" s="1030"/>
      <c r="K98" s="277" t="s">
        <v>1010</v>
      </c>
    </row>
    <row s="2624" customFormat="1" customHeight="1" ht="95.25" hidden="1">
      <c r="A99" s="2232"/>
      <c r="B99" s="517" t="s">
        <v>795</v>
      </c>
      <c r="D99" s="671" t="s">
        <v>130</v>
      </c>
      <c r="E99" s="672" t="s">
        <v>1054</v>
      </c>
      <c r="F99" s="727" t="s">
        <v>519</v>
      </c>
      <c r="G99" s="391"/>
      <c r="H99" s="1030"/>
      <c r="I99" s="391"/>
      <c r="J99" s="1030"/>
      <c r="K99" s="277" t="s">
        <v>1010</v>
      </c>
    </row>
    <row s="2624" customFormat="1" customHeight="1" ht="22.5" hidden="1">
      <c r="A100" s="2232"/>
      <c r="B100" s="517" t="s">
        <v>795</v>
      </c>
      <c r="D100" s="671" t="s">
        <v>135</v>
      </c>
      <c r="E100" s="672" t="s">
        <v>1055</v>
      </c>
      <c r="F100" s="727" t="s">
        <v>519</v>
      </c>
      <c r="G100" s="391"/>
      <c r="H100" s="1030"/>
      <c r="I100" s="391"/>
      <c r="J100" s="1030"/>
      <c r="K100" s="277" t="s">
        <v>1010</v>
      </c>
    </row>
    <row s="2628" customFormat="1" customHeight="1" ht="11.25">
      <c r="A101" s="1040"/>
      <c r="B101" s="524"/>
      <c r="D101" s="1041"/>
      <c r="E101" s="1042"/>
    </row>
  </sheetData>
  <sheetProtection formatColumns="0" formatRows="0" autoFilter="0" sort="0" insertRows="0" insertColumns="1" deleteRows="0" deleteColumns="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788EA3-D69F-1F2F-BEB3-C88EADA15404}" mc:Ignorable="x14ac xr xr2 xr3">
  <sheetPr>
    <tabColor rgb="FFE26B0A"/>
  </sheetPr>
  <dimension ref="A1:U39"/>
  <sheetViews>
    <sheetView topLeftCell="A1" showGridLines="0" zoomScale="90" workbookViewId="0">
      <selection activeCell="A1" sqref="A1"/>
    </sheetView>
  </sheetViews>
  <sheetFormatPr defaultColWidth="10.57421875" customHeight="1" defaultRowHeight="15"/>
  <cols>
    <col min="1" max="1" style="3193" width="9.140625" hidden="1" customWidth="1"/>
    <col min="2" max="2" style="3195" width="9.140625" hidden="1" customWidth="1"/>
    <col min="3" max="3" style="12640" width="4.7109375" customWidth="1"/>
    <col min="4" max="4" style="3195" width="6.28125" customWidth="1"/>
    <col min="5" max="5" style="3195" width="36.7109375" customWidth="1"/>
    <col min="6" max="6" style="3195" width="9.57421875" customWidth="1"/>
    <col min="7" max="7" style="2624" width="25.7109375" hidden="1" customWidth="1"/>
    <col min="8" max="8" style="2624" width="33.7109375" hidden="1" customWidth="1"/>
    <col min="9" max="9" style="3195" width="25.7109375" customWidth="1"/>
    <col min="10" max="10" style="3195" width="33.7109375" customWidth="1"/>
    <col min="11" max="11" style="2625" width="93.421875" customWidth="1"/>
    <col min="12" max="20" style="3195" width="10.57421875"/>
    <col min="21" max="21" style="12574" width="10.57421875"/>
  </cols>
  <sheetData>
    <row s="2625" customFormat="1" customHeight="1" ht="15" hidden="1">
      <c r="C1" s="678"/>
      <c r="G1" s="423">
        <v>4</v>
      </c>
      <c r="I1" s="423">
        <v>4</v>
      </c>
      <c r="U1" s="426"/>
    </row>
    <row s="2625" customFormat="1" customHeight="1" ht="15" hidden="1">
      <c r="C2" s="678"/>
      <c r="U2" s="426"/>
    </row>
    <row customHeight="1" ht="22.5" hidden="1">
      <c r="A3" s="511"/>
      <c r="B3" s="2234"/>
      <c r="C3" s="2235"/>
      <c r="D3" s="695" t="str">
        <f>B3&amp;".1"</f>
        <v>.1</v>
      </c>
      <c r="E3" s="696" t="s">
        <v>1056</v>
      </c>
      <c r="F3" s="697" t="s">
        <v>519</v>
      </c>
      <c r="G3" s="692"/>
      <c r="H3" s="407"/>
      <c r="I3" s="692"/>
      <c r="J3" s="407"/>
      <c r="K3" s="277" t="s">
        <v>1057</v>
      </c>
    </row>
    <row customHeight="1" ht="15" hidden="1">
      <c r="A4" s="511"/>
      <c r="B4" s="2234"/>
      <c r="C4" s="2235"/>
      <c r="D4" s="695" t="str">
        <f>B3&amp;".2"</f>
        <v>.2</v>
      </c>
      <c r="E4" s="696" t="s">
        <v>1058</v>
      </c>
      <c r="F4" s="697" t="s">
        <v>519</v>
      </c>
      <c r="G4" s="1778" t="s">
        <v>24</v>
      </c>
      <c r="H4" s="407"/>
      <c r="I4" s="1778" t="s">
        <v>24</v>
      </c>
      <c r="J4" s="407"/>
      <c r="K4" s="277" t="s">
        <v>1059</v>
      </c>
    </row>
    <row s="2625" customFormat="1" customHeight="1" ht="15" hidden="1">
      <c r="C5" s="678"/>
      <c r="U5" s="426"/>
    </row>
    <row customHeight="1" ht="22.5" hidden="1">
      <c r="A6" s="511"/>
      <c r="B6" s="2234"/>
      <c r="C6" s="2235"/>
      <c r="D6" s="695" t="str">
        <f>B6&amp;".1"</f>
        <v>.1</v>
      </c>
      <c r="E6" s="696" t="s">
        <v>1060</v>
      </c>
      <c r="F6" s="697" t="s">
        <v>519</v>
      </c>
      <c r="G6" s="692"/>
      <c r="H6" s="407"/>
      <c r="I6" s="692"/>
      <c r="J6" s="407"/>
      <c r="K6" s="277" t="s">
        <v>1061</v>
      </c>
    </row>
    <row customHeight="1" ht="15" hidden="1">
      <c r="A7" s="511"/>
      <c r="B7" s="2234"/>
      <c r="C7" s="2235"/>
      <c r="D7" s="695" t="str">
        <f>B6&amp;".2"</f>
        <v>.2</v>
      </c>
      <c r="E7" s="696" t="s">
        <v>1058</v>
      </c>
      <c r="F7" s="697" t="s">
        <v>519</v>
      </c>
      <c r="G7" s="1778" t="s">
        <v>24</v>
      </c>
      <c r="H7" s="407"/>
      <c r="I7" s="1778" t="s">
        <v>24</v>
      </c>
      <c r="J7" s="407"/>
      <c r="K7" s="277" t="s">
        <v>1059</v>
      </c>
    </row>
    <row s="2625" customFormat="1" customHeight="1" ht="15" hidden="1">
      <c r="C8" s="678"/>
      <c r="U8" s="426"/>
    </row>
    <row customHeight="1" ht="22.5" hidden="1">
      <c r="A9" s="511"/>
      <c r="B9" s="2234"/>
      <c r="C9" s="2235"/>
      <c r="D9" s="695" t="str">
        <f>B9&amp;".1"</f>
        <v>.1</v>
      </c>
      <c r="E9" s="696" t="s">
        <v>1062</v>
      </c>
      <c r="F9" s="697" t="s">
        <v>519</v>
      </c>
      <c r="G9" s="703" t="s">
        <v>24</v>
      </c>
      <c r="H9" s="407" t="s">
        <v>24</v>
      </c>
      <c r="I9" s="703" t="s">
        <v>24</v>
      </c>
      <c r="J9" s="407" t="s">
        <v>24</v>
      </c>
      <c r="K9" s="277"/>
    </row>
    <row customHeight="1" ht="15" hidden="1">
      <c r="A10" s="511"/>
      <c r="B10" s="2234"/>
      <c r="C10" s="2235"/>
      <c r="D10" s="695" t="str">
        <f>B9&amp;".2"</f>
        <v>.2</v>
      </c>
      <c r="E10" s="696" t="s">
        <v>1063</v>
      </c>
      <c r="F10" s="697" t="s">
        <v>519</v>
      </c>
      <c r="G10" s="1772" t="s">
        <v>24</v>
      </c>
      <c r="H10" s="407" t="s">
        <v>24</v>
      </c>
      <c r="I10" s="1772" t="s">
        <v>24</v>
      </c>
      <c r="J10" s="407" t="s">
        <v>24</v>
      </c>
      <c r="K10" s="277" t="s">
        <v>1064</v>
      </c>
    </row>
    <row customHeight="1" ht="15" hidden="1">
      <c r="A11" s="511"/>
      <c r="B11" s="2234"/>
      <c r="C11" s="2235"/>
      <c r="D11" s="695" t="str">
        <f>B9&amp;".3"</f>
        <v>.3</v>
      </c>
      <c r="E11" s="696" t="s">
        <v>1065</v>
      </c>
      <c r="F11" s="697" t="s">
        <v>519</v>
      </c>
      <c r="G11" s="1772" t="s">
        <v>24</v>
      </c>
      <c r="H11" s="407" t="s">
        <v>24</v>
      </c>
      <c r="I11" s="1772" t="s">
        <v>24</v>
      </c>
      <c r="J11" s="407" t="s">
        <v>24</v>
      </c>
      <c r="K11" s="277" t="s">
        <v>1066</v>
      </c>
    </row>
    <row s="2625" customFormat="1" customHeight="1" ht="15" hidden="1">
      <c r="C12" s="678"/>
      <c r="U12" s="426"/>
    </row>
    <row customHeight="1" ht="33.75" hidden="1">
      <c r="A13" s="511"/>
      <c r="B13" s="2234"/>
      <c r="C13" s="2235"/>
      <c r="D13" s="695" t="str">
        <f>B13&amp;".1"</f>
        <v>.1</v>
      </c>
      <c r="E13" s="696" t="s">
        <v>1067</v>
      </c>
      <c r="F13" s="697" t="s">
        <v>519</v>
      </c>
      <c r="G13" s="703" t="s">
        <v>24</v>
      </c>
      <c r="H13" s="407" t="s">
        <v>24</v>
      </c>
      <c r="I13" s="703" t="s">
        <v>24</v>
      </c>
      <c r="J13" s="407" t="s">
        <v>24</v>
      </c>
      <c r="K13" s="277" t="s">
        <v>1068</v>
      </c>
    </row>
    <row customHeight="1" ht="15" hidden="1">
      <c r="B14" s="2234"/>
      <c r="C14" s="2235"/>
      <c r="D14" s="695" t="str">
        <f>B13&amp;".2"</f>
        <v>.2</v>
      </c>
      <c r="E14" s="696" t="s">
        <v>1069</v>
      </c>
      <c r="F14" s="697" t="s">
        <v>519</v>
      </c>
      <c r="G14" s="1772" t="s">
        <v>24</v>
      </c>
      <c r="H14" s="407" t="s">
        <v>24</v>
      </c>
      <c r="I14" s="1772" t="s">
        <v>24</v>
      </c>
      <c r="J14" s="407" t="s">
        <v>24</v>
      </c>
      <c r="K14" s="277" t="s">
        <v>1070</v>
      </c>
    </row>
    <row s="2625" customFormat="1" customHeight="1" ht="15" hidden="1">
      <c r="C15" s="678"/>
      <c r="U15" s="426"/>
    </row>
    <row s="2625" customFormat="1" customHeight="1" ht="15" hidden="1">
      <c r="C16" s="678"/>
      <c r="U16" s="426"/>
    </row>
    <row s="2625" customFormat="1" customHeight="1" ht="15" hidden="1">
      <c r="C17" s="678"/>
      <c r="U17" s="426"/>
    </row>
    <row s="2625" customFormat="1" customHeight="1" ht="15" hidden="1">
      <c r="C18" s="678"/>
      <c r="U18" s="426"/>
    </row>
    <row s="2625" customFormat="1" customHeight="1" ht="15" hidden="1">
      <c r="C19" s="678"/>
      <c r="U19" s="426"/>
    </row>
    <row s="2625" customFormat="1" customHeight="1" ht="15" hidden="1">
      <c r="C20" s="678"/>
      <c r="U20" s="426"/>
    </row>
    <row customHeight="1" ht="15">
      <c r="C21" s="162"/>
      <c r="D21" s="515"/>
      <c r="E21" s="515"/>
      <c r="F21" s="515"/>
      <c r="G21" s="515"/>
      <c r="H21" s="515"/>
      <c r="I21" s="515"/>
      <c r="J21" s="515"/>
    </row>
    <row customHeight="1" ht="22.5">
      <c r="C22" s="162"/>
      <c r="D22" s="208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085"/>
      <c r="F22" s="2085"/>
      <c r="G22" s="2085"/>
      <c r="H22" s="2085"/>
      <c r="I22" s="2085"/>
      <c r="J22" s="682"/>
      <c r="K22" s="543"/>
    </row>
    <row customHeight="1" ht="15">
      <c r="C23" s="162"/>
      <c r="D23" s="2053" t="str">
        <f>IF(org=0,"Не определено",org)</f>
        <v>АО "Мурманэнергосбыт"</v>
      </c>
      <c r="E23" s="2053"/>
      <c r="F23" s="2053"/>
      <c r="G23" s="2053"/>
      <c r="H23" s="2053"/>
      <c r="I23" s="2053"/>
      <c r="J23" s="682"/>
      <c r="K23" s="543"/>
    </row>
    <row customHeight="1" ht="15">
      <c r="C24" s="162"/>
      <c r="D24" s="515"/>
      <c r="E24" s="515"/>
      <c r="F24" s="515"/>
      <c r="G24" s="543">
        <v>22</v>
      </c>
      <c r="H24" s="758"/>
      <c r="I24" s="543">
        <v>22</v>
      </c>
      <c r="J24" s="758"/>
    </row>
    <row s="2624" customFormat="1" customHeight="1" ht="0.75">
      <c r="A25" s="765"/>
      <c r="C25" s="162"/>
      <c r="D25" s="515"/>
      <c r="E25" s="515"/>
      <c r="F25" s="515"/>
      <c r="G25" s="543"/>
      <c r="H25" s="758"/>
      <c r="I25" s="543" t="s">
        <v>198</v>
      </c>
      <c r="J25" s="758"/>
      <c r="K25" s="423"/>
      <c r="U25" s="681"/>
    </row>
    <row customHeight="1" ht="15">
      <c r="C26" s="162"/>
      <c r="D26" s="717"/>
      <c r="E26" s="2213" t="s">
        <v>189</v>
      </c>
      <c r="F26" s="2214"/>
      <c r="G26" s="2236" t="str">
        <f>IF(G25="","",INDEX(DIFFERENTIATION_UNMERGE_VD,MATCH(G25,DIFFERENTIATION_ID_DIFF,0)))</f>
        <v/>
      </c>
      <c r="H26" s="2237"/>
      <c r="I26" s="2236">
        <f>IF(I25="","",INDEX(DIFFERENTIATION_UNMERGE_VD,MATCH(I25,DIFFERENTIATION_ID_DIFF,0)))</f>
        <v>0</v>
      </c>
      <c r="J26" s="2237"/>
      <c r="K26" s="2028" t="s">
        <v>514</v>
      </c>
    </row>
    <row s="2624" customFormat="1" customHeight="1" ht="15">
      <c r="A27" s="765"/>
      <c r="C27" s="162"/>
      <c r="D27" s="717"/>
      <c r="E27" s="2213" t="s">
        <v>771</v>
      </c>
      <c r="F27" s="2214"/>
      <c r="G27" s="2236" t="str">
        <f>IF(G25="","",INDEX(DIFFERENTIATION_UNMERGE_AREA,MATCH(G25,DIFFERENTIATION_ID_DIFF,0)))</f>
        <v/>
      </c>
      <c r="H27" s="2237"/>
      <c r="I27" s="2236" t="str">
        <f>IF(I25="","",INDEX(DIFFERENTIATION_UNMERGE_AREA,MATCH(I25,DIFFERENTIATION_ID_DIFF,0)))</f>
        <v/>
      </c>
      <c r="J27" s="2237"/>
      <c r="K27" s="2032"/>
      <c r="U27" s="681"/>
    </row>
    <row s="2624" customFormat="1" customHeight="1" ht="15">
      <c r="A28" s="765"/>
      <c r="C28" s="162"/>
      <c r="D28" s="717"/>
      <c r="E28" s="2213" t="s">
        <v>772</v>
      </c>
      <c r="F28" s="2214"/>
      <c r="G28" s="2236" t="str">
        <f>IF(G25="","",INDEX(DIFFERENTIATION_UNMERGE_SYSTEM,MATCH(G25,DIFFERENTIATION_ID_DIFF,0)))</f>
        <v/>
      </c>
      <c r="H28" s="2237"/>
      <c r="I28" s="2236" t="str">
        <f>IF(I25="","",INDEX(DIFFERENTIATION_UNMERGE_SYSTEM,MATCH(I25,DIFFERENTIATION_ID_DIFF,0)))</f>
        <v>без дифференциации</v>
      </c>
      <c r="J28" s="2237"/>
      <c r="K28" s="2032"/>
      <c r="U28" s="681"/>
    </row>
    <row s="2624" customFormat="1" customHeight="1" ht="15">
      <c r="A29" s="765"/>
      <c r="C29" s="162"/>
      <c r="D29" s="2215" t="s">
        <v>513</v>
      </c>
      <c r="E29" s="2216"/>
      <c r="F29" s="2216"/>
      <c r="G29" s="893"/>
      <c r="H29" s="893"/>
      <c r="I29" s="893"/>
      <c r="J29" s="894"/>
      <c r="K29" s="2032"/>
      <c r="U29" s="681"/>
    </row>
    <row customHeight="1" ht="33.75">
      <c r="C30" s="162"/>
      <c r="D30" s="767" t="s">
        <v>89</v>
      </c>
      <c r="E30" s="766" t="s">
        <v>515</v>
      </c>
      <c r="F30" s="766" t="s">
        <v>773</v>
      </c>
      <c r="G30" s="814" t="s">
        <v>516</v>
      </c>
      <c r="H30" s="813" t="s">
        <v>605</v>
      </c>
      <c r="I30" s="690" t="s">
        <v>516</v>
      </c>
      <c r="J30" s="471" t="s">
        <v>605</v>
      </c>
      <c r="K30" s="2038"/>
    </row>
    <row customHeight="1" ht="15" hidden="1">
      <c r="C31" s="162"/>
      <c r="D31" s="599"/>
      <c r="E31" s="599"/>
      <c r="F31" s="599"/>
      <c r="G31" s="665"/>
      <c r="H31" s="665"/>
      <c r="I31" s="665"/>
      <c r="J31" s="665"/>
      <c r="K31" s="277"/>
    </row>
    <row customHeight="1" ht="22.5">
      <c r="A32" s="511"/>
      <c r="B32" s="511" t="s">
        <v>1071</v>
      </c>
      <c r="C32" s="532"/>
      <c r="D32" s="698">
        <v>1</v>
      </c>
      <c r="E32" s="699" t="s">
        <v>1072</v>
      </c>
      <c r="F32" s="697" t="s">
        <v>519</v>
      </c>
      <c r="G32" s="819" t="s">
        <v>519</v>
      </c>
      <c r="H32" s="819" t="s">
        <v>519</v>
      </c>
      <c r="I32" s="697" t="s">
        <v>519</v>
      </c>
      <c r="J32" s="697" t="s">
        <v>519</v>
      </c>
      <c r="K32" s="277"/>
    </row>
    <row customHeight="1" ht="11.25">
      <c r="A33" s="511"/>
      <c r="C33" s="511"/>
      <c r="D33" s="343"/>
      <c r="E33" s="586" t="s">
        <v>793</v>
      </c>
      <c r="F33" s="578"/>
      <c r="G33" s="578"/>
      <c r="H33" s="578"/>
      <c r="I33" s="578"/>
      <c r="J33" s="578"/>
      <c r="K33" s="579"/>
      <c r="U33" s="511"/>
    </row>
    <row customHeight="1" ht="22.5">
      <c r="A34" s="511"/>
      <c r="B34" s="587" t="s">
        <v>1073</v>
      </c>
      <c r="C34" s="532"/>
      <c r="D34" s="698">
        <v>2</v>
      </c>
      <c r="E34" s="699" t="s">
        <v>1074</v>
      </c>
      <c r="F34" s="826" t="s">
        <v>519</v>
      </c>
      <c r="G34" s="826" t="s">
        <v>519</v>
      </c>
      <c r="H34" s="826" t="s">
        <v>519</v>
      </c>
      <c r="I34" s="697"/>
      <c r="J34" s="697"/>
      <c r="K34" s="277"/>
    </row>
    <row customHeight="1" ht="11.25">
      <c r="A35" s="511"/>
      <c r="C35" s="511"/>
      <c r="D35" s="343"/>
      <c r="E35" s="586" t="s">
        <v>1075</v>
      </c>
      <c r="F35" s="578"/>
      <c r="G35" s="700"/>
      <c r="H35" s="578"/>
      <c r="I35" s="700"/>
      <c r="J35" s="578"/>
      <c r="K35" s="579"/>
      <c r="U35" s="511"/>
    </row>
    <row customHeight="1" ht="67.5">
      <c r="A36" s="511"/>
      <c r="B36" s="511" t="s">
        <v>1076</v>
      </c>
      <c r="C36" s="532"/>
      <c r="D36" s="698">
        <v>3</v>
      </c>
      <c r="E36" s="699" t="s">
        <v>1077</v>
      </c>
      <c r="F36" s="701" t="s">
        <v>519</v>
      </c>
      <c r="G36" s="820" t="s">
        <v>1078</v>
      </c>
      <c r="H36" s="819" t="s">
        <v>519</v>
      </c>
      <c r="I36" s="530" t="s">
        <v>1078</v>
      </c>
      <c r="J36" s="697" t="s">
        <v>519</v>
      </c>
      <c r="K36" s="277" t="s">
        <v>1079</v>
      </c>
    </row>
    <row customHeight="1" ht="11.25">
      <c r="A37" s="511"/>
      <c r="C37" s="511"/>
      <c r="D37" s="343"/>
      <c r="E37" s="586" t="s">
        <v>1080</v>
      </c>
      <c r="F37" s="578"/>
      <c r="G37" s="700"/>
      <c r="H37" s="700"/>
      <c r="I37" s="700"/>
      <c r="J37" s="700"/>
      <c r="K37" s="579"/>
      <c r="U37" s="511"/>
    </row>
    <row customHeight="1" ht="67.5">
      <c r="A38" s="511"/>
      <c r="B38" s="511" t="s">
        <v>1081</v>
      </c>
      <c r="C38" s="532"/>
      <c r="D38" s="698">
        <v>4</v>
      </c>
      <c r="E38" s="699" t="s">
        <v>1082</v>
      </c>
      <c r="F38" s="701" t="s">
        <v>519</v>
      </c>
      <c r="G38" s="820" t="s">
        <v>1078</v>
      </c>
      <c r="H38" s="821" t="s">
        <v>519</v>
      </c>
      <c r="I38" s="530" t="s">
        <v>1078</v>
      </c>
      <c r="J38" s="527" t="s">
        <v>519</v>
      </c>
      <c r="K38" s="685" t="s">
        <v>1083</v>
      </c>
    </row>
    <row customHeight="1" ht="11.25">
      <c r="A39" s="511"/>
      <c r="C39" s="511"/>
      <c r="D39" s="343"/>
      <c r="E39" s="586" t="s">
        <v>1084</v>
      </c>
      <c r="F39" s="578"/>
      <c r="G39" s="578"/>
      <c r="H39" s="702"/>
      <c r="I39" s="578"/>
      <c r="J39" s="702"/>
      <c r="K39" s="579"/>
      <c r="U39" s="511"/>
    </row>
  </sheetData>
  <sheetProtection formatColumns="0" formatRows="0" autoFilter="0" sort="0" insertRows="0" insertColumns="1" deleteRows="0" deleteColumns="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83597E-CF26-2888-A2FC-8E7A5137FC43}" mc:Ignorable="x14ac xr xr2 xr3">
  <sheetPr>
    <tabColor theme="9" tint="-0.25"/>
  </sheetPr>
  <dimension ref="A1:AD15"/>
  <sheetViews>
    <sheetView topLeftCell="A1" showGridLines="0" zoomScale="85" workbookViewId="0">
      <selection activeCell="A1" sqref="A1"/>
    </sheetView>
  </sheetViews>
  <sheetFormatPr defaultColWidth="9.140625" customHeight="1" defaultRowHeight="10.5"/>
  <cols>
    <col min="1" max="3" style="12641" width="6.7109375" hidden="1" customWidth="1"/>
    <col min="4" max="4" style="2625" width="6.7109375" hidden="1" customWidth="1"/>
    <col min="5" max="5" style="2628" width="3.7109375" customWidth="1"/>
    <col min="6" max="6" style="2624" width="6.28125" customWidth="1"/>
    <col min="7" max="7" style="2624" width="37.7109375" customWidth="1"/>
    <col min="8" max="8" style="2984" width="16.57421875" customWidth="1"/>
    <col min="9" max="10" style="2624" width="19.7109375" customWidth="1"/>
    <col min="11" max="11" style="2624" width="25.00390625" customWidth="1"/>
    <col min="12" max="13" style="2624" width="25.7109375" customWidth="1"/>
    <col min="14" max="16" style="2624" width="17.7109375" customWidth="1"/>
    <col min="17" max="24" style="2624" width="19.7109375" customWidth="1"/>
    <col min="25" max="25" style="2624" width="8.00390625" customWidth="1"/>
    <col min="26" max="26" style="2624" width="3.28125" customWidth="1"/>
    <col min="27" max="27" style="2624" width="6.28125" customWidth="1"/>
    <col min="28" max="28" style="2624" width="34.140625" customWidth="1"/>
    <col min="29" max="30" style="2624" width="9.140625"/>
  </cols>
  <sheetData>
    <row s="2625" customFormat="1" customHeight="1" ht="10.5" hidden="1">
      <c r="A1" s="901"/>
      <c r="B1" s="901"/>
      <c r="C1" s="901"/>
      <c r="E1" s="543"/>
      <c r="H1" s="1168"/>
    </row>
    <row customHeight="1" ht="10.5" hidden="1"/>
    <row s="3139" customFormat="1" customHeight="1" ht="10.5" hidden="1">
      <c r="A3" s="901"/>
      <c r="B3" s="901"/>
      <c r="C3" s="901"/>
      <c r="D3" s="423"/>
      <c r="E3" s="360"/>
      <c r="H3" s="1164"/>
    </row>
    <row customHeight="1" ht="3"/>
    <row customHeight="1" ht="25.5">
      <c r="F5" s="214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40"/>
      <c r="H5" s="2140"/>
      <c r="I5" s="2140"/>
      <c r="J5" s="2140"/>
      <c r="K5" s="2140"/>
      <c r="M5" s="588"/>
      <c r="AB5" s="912"/>
    </row>
    <row s="2993" customFormat="1" customHeight="1" ht="15.75">
      <c r="A6" s="1174"/>
      <c r="B6" s="1174"/>
      <c r="C6" s="1174"/>
      <c r="D6" s="1168"/>
      <c r="E6" s="1675"/>
      <c r="F6" s="2141" t="str">
        <f>IF(org=0,"Не определено",org)</f>
        <v>АО "Мурманэнергосбыт"</v>
      </c>
      <c r="G6" s="2141"/>
      <c r="H6" s="2141"/>
      <c r="I6" s="2141"/>
      <c r="J6" s="2141"/>
      <c r="K6" s="2141"/>
      <c r="M6" s="588"/>
      <c r="AB6" s="1156"/>
    </row>
    <row r="8" customHeight="1" ht="10.5">
      <c r="A8" s="1058"/>
      <c r="B8" s="1058"/>
      <c r="C8" s="1058"/>
      <c r="F8" s="1955" t="s">
        <v>513</v>
      </c>
      <c r="G8" s="1956"/>
      <c r="H8" s="1956"/>
      <c r="I8" s="1956"/>
      <c r="J8" s="1956"/>
      <c r="K8" s="1956"/>
      <c r="L8" s="1956"/>
      <c r="M8" s="1956"/>
      <c r="N8" s="1956"/>
      <c r="O8" s="1956"/>
      <c r="P8" s="1956"/>
      <c r="Q8" s="1956"/>
      <c r="R8" s="1956"/>
      <c r="S8" s="1956"/>
      <c r="T8" s="1956"/>
      <c r="U8" s="1956"/>
      <c r="V8" s="1956"/>
      <c r="W8" s="1956"/>
      <c r="X8" s="1956"/>
      <c r="Y8" s="1956"/>
      <c r="Z8" s="1956"/>
      <c r="AA8" s="1956"/>
      <c r="AB8" s="1957"/>
    </row>
    <row customHeight="1" ht="41.25">
      <c r="A9" s="911"/>
      <c r="B9" s="911"/>
      <c r="C9" s="911"/>
      <c r="F9" s="1971" t="s">
        <v>89</v>
      </c>
      <c r="G9" s="1971" t="s">
        <v>1085</v>
      </c>
      <c r="H9" s="2028" t="s">
        <v>1086</v>
      </c>
      <c r="I9" s="1971" t="s">
        <v>1087</v>
      </c>
      <c r="J9" s="1971" t="s">
        <v>1088</v>
      </c>
      <c r="K9" s="1971" t="s">
        <v>1089</v>
      </c>
      <c r="L9" s="1971" t="s">
        <v>1090</v>
      </c>
      <c r="M9" s="1971" t="s">
        <v>1091</v>
      </c>
      <c r="N9" s="2062" t="s">
        <v>1092</v>
      </c>
      <c r="O9" s="2062"/>
      <c r="P9" s="2062"/>
      <c r="Q9" s="2242" t="s">
        <v>1093</v>
      </c>
      <c r="R9" s="2243"/>
      <c r="S9" s="2243"/>
      <c r="T9" s="2244"/>
      <c r="U9" s="2242" t="s">
        <v>1094</v>
      </c>
      <c r="V9" s="2243"/>
      <c r="W9" s="2243"/>
      <c r="X9" s="2244"/>
      <c r="Y9" s="1955" t="s">
        <v>1095</v>
      </c>
      <c r="Z9" s="1956"/>
      <c r="AA9" s="1956"/>
      <c r="AB9" s="1957"/>
    </row>
    <row customHeight="1" ht="41.25">
      <c r="A10" s="911"/>
      <c r="B10" s="911"/>
      <c r="C10" s="911"/>
      <c r="F10" s="2028"/>
      <c r="G10" s="2028"/>
      <c r="H10" s="2090"/>
      <c r="I10" s="2028"/>
      <c r="J10" s="2028"/>
      <c r="K10" s="2028"/>
      <c r="L10" s="2028"/>
      <c r="M10" s="2028"/>
      <c r="N10" s="909" t="s">
        <v>1096</v>
      </c>
      <c r="O10" s="909" t="s">
        <v>1097</v>
      </c>
      <c r="P10" s="910" t="s">
        <v>1098</v>
      </c>
      <c r="Q10" s="921" t="s">
        <v>90</v>
      </c>
      <c r="R10" s="921" t="s">
        <v>1099</v>
      </c>
      <c r="S10" s="921" t="s">
        <v>1100</v>
      </c>
      <c r="T10" s="922" t="s">
        <v>1101</v>
      </c>
      <c r="U10" s="921" t="s">
        <v>90</v>
      </c>
      <c r="V10" s="921" t="s">
        <v>1102</v>
      </c>
      <c r="W10" s="921" t="s">
        <v>1100</v>
      </c>
      <c r="X10" s="922" t="s">
        <v>1101</v>
      </c>
      <c r="Y10" s="289" t="s">
        <v>1103</v>
      </c>
      <c r="Z10" s="1955" t="s">
        <v>89</v>
      </c>
      <c r="AA10" s="1957"/>
      <c r="AB10" s="1056" t="s">
        <v>1104</v>
      </c>
    </row>
    <row s="2612" customFormat="1" customHeight="1" ht="5.25" hidden="1">
      <c r="A11" s="1059"/>
      <c r="B11" s="1059"/>
      <c r="C11" s="1059"/>
      <c r="E11" s="1057"/>
      <c r="F11" s="2240" t="s">
        <v>591</v>
      </c>
      <c r="G11" s="2245"/>
      <c r="H11" s="2238"/>
      <c r="I11" s="2238"/>
      <c r="J11" s="2238"/>
      <c r="K11" s="2241"/>
      <c r="L11" s="2241"/>
      <c r="M11" s="2241"/>
      <c r="N11" s="2238"/>
      <c r="O11" s="2238"/>
      <c r="P11" s="1971"/>
      <c r="Q11" s="2041"/>
      <c r="R11" s="2041"/>
      <c r="S11" s="2041"/>
      <c r="T11" s="2238"/>
      <c r="U11" s="2041"/>
      <c r="V11" s="2041"/>
      <c r="W11" s="2041"/>
      <c r="X11" s="2238"/>
      <c r="Y11" s="1982"/>
      <c r="Z11" s="1982"/>
      <c r="AA11" s="1982"/>
      <c r="AB11" s="1982"/>
      <c r="AD11" s="517" t="s">
        <v>1105</v>
      </c>
    </row>
    <row s="2612" customFormat="1" customHeight="1" ht="5.25" hidden="1">
      <c r="A12" s="902"/>
      <c r="B12" s="902"/>
      <c r="C12" s="902"/>
      <c r="E12" s="524"/>
      <c r="F12" s="2240"/>
      <c r="G12" s="2245"/>
      <c r="H12" s="2238"/>
      <c r="I12" s="2238"/>
      <c r="J12" s="2238"/>
      <c r="K12" s="2241"/>
      <c r="L12" s="2241"/>
      <c r="M12" s="2241"/>
      <c r="N12" s="2238"/>
      <c r="O12" s="2238"/>
      <c r="P12" s="1971"/>
      <c r="Q12" s="2041"/>
      <c r="R12" s="2041"/>
      <c r="S12" s="2041"/>
      <c r="T12" s="2238"/>
      <c r="U12" s="2041"/>
      <c r="V12" s="2041"/>
      <c r="W12" s="2041"/>
      <c r="X12" s="2238"/>
      <c r="Y12" s="2239"/>
      <c r="Z12" s="2239"/>
      <c r="AA12" s="2239"/>
      <c r="AB12" s="2239"/>
    </row>
    <row customHeight="1" ht="10.5">
      <c r="F13" s="908"/>
      <c r="G13" s="656" t="s">
        <v>1106</v>
      </c>
      <c r="H13" s="1176"/>
      <c r="I13" s="578"/>
      <c r="J13" s="578"/>
      <c r="K13" s="578"/>
      <c r="L13" s="578"/>
      <c r="M13" s="578"/>
      <c r="N13" s="578"/>
      <c r="O13" s="578"/>
      <c r="P13" s="578"/>
      <c r="Q13" s="578"/>
      <c r="R13" s="578"/>
      <c r="S13" s="578"/>
      <c r="T13" s="578"/>
      <c r="U13" s="578"/>
      <c r="V13" s="578"/>
      <c r="W13" s="578"/>
      <c r="X13" s="578"/>
      <c r="Y13" s="578"/>
      <c r="Z13" s="702"/>
      <c r="AA13" s="702"/>
      <c r="AB13" s="923"/>
    </row>
    <row r="15" s="2612" customFormat="1" customHeight="1" ht="10.5">
      <c r="A15" s="1175"/>
      <c r="B15" s="1175"/>
      <c r="C15" s="1175"/>
      <c r="E15" s="524"/>
      <c r="H15" s="517">
        <f>_xlfn.IFERROR(MATCH("нет",IP_MAIN_DIFFERENTIATION_EVENTS_FLAG,0),0)</f>
        <v>0</v>
      </c>
    </row>
  </sheetData>
  <sheetProtection formatColumns="0" formatRows="0" autoFilter="0" sort="0" insertRows="0" insertColumns="1" deleteRows="0" deleteColumns="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A45A68-0D9A-0F0F-ED3C-E547A068C1B1}" mc:Ignorable="x14ac xr xr2 xr3">
  <sheetPr>
    <tabColor theme="9" tint="-0.25"/>
  </sheetPr>
  <dimension ref="A1:BF19"/>
  <sheetViews>
    <sheetView topLeftCell="A1" showGridLines="0" zoomScale="90" workbookViewId="0">
      <selection activeCell="A1" sqref="A1"/>
    </sheetView>
  </sheetViews>
  <sheetFormatPr defaultColWidth="9.140625" customHeight="1" defaultRowHeight="10.5"/>
  <cols>
    <col min="1" max="3" style="12641" width="4.140625" hidden="1" customWidth="1"/>
    <col min="4" max="4" style="2625" width="4.140625" hidden="1" customWidth="1"/>
    <col min="5" max="5" style="2628" width="3.7109375" customWidth="1"/>
    <col min="6" max="6" style="2624" width="14.421875" customWidth="1"/>
    <col min="7" max="7" style="2624" width="3.7109375" customWidth="1"/>
    <col min="8" max="8" style="2984" width="7.7109375" customWidth="1"/>
    <col min="9" max="10" style="2624" width="16.7109375" customWidth="1"/>
    <col min="11" max="11" style="2624" width="25.7109375" customWidth="1"/>
    <col min="12" max="12" style="12693" width="8.00390625" customWidth="1"/>
    <col min="13" max="13" style="12693" width="15.57421875" customWidth="1"/>
    <col min="14" max="14" style="2624" width="3.28125" customWidth="1"/>
    <col min="15" max="15" style="2624" width="4.7109375" customWidth="1"/>
    <col min="16" max="16" style="2624" width="9.00390625" customWidth="1"/>
    <col min="17" max="17" style="2624" width="21.7109375" customWidth="1"/>
    <col min="18" max="18" style="2624" width="14.7109375" customWidth="1"/>
    <col min="19" max="20" style="2624" width="17.7109375" customWidth="1"/>
    <col min="21" max="21" style="2624" width="9.7109375" customWidth="1"/>
    <col min="22" max="22" style="2624" width="12.7109375" customWidth="1"/>
    <col min="23" max="23" style="2624" width="9.7109375" customWidth="1"/>
    <col min="24" max="24" style="2624" width="21.7109375" customWidth="1"/>
    <col min="25" max="25" style="2624" width="12.7109375" customWidth="1"/>
    <col min="26" max="26" style="2624" width="3.28125" customWidth="1"/>
    <col min="27" max="27" style="2624" width="7.140625" customWidth="1"/>
    <col min="28" max="28" style="2624" width="38.421875" customWidth="1"/>
    <col min="29" max="29" style="2624" width="15.7109375" customWidth="1"/>
    <col min="30" max="30" style="12693" width="37.57421875" customWidth="1"/>
    <col min="31" max="31" style="2624" width="15.7109375" customWidth="1"/>
    <col min="32" max="33" style="2624" width="16.7109375" customWidth="1"/>
    <col min="34" max="34" style="12715" width="16.7109375" customWidth="1"/>
    <col min="35" max="35" style="12716" width="16.7109375" customWidth="1"/>
    <col min="36" max="37" style="2624" width="16.7109375" customWidth="1"/>
    <col min="38" max="58" style="2624" width="9.140625"/>
  </cols>
  <sheetData>
    <row s="2625" customFormat="1" customHeight="1" ht="10.5" hidden="1">
      <c r="A1" s="901"/>
      <c r="B1" s="901"/>
      <c r="C1" s="901"/>
      <c r="E1" s="543"/>
      <c r="H1" s="1168"/>
      <c r="L1" s="1136"/>
      <c r="M1" s="1136"/>
      <c r="AD1" s="1136"/>
      <c r="AH1" s="1155"/>
      <c r="AI1" s="1148"/>
    </row>
    <row customHeight="1" ht="10.5" hidden="1"/>
    <row s="3139" customFormat="1" customHeight="1" ht="10.5" hidden="1">
      <c r="A3" s="901"/>
      <c r="B3" s="901"/>
      <c r="C3" s="901"/>
      <c r="D3" s="423"/>
      <c r="E3" s="360"/>
      <c r="H3" s="1164"/>
      <c r="L3" s="1134"/>
      <c r="M3" s="1134"/>
      <c r="AD3" s="1134"/>
      <c r="AH3" s="1153"/>
      <c r="AI3" s="1146"/>
    </row>
    <row customHeight="1" ht="3"/>
    <row customHeight="1" ht="25.5">
      <c r="F5" s="214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40"/>
      <c r="H5" s="2140"/>
      <c r="I5" s="2140"/>
      <c r="J5" s="2140"/>
      <c r="K5" s="2140"/>
      <c r="L5" s="1143"/>
      <c r="M5" s="1143"/>
      <c r="AG5" s="912"/>
      <c r="AH5" s="1156"/>
    </row>
    <row customHeight="1" ht="10.5">
      <c r="F6" s="2053" t="str">
        <f>IF(org=0,"Не определено",org)</f>
        <v>АО "Мурманэнергосбыт"</v>
      </c>
      <c r="G6" s="2053"/>
      <c r="H6" s="2053"/>
      <c r="I6" s="2053"/>
      <c r="J6" s="2053"/>
      <c r="K6" s="2053"/>
      <c r="L6" s="1144"/>
      <c r="M6" s="1144"/>
    </row>
    <row customHeight="1" ht="11.25">
      <c r="E7" s="914"/>
      <c r="F7" s="925"/>
      <c r="G7" s="925"/>
      <c r="H7" s="1194"/>
      <c r="I7" s="925"/>
      <c r="J7" s="925"/>
      <c r="K7" s="927"/>
      <c r="L7" s="1141"/>
      <c r="M7" s="1141"/>
      <c r="N7" s="925"/>
      <c r="O7" s="925"/>
      <c r="P7" s="925"/>
      <c r="Q7" s="927"/>
      <c r="R7" s="925"/>
      <c r="S7" s="925"/>
      <c r="T7" s="925"/>
      <c r="U7" s="925"/>
      <c r="V7" s="925"/>
      <c r="W7" s="925"/>
      <c r="X7" s="925"/>
      <c r="Y7" s="925"/>
      <c r="Z7" s="925"/>
      <c r="AA7" s="925"/>
      <c r="AB7" s="925"/>
      <c r="AC7" s="926"/>
      <c r="AD7" s="1140"/>
      <c r="AE7" s="926"/>
      <c r="AF7" s="925"/>
      <c r="AG7" s="925"/>
      <c r="AH7" s="1158"/>
      <c r="AI7" s="1151"/>
      <c r="AJ7" s="925"/>
      <c r="AK7" s="925"/>
      <c r="AL7" s="916"/>
      <c r="AM7" s="916"/>
      <c r="AN7" s="916"/>
      <c r="AO7" s="913"/>
      <c r="AP7" s="913"/>
      <c r="AQ7" s="913"/>
      <c r="AR7" s="913"/>
      <c r="AS7" s="913"/>
      <c r="AT7" s="913"/>
      <c r="AU7" s="913"/>
      <c r="AV7" s="913"/>
      <c r="AW7" s="913"/>
      <c r="AX7" s="913"/>
      <c r="AY7" s="913"/>
      <c r="AZ7" s="913"/>
      <c r="BA7" s="913"/>
      <c r="BB7" s="913"/>
      <c r="BC7" s="913"/>
      <c r="BD7" s="913"/>
      <c r="BE7" s="913"/>
      <c r="BF7" s="913"/>
    </row>
    <row customHeight="1" ht="10.5">
      <c r="E8" s="914"/>
      <c r="F8" s="2255" t="s">
        <v>513</v>
      </c>
      <c r="G8" s="2256"/>
      <c r="H8" s="2256"/>
      <c r="I8" s="2256"/>
      <c r="J8" s="2256"/>
      <c r="K8" s="2256"/>
      <c r="L8" s="2256"/>
      <c r="M8" s="2256"/>
      <c r="N8" s="2256"/>
      <c r="O8" s="2256"/>
      <c r="P8" s="2256"/>
      <c r="Q8" s="2256"/>
      <c r="R8" s="2256"/>
      <c r="S8" s="2256"/>
      <c r="T8" s="2256"/>
      <c r="U8" s="2256"/>
      <c r="V8" s="2256"/>
      <c r="W8" s="2256"/>
      <c r="X8" s="2256"/>
      <c r="Y8" s="2256"/>
      <c r="Z8" s="2256"/>
      <c r="AA8" s="2256"/>
      <c r="AB8" s="2256"/>
      <c r="AC8" s="2256"/>
      <c r="AD8" s="2256"/>
      <c r="AE8" s="2256"/>
      <c r="AF8" s="2256"/>
      <c r="AG8" s="2256"/>
      <c r="AH8" s="2256"/>
      <c r="AI8" s="2256"/>
      <c r="AJ8" s="2256"/>
      <c r="AK8" s="2257"/>
      <c r="AL8" s="915"/>
      <c r="AM8" s="913"/>
      <c r="AN8" s="913"/>
      <c r="AO8" s="913"/>
      <c r="AP8" s="913"/>
      <c r="AQ8" s="913"/>
      <c r="AR8" s="913"/>
      <c r="AS8" s="913"/>
      <c r="AT8" s="913"/>
      <c r="AU8" s="913"/>
      <c r="AV8" s="913"/>
      <c r="AW8" s="913"/>
      <c r="AX8" s="913"/>
      <c r="AY8" s="913"/>
      <c r="AZ8" s="913"/>
      <c r="BA8" s="913"/>
      <c r="BB8" s="913"/>
      <c r="BC8" s="913"/>
      <c r="BD8" s="913"/>
      <c r="BE8" s="913"/>
      <c r="BF8" s="913"/>
    </row>
    <row customHeight="1" ht="23.25">
      <c r="A9" s="911"/>
      <c r="B9" s="911"/>
      <c r="C9" s="911"/>
      <c r="E9" s="914"/>
      <c r="F9" s="2248" t="s">
        <v>1107</v>
      </c>
      <c r="G9" s="2249" t="s">
        <v>1108</v>
      </c>
      <c r="H9" s="2250"/>
      <c r="I9" s="1971" t="s">
        <v>1109</v>
      </c>
      <c r="J9" s="1971"/>
      <c r="K9" s="1971" t="s">
        <v>1110</v>
      </c>
      <c r="L9" s="1971"/>
      <c r="M9" s="1971"/>
      <c r="N9" s="1971"/>
      <c r="O9" s="1971"/>
      <c r="P9" s="1971"/>
      <c r="Q9" s="1971"/>
      <c r="R9" s="1971"/>
      <c r="S9" s="1971"/>
      <c r="T9" s="1971"/>
      <c r="U9" s="1971"/>
      <c r="V9" s="1971"/>
      <c r="W9" s="1971"/>
      <c r="X9" s="1971"/>
      <c r="Y9" s="1971"/>
      <c r="Z9" s="2029" t="s">
        <v>1111</v>
      </c>
      <c r="AA9" s="2030"/>
      <c r="AB9" s="1971" t="s">
        <v>1112</v>
      </c>
      <c r="AC9" s="1971"/>
      <c r="AD9" s="1971"/>
      <c r="AE9" s="1971"/>
      <c r="AF9" s="2028" t="s">
        <v>1113</v>
      </c>
      <c r="AG9" s="1971" t="s">
        <v>1114</v>
      </c>
      <c r="AH9" s="1971"/>
      <c r="AI9" s="2028" t="s">
        <v>1115</v>
      </c>
      <c r="AJ9" s="1971" t="s">
        <v>1116</v>
      </c>
      <c r="AK9" s="1971"/>
      <c r="AL9" s="1150"/>
      <c r="AM9" s="913"/>
      <c r="AN9" s="913"/>
      <c r="AO9" s="913"/>
      <c r="AP9" s="913"/>
      <c r="AQ9" s="913"/>
      <c r="AR9" s="913"/>
      <c r="AS9" s="913"/>
      <c r="AT9" s="913"/>
      <c r="AU9" s="913"/>
      <c r="AV9" s="913"/>
      <c r="AW9" s="913"/>
      <c r="AX9" s="913"/>
      <c r="AY9" s="913"/>
      <c r="AZ9" s="913"/>
      <c r="BA9" s="913"/>
      <c r="BB9" s="913"/>
      <c r="BC9" s="913"/>
      <c r="BD9" s="913"/>
      <c r="BE9" s="913"/>
      <c r="BF9" s="913"/>
    </row>
    <row customHeight="1" ht="23.25">
      <c r="A10" s="911"/>
      <c r="B10" s="911"/>
      <c r="C10" s="911"/>
      <c r="E10" s="918"/>
      <c r="F10" s="2248"/>
      <c r="G10" s="2251"/>
      <c r="H10" s="2252"/>
      <c r="I10" s="1971"/>
      <c r="J10" s="1971"/>
      <c r="K10" s="1971" t="s">
        <v>1117</v>
      </c>
      <c r="L10" s="1955" t="s">
        <v>1118</v>
      </c>
      <c r="M10" s="1957"/>
      <c r="N10" s="1971" t="s">
        <v>1119</v>
      </c>
      <c r="O10" s="1971"/>
      <c r="P10" s="1971"/>
      <c r="Q10" s="1971"/>
      <c r="R10" s="1971"/>
      <c r="S10" s="1971"/>
      <c r="T10" s="1971"/>
      <c r="U10" s="1971"/>
      <c r="V10" s="1971"/>
      <c r="W10" s="1971"/>
      <c r="X10" s="1971"/>
      <c r="Y10" s="1971"/>
      <c r="Z10" s="2031"/>
      <c r="AA10" s="2032"/>
      <c r="AB10" s="1971"/>
      <c r="AC10" s="1971"/>
      <c r="AD10" s="1971"/>
      <c r="AE10" s="1971"/>
      <c r="AF10" s="2036"/>
      <c r="AG10" s="1971"/>
      <c r="AH10" s="1971"/>
      <c r="AI10" s="2036"/>
      <c r="AJ10" s="1971"/>
      <c r="AK10" s="1971"/>
      <c r="AL10" s="1150"/>
      <c r="AM10" s="919"/>
      <c r="AN10" s="919"/>
      <c r="AO10" s="919"/>
      <c r="AP10" s="919"/>
      <c r="AQ10" s="919"/>
      <c r="AR10" s="919"/>
      <c r="AS10" s="919"/>
      <c r="AT10" s="919"/>
      <c r="AU10" s="919"/>
      <c r="AV10" s="919"/>
      <c r="AW10" s="919"/>
      <c r="AX10" s="919"/>
      <c r="AY10" s="919"/>
      <c r="AZ10" s="919"/>
      <c r="BA10" s="919"/>
      <c r="BB10" s="919"/>
      <c r="BC10" s="919"/>
      <c r="BD10" s="919"/>
      <c r="BE10" s="919"/>
      <c r="BF10" s="919"/>
    </row>
    <row s="12693" customFormat="1" customHeight="1" ht="23.25">
      <c r="A11" s="1137"/>
      <c r="B11" s="1137"/>
      <c r="C11" s="1137"/>
      <c r="D11" s="1136"/>
      <c r="E11" s="1138"/>
      <c r="F11" s="2248"/>
      <c r="G11" s="2251"/>
      <c r="H11" s="2252"/>
      <c r="I11" s="1971"/>
      <c r="J11" s="1971"/>
      <c r="K11" s="1971"/>
      <c r="L11" s="2028" t="s">
        <v>1120</v>
      </c>
      <c r="M11" s="2028" t="s">
        <v>1121</v>
      </c>
      <c r="N11" s="1971" t="s">
        <v>1122</v>
      </c>
      <c r="O11" s="1971"/>
      <c r="P11" s="2246" t="s">
        <v>1103</v>
      </c>
      <c r="Q11" s="2246" t="s">
        <v>1123</v>
      </c>
      <c r="R11" s="2246" t="s">
        <v>1124</v>
      </c>
      <c r="S11" s="2246" t="s">
        <v>1125</v>
      </c>
      <c r="T11" s="2246"/>
      <c r="U11" s="2246"/>
      <c r="V11" s="2246"/>
      <c r="W11" s="2246"/>
      <c r="X11" s="2246"/>
      <c r="Y11" s="2246"/>
      <c r="Z11" s="2031"/>
      <c r="AA11" s="2032"/>
      <c r="AB11" s="1971" t="s">
        <v>1126</v>
      </c>
      <c r="AC11" s="1971"/>
      <c r="AD11" s="1955" t="s">
        <v>1127</v>
      </c>
      <c r="AE11" s="1957"/>
      <c r="AF11" s="2036"/>
      <c r="AG11" s="1971"/>
      <c r="AH11" s="1971"/>
      <c r="AI11" s="2036"/>
      <c r="AJ11" s="1971"/>
      <c r="AK11" s="1971"/>
      <c r="AL11" s="1150"/>
      <c r="AM11" s="1135"/>
      <c r="AN11" s="1135"/>
      <c r="AO11" s="1135"/>
      <c r="AP11" s="1135"/>
      <c r="AQ11" s="1135"/>
      <c r="AR11" s="1135"/>
      <c r="AS11" s="1135"/>
      <c r="AT11" s="1135"/>
      <c r="AU11" s="1135"/>
      <c r="AV11" s="1135"/>
      <c r="AW11" s="1135"/>
      <c r="AX11" s="1135"/>
      <c r="AY11" s="1135"/>
      <c r="AZ11" s="1135"/>
      <c r="BA11" s="1135"/>
      <c r="BB11" s="1135"/>
      <c r="BC11" s="1135"/>
      <c r="BD11" s="1135"/>
      <c r="BE11" s="1135"/>
      <c r="BF11" s="1135"/>
    </row>
    <row customHeight="1" ht="33.75">
      <c r="A12" s="911"/>
      <c r="B12" s="911"/>
      <c r="C12" s="911"/>
      <c r="E12" s="914"/>
      <c r="F12" s="2248"/>
      <c r="G12" s="2253"/>
      <c r="H12" s="2254"/>
      <c r="I12" s="1161" t="s">
        <v>90</v>
      </c>
      <c r="J12" s="1161" t="s">
        <v>1128</v>
      </c>
      <c r="K12" s="1971"/>
      <c r="L12" s="2090"/>
      <c r="M12" s="2090"/>
      <c r="N12" s="1971"/>
      <c r="O12" s="1971"/>
      <c r="P12" s="2246"/>
      <c r="Q12" s="2246"/>
      <c r="R12" s="2246"/>
      <c r="S12" s="1142" t="s">
        <v>87</v>
      </c>
      <c r="T12" s="1142" t="s">
        <v>88</v>
      </c>
      <c r="U12" s="1142" t="s">
        <v>86</v>
      </c>
      <c r="V12" s="1142" t="s">
        <v>1129</v>
      </c>
      <c r="W12" s="1142" t="s">
        <v>86</v>
      </c>
      <c r="X12" s="1142" t="s">
        <v>1130</v>
      </c>
      <c r="Y12" s="1142" t="s">
        <v>1131</v>
      </c>
      <c r="Z12" s="2037"/>
      <c r="AA12" s="2038"/>
      <c r="AB12" s="1149" t="s">
        <v>1132</v>
      </c>
      <c r="AC12" s="1149" t="s">
        <v>1133</v>
      </c>
      <c r="AD12" s="1149" t="s">
        <v>1132</v>
      </c>
      <c r="AE12" s="1149" t="s">
        <v>1133</v>
      </c>
      <c r="AF12" s="2090"/>
      <c r="AG12" s="1162" t="s">
        <v>1134</v>
      </c>
      <c r="AH12" s="1162" t="s">
        <v>1135</v>
      </c>
      <c r="AI12" s="2090"/>
      <c r="AJ12" s="1162" t="s">
        <v>1134</v>
      </c>
      <c r="AK12" s="1162" t="s">
        <v>1135</v>
      </c>
      <c r="AL12" s="1150"/>
      <c r="AM12" s="913"/>
      <c r="AN12" s="913"/>
      <c r="AO12" s="913"/>
      <c r="AP12" s="913"/>
      <c r="AQ12" s="913"/>
      <c r="AR12" s="913"/>
      <c r="AS12" s="913"/>
      <c r="AT12" s="913"/>
      <c r="AU12" s="913"/>
      <c r="AV12" s="913"/>
      <c r="AW12" s="913"/>
      <c r="AX12" s="913"/>
      <c r="AY12" s="913"/>
      <c r="AZ12" s="913"/>
      <c r="BA12" s="913"/>
      <c r="BB12" s="913"/>
      <c r="BC12" s="913"/>
      <c r="BD12" s="913"/>
      <c r="BE12" s="913"/>
      <c r="BF12" s="913"/>
    </row>
    <row customHeight="1" ht="0.75">
      <c r="E13" s="914"/>
      <c r="F13" s="1132">
        <v>0</v>
      </c>
      <c r="G13" s="1132"/>
      <c r="H13" s="1132"/>
      <c r="I13" s="1132"/>
      <c r="J13" s="1132"/>
      <c r="K13" s="1139"/>
      <c r="L13" s="1139"/>
      <c r="M13" s="1139"/>
      <c r="N13" s="1139"/>
      <c r="O13" s="1139"/>
      <c r="P13" s="1139"/>
      <c r="Q13" s="1139"/>
      <c r="R13" s="1139"/>
      <c r="S13" s="1139"/>
      <c r="T13" s="1139"/>
      <c r="U13" s="1139"/>
      <c r="V13" s="1139"/>
      <c r="W13" s="1139"/>
      <c r="X13" s="1139"/>
      <c r="Y13" s="1139"/>
      <c r="Z13" s="1139"/>
      <c r="AA13" s="1139"/>
      <c r="AB13" s="1139"/>
      <c r="AC13" s="1139"/>
      <c r="AD13" s="1139"/>
      <c r="AE13" s="1139"/>
      <c r="AF13" s="1139"/>
      <c r="AG13" s="1139"/>
      <c r="AH13" s="1157"/>
      <c r="AI13" s="1150"/>
      <c r="AJ13" s="1139"/>
      <c r="AK13" s="1139"/>
      <c r="AL13" s="915"/>
      <c r="AM13" s="913"/>
      <c r="AN13" s="913"/>
      <c r="AO13" s="913"/>
      <c r="AP13" s="913"/>
      <c r="AQ13" s="913"/>
      <c r="AR13" s="913"/>
      <c r="AS13" s="913"/>
      <c r="AT13" s="913"/>
      <c r="AU13" s="913"/>
      <c r="AV13" s="913"/>
      <c r="AW13" s="913"/>
      <c r="AX13" s="913"/>
      <c r="AY13" s="913"/>
      <c r="AZ13" s="913"/>
      <c r="BA13" s="913"/>
      <c r="BB13" s="913"/>
      <c r="BC13" s="913"/>
      <c r="BD13" s="913"/>
      <c r="BE13" s="913"/>
      <c r="BF13" s="913"/>
    </row>
    <row customHeight="1" ht="10.5">
      <c r="E14" s="913"/>
      <c r="F14" s="924"/>
      <c r="G14" s="924"/>
      <c r="H14" s="1181"/>
      <c r="I14" s="924"/>
      <c r="J14" s="924"/>
      <c r="K14" s="924"/>
      <c r="L14" s="1139"/>
      <c r="M14" s="1139"/>
      <c r="N14" s="924"/>
      <c r="O14" s="924"/>
      <c r="P14" s="924"/>
      <c r="Q14" s="924"/>
      <c r="R14" s="924"/>
      <c r="S14" s="924"/>
      <c r="T14" s="924"/>
      <c r="U14" s="924"/>
      <c r="V14" s="924"/>
      <c r="W14" s="924"/>
      <c r="X14" s="924"/>
      <c r="Y14" s="924"/>
      <c r="Z14" s="924"/>
      <c r="AA14" s="924"/>
      <c r="AB14" s="924"/>
      <c r="AC14" s="924"/>
      <c r="AD14" s="1139"/>
      <c r="AE14" s="924"/>
      <c r="AF14" s="924"/>
      <c r="AG14" s="924"/>
      <c r="AH14" s="1157"/>
      <c r="AI14" s="1150"/>
      <c r="AJ14" s="924"/>
      <c r="AK14" s="924"/>
      <c r="AL14" s="913"/>
      <c r="AM14" s="913"/>
      <c r="AN14" s="913"/>
      <c r="AO14" s="913"/>
      <c r="AP14" s="913"/>
      <c r="AQ14" s="913"/>
      <c r="AR14" s="913"/>
      <c r="AS14" s="913"/>
      <c r="AT14" s="913"/>
      <c r="AU14" s="913"/>
      <c r="AV14" s="913"/>
      <c r="AW14" s="913"/>
      <c r="AX14" s="913"/>
      <c r="AY14" s="913"/>
      <c r="AZ14" s="913"/>
      <c r="BA14" s="913"/>
      <c r="BB14" s="913"/>
      <c r="BC14" s="913"/>
      <c r="BD14" s="913"/>
      <c r="BE14" s="913"/>
      <c r="BF14" s="913"/>
    </row>
    <row customHeight="1" ht="12.75">
      <c r="E15" s="913"/>
      <c r="F15" s="920" t="s">
        <v>1136</v>
      </c>
      <c r="G15" s="920"/>
      <c r="H15" s="1180"/>
      <c r="I15" s="920"/>
      <c r="J15" s="920"/>
      <c r="K15" s="917"/>
      <c r="L15" s="1135"/>
      <c r="M15" s="1135"/>
      <c r="N15" s="919"/>
      <c r="O15" s="919"/>
      <c r="P15" s="919"/>
      <c r="Q15" s="919"/>
      <c r="R15" s="919"/>
      <c r="S15" s="919"/>
      <c r="T15" s="919"/>
      <c r="U15" s="919"/>
      <c r="V15" s="919"/>
      <c r="W15" s="919"/>
      <c r="X15" s="919"/>
      <c r="Y15" s="919"/>
      <c r="Z15" s="917"/>
      <c r="AA15" s="917"/>
      <c r="AB15" s="917"/>
      <c r="AC15" s="917"/>
      <c r="AD15" s="1135"/>
      <c r="AE15" s="917"/>
      <c r="AF15" s="917"/>
      <c r="AG15" s="917"/>
      <c r="AH15" s="1154"/>
      <c r="AI15" s="1147"/>
      <c r="AJ15" s="917"/>
      <c r="AK15" s="917"/>
      <c r="AL15" s="913"/>
      <c r="AM15" s="913"/>
      <c r="AN15" s="913"/>
      <c r="AO15" s="913"/>
      <c r="AP15" s="913"/>
      <c r="AQ15" s="913"/>
      <c r="AR15" s="913"/>
      <c r="AS15" s="913"/>
      <c r="AT15" s="913"/>
      <c r="AU15" s="913"/>
      <c r="AV15" s="913"/>
      <c r="AW15" s="913"/>
      <c r="AX15" s="913"/>
      <c r="AY15" s="913"/>
      <c r="AZ15" s="913"/>
      <c r="BA15" s="913"/>
      <c r="BB15" s="913"/>
      <c r="BC15" s="913"/>
      <c r="BD15" s="913"/>
      <c r="BE15" s="913"/>
      <c r="BF15" s="913"/>
    </row>
    <row r="17" customHeight="1" ht="10.5">
      <c r="E17" s="913"/>
      <c r="F17" s="2247"/>
      <c r="G17" s="2247"/>
      <c r="H17" s="2247"/>
      <c r="I17" s="2247"/>
      <c r="J17" s="2247"/>
      <c r="K17" s="917"/>
      <c r="L17" s="1135"/>
      <c r="M17" s="1135"/>
      <c r="N17" s="919"/>
      <c r="O17" s="919"/>
      <c r="P17" s="919"/>
      <c r="Q17" s="919"/>
      <c r="R17" s="919"/>
      <c r="S17" s="919"/>
      <c r="T17" s="919"/>
      <c r="U17" s="919"/>
      <c r="V17" s="919"/>
      <c r="W17" s="919"/>
      <c r="X17" s="919"/>
      <c r="Y17" s="919"/>
      <c r="Z17" s="917"/>
      <c r="AA17" s="917"/>
      <c r="AB17" s="917"/>
      <c r="AC17" s="917"/>
      <c r="AD17" s="1135"/>
      <c r="AE17" s="917"/>
      <c r="AF17" s="917"/>
      <c r="AG17" s="917"/>
      <c r="AH17" s="1154"/>
      <c r="AI17" s="1147"/>
      <c r="AJ17" s="917"/>
      <c r="AK17" s="917"/>
      <c r="AL17" s="913"/>
      <c r="AM17" s="913"/>
      <c r="AN17" s="913"/>
      <c r="AO17" s="913"/>
      <c r="AP17" s="913"/>
      <c r="AQ17" s="913"/>
      <c r="AR17" s="913"/>
      <c r="AS17" s="913"/>
      <c r="AT17" s="913"/>
      <c r="AU17" s="913"/>
      <c r="AV17" s="913"/>
      <c r="AW17" s="913"/>
      <c r="AX17" s="913"/>
      <c r="AY17" s="913"/>
      <c r="AZ17" s="913"/>
      <c r="BA17" s="913"/>
      <c r="BB17" s="913"/>
      <c r="BC17" s="913"/>
      <c r="BD17" s="913"/>
      <c r="BE17" s="913"/>
      <c r="BF17" s="913"/>
    </row>
    <row customHeight="1" ht="10.5">
      <c r="E18" s="913"/>
      <c r="F18" s="2247"/>
      <c r="G18" s="2247"/>
      <c r="H18" s="2247"/>
      <c r="I18" s="2247"/>
      <c r="J18" s="2247"/>
      <c r="K18" s="917"/>
      <c r="L18" s="1135"/>
      <c r="M18" s="1135"/>
      <c r="N18" s="919"/>
      <c r="O18" s="919"/>
      <c r="P18" s="919"/>
      <c r="Q18" s="919"/>
      <c r="R18" s="919"/>
      <c r="S18" s="919"/>
      <c r="T18" s="919"/>
      <c r="U18" s="919"/>
      <c r="V18" s="919"/>
      <c r="W18" s="919"/>
      <c r="X18" s="919"/>
      <c r="Y18" s="919"/>
      <c r="Z18" s="917"/>
      <c r="AA18" s="917"/>
      <c r="AB18" s="917"/>
      <c r="AC18" s="917"/>
      <c r="AD18" s="1135"/>
      <c r="AE18" s="917"/>
      <c r="AF18" s="917"/>
      <c r="AG18" s="917"/>
      <c r="AH18" s="1154"/>
      <c r="AI18" s="1147"/>
      <c r="AJ18" s="917"/>
      <c r="AK18" s="917"/>
      <c r="AL18" s="913"/>
      <c r="AM18" s="913"/>
      <c r="AN18" s="913"/>
      <c r="AO18" s="913"/>
      <c r="AP18" s="913"/>
      <c r="AQ18" s="913"/>
      <c r="AR18" s="913"/>
      <c r="AS18" s="913"/>
      <c r="AT18" s="913"/>
      <c r="AU18" s="913"/>
      <c r="AV18" s="913"/>
      <c r="AW18" s="913"/>
      <c r="AX18" s="913"/>
      <c r="AY18" s="913"/>
      <c r="AZ18" s="913"/>
      <c r="BA18" s="913"/>
      <c r="BB18" s="913"/>
      <c r="BC18" s="913"/>
      <c r="BD18" s="913"/>
      <c r="BE18" s="913"/>
      <c r="BF18" s="913"/>
    </row>
    <row customHeight="1" ht="10.5">
      <c r="E19" s="913"/>
      <c r="F19" s="2247"/>
      <c r="G19" s="2247"/>
      <c r="H19" s="2247"/>
      <c r="I19" s="2247"/>
      <c r="J19" s="2247"/>
      <c r="K19" s="917"/>
      <c r="L19" s="1135"/>
      <c r="M19" s="1135"/>
      <c r="N19" s="919"/>
      <c r="O19" s="919"/>
      <c r="P19" s="919"/>
      <c r="Q19" s="919"/>
      <c r="R19" s="919"/>
      <c r="S19" s="919"/>
      <c r="T19" s="919"/>
      <c r="U19" s="919"/>
      <c r="V19" s="919"/>
      <c r="W19" s="919"/>
      <c r="X19" s="919"/>
      <c r="Y19" s="919"/>
      <c r="Z19" s="917"/>
      <c r="AA19" s="917"/>
      <c r="AB19" s="917"/>
      <c r="AC19" s="917"/>
      <c r="AD19" s="1135"/>
      <c r="AE19" s="917"/>
      <c r="AF19" s="917"/>
      <c r="AG19" s="917"/>
      <c r="AH19" s="1154"/>
      <c r="AI19" s="1147"/>
      <c r="AJ19" s="917"/>
      <c r="AK19" s="917"/>
      <c r="AL19" s="913"/>
      <c r="AM19" s="913"/>
      <c r="AN19" s="913"/>
      <c r="AO19" s="913"/>
      <c r="AP19" s="913"/>
      <c r="AQ19" s="913"/>
      <c r="AR19" s="913"/>
      <c r="AS19" s="913"/>
      <c r="AT19" s="913"/>
      <c r="AU19" s="913"/>
      <c r="AV19" s="913"/>
      <c r="AW19" s="913"/>
      <c r="AX19" s="913"/>
      <c r="AY19" s="913"/>
      <c r="AZ19" s="913"/>
      <c r="BA19" s="913"/>
      <c r="BB19" s="913"/>
      <c r="BC19" s="913"/>
      <c r="BD19" s="913"/>
      <c r="BE19" s="913"/>
      <c r="BF19" s="913"/>
    </row>
  </sheetData>
  <sheetProtection formatColumns="0" formatRows="0" autoFilter="0" sort="0" insertRows="0" insertColumns="1" deleteRows="0" deleteColumns="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E9765B-EB29-EC73-9EAD-97FBD6371C4F}" mc:Ignorable="x14ac xr xr2 xr3">
  <sheetPr>
    <tabColor theme="9" tint="-0.25"/>
  </sheetPr>
  <dimension ref="A1:V58"/>
  <sheetViews>
    <sheetView topLeftCell="A1" showGridLines="0" zoomScale="85" workbookViewId="0">
      <selection activeCell="A1" sqref="A1"/>
    </sheetView>
  </sheetViews>
  <sheetFormatPr defaultColWidth="9.140625" customHeight="1" defaultRowHeight="10.5"/>
  <cols>
    <col min="1" max="3" style="12643" width="4.140625" hidden="1" customWidth="1"/>
    <col min="4" max="4" style="2683" width="4.140625" hidden="1" customWidth="1"/>
    <col min="5" max="5" style="2628" width="3.7109375" customWidth="1"/>
    <col min="6" max="6" style="2984" width="6.28125" customWidth="1"/>
    <col min="7" max="7" style="2984" width="60.140625" customWidth="1"/>
    <col min="8" max="9" style="2984" width="21.7109375" hidden="1" customWidth="1"/>
    <col min="10" max="10" style="2984" width="0.140625" customWidth="1"/>
    <col min="11" max="11" style="2984" width="1.7109375" customWidth="1"/>
    <col min="12" max="22" style="2984" width="9.140625"/>
  </cols>
  <sheetData>
    <row s="2683" customFormat="1" customHeight="1" ht="10.5" hidden="1">
      <c r="A1" s="1174"/>
      <c r="B1" s="1174"/>
      <c r="C1" s="1174"/>
      <c r="E1" s="543"/>
    </row>
    <row customHeight="1" ht="10.5" hidden="1"/>
    <row s="2983" customFormat="1" customHeight="1" ht="10.5" hidden="1">
      <c r="A3" s="1174"/>
      <c r="B3" s="1174"/>
      <c r="C3" s="1174"/>
      <c r="D3" s="1168"/>
      <c r="E3" s="360"/>
    </row>
    <row customHeight="1" ht="3"/>
    <row customHeight="1" ht="25.5">
      <c r="F5" s="214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40"/>
      <c r="H5" s="2140"/>
      <c r="I5" s="2140"/>
      <c r="J5" s="2140"/>
    </row>
    <row customHeight="1" ht="10.5">
      <c r="F6" s="2053" t="str">
        <f>IF(org=0,"Не определено",org)</f>
        <v>АО "Мурманэнергосбыт"</v>
      </c>
      <c r="G6" s="2053"/>
      <c r="H6" s="2053"/>
      <c r="I6" s="2053"/>
      <c r="J6" s="2053"/>
    </row>
    <row customHeight="1" ht="11.25">
      <c r="E7" s="1178"/>
      <c r="F7" s="1245"/>
      <c r="G7" s="1245"/>
      <c r="H7" s="1245"/>
      <c r="I7" s="1245"/>
      <c r="J7" s="1245"/>
      <c r="K7" s="1165"/>
      <c r="L7" s="1165"/>
      <c r="M7" s="1165"/>
      <c r="N7" s="1165"/>
      <c r="O7" s="1165"/>
      <c r="P7" s="1165"/>
      <c r="Q7" s="1165"/>
      <c r="R7" s="1165"/>
      <c r="S7" s="1165"/>
      <c r="T7" s="1165"/>
      <c r="U7" s="1165"/>
      <c r="V7" s="1165"/>
    </row>
    <row s="2612" customFormat="1" customHeight="1" ht="5.25">
      <c r="A8" s="1175"/>
      <c r="B8" s="1175"/>
      <c r="C8" s="1175"/>
      <c r="E8" s="1246"/>
      <c r="F8" s="1247"/>
      <c r="G8" s="1247"/>
      <c r="H8" s="1247"/>
      <c r="I8" s="1247"/>
      <c r="J8" s="1247"/>
      <c r="K8" s="1246"/>
      <c r="L8" s="1246"/>
      <c r="M8" s="1246"/>
      <c r="N8" s="1246"/>
      <c r="O8" s="1246"/>
      <c r="P8" s="1246"/>
      <c r="Q8" s="1246"/>
      <c r="R8" s="1246"/>
      <c r="S8" s="1246"/>
      <c r="T8" s="1246"/>
      <c r="U8" s="1246"/>
      <c r="V8" s="1246"/>
    </row>
    <row customHeight="1" ht="10.5">
      <c r="E9" s="1178"/>
      <c r="F9" s="2258" t="s">
        <v>513</v>
      </c>
      <c r="G9" s="2259"/>
      <c r="H9" s="2259"/>
      <c r="I9" s="2259"/>
      <c r="J9" s="2259"/>
      <c r="K9" s="1258"/>
      <c r="L9" s="1165"/>
      <c r="M9" s="1165"/>
      <c r="N9" s="1165"/>
      <c r="O9" s="1165"/>
      <c r="P9" s="1165"/>
      <c r="Q9" s="1165"/>
      <c r="R9" s="1165"/>
      <c r="S9" s="1165"/>
      <c r="T9" s="1165"/>
      <c r="U9" s="1165"/>
      <c r="V9" s="1165"/>
    </row>
    <row customHeight="1" ht="24">
      <c r="E10" s="1165"/>
      <c r="F10" s="2262" t="s">
        <v>89</v>
      </c>
      <c r="G10" s="2267" t="s">
        <v>1137</v>
      </c>
      <c r="H10" s="2265" t="s">
        <v>1138</v>
      </c>
      <c r="I10" s="2265"/>
      <c r="J10" s="2265"/>
      <c r="K10" s="1251"/>
      <c r="L10" s="1165"/>
      <c r="M10" s="1165"/>
      <c r="N10" s="1165"/>
      <c r="O10" s="1165"/>
      <c r="P10" s="1165"/>
      <c r="Q10" s="1165"/>
      <c r="R10" s="1165"/>
      <c r="S10" s="1165"/>
      <c r="T10" s="1165"/>
      <c r="U10" s="1165"/>
      <c r="V10" s="1165"/>
    </row>
    <row customHeight="1" ht="24">
      <c r="E11" s="1165"/>
      <c r="F11" s="2263"/>
      <c r="G11" s="2267"/>
      <c r="H11" s="2266">
        <f>INDEX(IP_MAIN_LIST_NAME_IP,MATCH(H8,IP_MAIN_LIST_IP_ID,0))&amp;" ("&amp;INDEX(IP_MAIN_START_DATE,MATCH(H8,IP_MAIN_LIST_IP_ID,0))&amp;"-"&amp;INDEX(IP_MAIN_END_DATE,MATCH(H8,IP_MAIN_LIST_IP_ID,0))&amp;")"</f>
      </c>
      <c r="I11" s="2266"/>
      <c r="J11" s="2266"/>
      <c r="K11" s="1251"/>
      <c r="L11" s="1165"/>
      <c r="M11" s="1165"/>
      <c r="N11" s="1165"/>
      <c r="O11" s="1165"/>
      <c r="P11" s="1165"/>
      <c r="Q11" s="1165"/>
      <c r="R11" s="1165"/>
      <c r="S11" s="1165"/>
      <c r="T11" s="1165"/>
      <c r="U11" s="1165"/>
      <c r="V11" s="1165"/>
    </row>
    <row customHeight="1" ht="10.5">
      <c r="F12" s="2264"/>
      <c r="G12" s="2267"/>
      <c r="H12" s="1244" t="s">
        <v>1139</v>
      </c>
      <c r="I12" s="1250"/>
      <c r="J12" s="1244"/>
      <c r="K12" s="1252"/>
    </row>
    <row customHeight="1" ht="10.5" hidden="1">
      <c r="F13" s="1244">
        <v>1</v>
      </c>
      <c r="G13" s="1244">
        <v>2</v>
      </c>
      <c r="H13" s="1244">
        <v>3</v>
      </c>
      <c r="I13" s="1244">
        <v>4</v>
      </c>
      <c r="J13" s="1244">
        <v>5</v>
      </c>
      <c r="K13" s="1252"/>
    </row>
    <row customHeight="1" ht="11.25">
      <c r="F14" s="1243" t="s">
        <v>1140</v>
      </c>
      <c r="G14" s="2260" t="s">
        <v>1141</v>
      </c>
      <c r="H14" s="2260"/>
      <c r="I14" s="2260"/>
      <c r="J14" s="2260"/>
      <c r="K14" s="1252"/>
    </row>
    <row customHeight="1" ht="11.25">
      <c r="F15" s="1248">
        <v>1</v>
      </c>
      <c r="G15" s="696" t="s">
        <v>1142</v>
      </c>
      <c r="H15" s="1254">
        <f>SUM(I15:J15)</f>
        <v>0</v>
      </c>
      <c r="I15" s="1254">
        <f>SUM(I16:I27)</f>
        <v>0</v>
      </c>
      <c r="J15" s="1243"/>
      <c r="K15" s="1252"/>
    </row>
    <row customHeight="1" ht="22.5">
      <c r="F16" s="1248" t="s">
        <v>1143</v>
      </c>
      <c r="G16" s="1255" t="s">
        <v>1144</v>
      </c>
      <c r="H16" s="1254">
        <f>SUM(I16:J16)</f>
        <v>0</v>
      </c>
      <c r="I16" s="1253"/>
      <c r="J16" s="1243"/>
      <c r="K16" s="1252"/>
    </row>
    <row customHeight="1" ht="22.5">
      <c r="F17" s="1248" t="s">
        <v>1145</v>
      </c>
      <c r="G17" s="1255" t="s">
        <v>1146</v>
      </c>
      <c r="H17" s="1254">
        <f>SUM(I17:J17)</f>
        <v>0</v>
      </c>
      <c r="I17" s="1253"/>
      <c r="J17" s="1243"/>
      <c r="K17" s="1252"/>
    </row>
    <row customHeight="1" ht="33.75">
      <c r="F18" s="1248" t="s">
        <v>1147</v>
      </c>
      <c r="G18" s="1255" t="s">
        <v>1148</v>
      </c>
      <c r="H18" s="1254">
        <f>SUM(I18:J18)</f>
        <v>0</v>
      </c>
      <c r="I18" s="1253"/>
      <c r="J18" s="1243"/>
      <c r="K18" s="1252"/>
    </row>
    <row customHeight="1" ht="33.75">
      <c r="F19" s="1248" t="s">
        <v>1149</v>
      </c>
      <c r="G19" s="1255" t="s">
        <v>1150</v>
      </c>
      <c r="H19" s="1254">
        <f>SUM(I19:J19)</f>
        <v>0</v>
      </c>
      <c r="I19" s="1253"/>
      <c r="J19" s="1243"/>
      <c r="K19" s="1252"/>
    </row>
    <row customHeight="1" ht="45">
      <c r="F20" s="1248" t="s">
        <v>1151</v>
      </c>
      <c r="G20" s="1255" t="s">
        <v>1152</v>
      </c>
      <c r="H20" s="1254">
        <f>SUM(I20:J20)</f>
        <v>0</v>
      </c>
      <c r="I20" s="1253"/>
      <c r="J20" s="1243"/>
      <c r="K20" s="1252"/>
    </row>
    <row customHeight="1" ht="33.75">
      <c r="F21" s="1248" t="s">
        <v>1153</v>
      </c>
      <c r="G21" s="1255" t="s">
        <v>1154</v>
      </c>
      <c r="H21" s="1254">
        <f>SUM(I21:J21)</f>
        <v>0</v>
      </c>
      <c r="I21" s="1253"/>
      <c r="J21" s="1243"/>
      <c r="K21" s="1252"/>
    </row>
    <row customHeight="1" ht="33.75">
      <c r="F22" s="1248" t="s">
        <v>1155</v>
      </c>
      <c r="G22" s="1255" t="s">
        <v>1156</v>
      </c>
      <c r="H22" s="1254">
        <f>SUM(I22:J22)</f>
        <v>0</v>
      </c>
      <c r="I22" s="1253"/>
      <c r="J22" s="1243"/>
      <c r="K22" s="1252"/>
    </row>
    <row customHeight="1" ht="22.5">
      <c r="F23" s="1248" t="s">
        <v>1157</v>
      </c>
      <c r="G23" s="1255" t="s">
        <v>1158</v>
      </c>
      <c r="H23" s="1254">
        <f>SUM(I23:J23)</f>
        <v>0</v>
      </c>
      <c r="I23" s="1253"/>
      <c r="J23" s="1243"/>
      <c r="K23" s="1252"/>
    </row>
    <row customHeight="1" ht="22.5">
      <c r="F24" s="1248" t="s">
        <v>1159</v>
      </c>
      <c r="G24" s="1255" t="s">
        <v>1160</v>
      </c>
      <c r="H24" s="1254">
        <f>SUM(I24:J24)</f>
        <v>0</v>
      </c>
      <c r="I24" s="1253"/>
      <c r="J24" s="1243"/>
      <c r="K24" s="1252"/>
    </row>
    <row customHeight="1" ht="33.75">
      <c r="F25" s="1248" t="s">
        <v>1161</v>
      </c>
      <c r="G25" s="1255" t="s">
        <v>1162</v>
      </c>
      <c r="H25" s="1254">
        <f>SUM(I25:J25)</f>
        <v>0</v>
      </c>
      <c r="I25" s="1253"/>
      <c r="J25" s="1243"/>
      <c r="K25" s="1252"/>
    </row>
    <row customHeight="1" ht="33.75">
      <c r="F26" s="1248" t="s">
        <v>1163</v>
      </c>
      <c r="G26" s="1255" t="s">
        <v>1164</v>
      </c>
      <c r="H26" s="1254">
        <f>SUM(I26:J26)</f>
        <v>0</v>
      </c>
      <c r="I26" s="1253"/>
      <c r="J26" s="1243"/>
      <c r="K26" s="1252"/>
    </row>
    <row customHeight="1" ht="11.25">
      <c r="F27" s="1248" t="s">
        <v>1165</v>
      </c>
      <c r="G27" s="1255" t="s">
        <v>1166</v>
      </c>
      <c r="H27" s="1254">
        <f>SUM(I27:J27)</f>
        <v>0</v>
      </c>
      <c r="I27" s="1253"/>
      <c r="J27" s="1243"/>
      <c r="K27" s="1252"/>
    </row>
    <row customHeight="1" ht="11.25">
      <c r="F28" s="1248">
        <v>2</v>
      </c>
      <c r="G28" s="696" t="s">
        <v>1167</v>
      </c>
      <c r="H28" s="1254">
        <f>SUM(I28:J28)</f>
        <v>0</v>
      </c>
      <c r="I28" s="1254">
        <f>SUM(I29:I31)</f>
        <v>0</v>
      </c>
      <c r="J28" s="1243"/>
      <c r="K28" s="1252"/>
    </row>
    <row customHeight="1" ht="11.25">
      <c r="F29" s="1248" t="s">
        <v>829</v>
      </c>
      <c r="G29" s="1255" t="s">
        <v>1168</v>
      </c>
      <c r="H29" s="1254">
        <f>SUM(I29:J29)</f>
        <v>0</v>
      </c>
      <c r="I29" s="1253"/>
      <c r="J29" s="1243"/>
      <c r="K29" s="1252"/>
    </row>
    <row customHeight="1" ht="11.25">
      <c r="F30" s="1248" t="s">
        <v>520</v>
      </c>
      <c r="G30" s="1255" t="s">
        <v>1169</v>
      </c>
      <c r="H30" s="1254">
        <f>SUM(I30:J30)</f>
        <v>0</v>
      </c>
      <c r="I30" s="1253"/>
      <c r="J30" s="1243"/>
      <c r="K30" s="1252"/>
    </row>
    <row customHeight="1" ht="11.25">
      <c r="F31" s="1248" t="s">
        <v>523</v>
      </c>
      <c r="G31" s="1255" t="s">
        <v>1170</v>
      </c>
      <c r="H31" s="1254">
        <f>SUM(I31:J31)</f>
        <v>0</v>
      </c>
      <c r="I31" s="1253"/>
      <c r="J31" s="1243"/>
      <c r="K31" s="1252"/>
    </row>
    <row customHeight="1" ht="11.25">
      <c r="F32" s="1248">
        <v>3</v>
      </c>
      <c r="G32" s="696" t="s">
        <v>1171</v>
      </c>
      <c r="H32" s="1254">
        <f>SUM(I32:J32)</f>
        <v>0</v>
      </c>
      <c r="I32" s="1254">
        <f>SUM(I33:I34)</f>
        <v>0</v>
      </c>
      <c r="J32" s="1243"/>
      <c r="K32" s="1252"/>
    </row>
    <row customHeight="1" ht="33.75">
      <c r="F33" s="1248" t="s">
        <v>539</v>
      </c>
      <c r="G33" s="1255" t="s">
        <v>1172</v>
      </c>
      <c r="H33" s="1254">
        <f>SUM(I33:J33)</f>
        <v>0</v>
      </c>
      <c r="I33" s="1253"/>
      <c r="J33" s="1243"/>
      <c r="K33" s="1252"/>
    </row>
    <row customHeight="1" ht="11.25">
      <c r="F34" s="1248" t="s">
        <v>547</v>
      </c>
      <c r="G34" s="1255" t="s">
        <v>1173</v>
      </c>
      <c r="H34" s="1254">
        <f>SUM(I34:J34)</f>
        <v>0</v>
      </c>
      <c r="I34" s="1253"/>
      <c r="J34" s="1243"/>
      <c r="K34" s="1252"/>
    </row>
    <row customHeight="1" ht="11.25">
      <c r="F35" s="1248">
        <v>4</v>
      </c>
      <c r="G35" s="696" t="s">
        <v>1174</v>
      </c>
      <c r="H35" s="1254">
        <f>SUM(I35:J35)</f>
        <v>0</v>
      </c>
      <c r="I35" s="1253"/>
      <c r="J35" s="1243"/>
      <c r="K35" s="1252"/>
    </row>
    <row customHeight="1" ht="11.25">
      <c r="F36" s="1248"/>
      <c r="G36" s="699" t="s">
        <v>1175</v>
      </c>
      <c r="H36" s="1254">
        <f>SUM(I36:J36)</f>
        <v>0</v>
      </c>
      <c r="I36" s="1254">
        <f>SUM(I15,I28,I32,I35)</f>
        <v>0</v>
      </c>
      <c r="J36" s="1243"/>
      <c r="K36" s="1252"/>
    </row>
    <row customHeight="1" ht="27.75">
      <c r="F37" s="1249" t="s">
        <v>1176</v>
      </c>
      <c r="G37" s="2261" t="s">
        <v>1177</v>
      </c>
      <c r="H37" s="2261"/>
      <c r="I37" s="2261"/>
      <c r="J37" s="2261"/>
      <c r="K37" s="1252"/>
    </row>
    <row customHeight="1" ht="22.5">
      <c r="F38" s="1248" t="s">
        <v>193</v>
      </c>
      <c r="G38" s="696" t="s">
        <v>1178</v>
      </c>
      <c r="H38" s="1254">
        <f>SUM(I38:J38)</f>
        <v>0</v>
      </c>
      <c r="I38" s="1254">
        <f>SUM(I39,I44,I47)</f>
        <v>0</v>
      </c>
      <c r="J38" s="1243"/>
      <c r="K38" s="1252"/>
    </row>
    <row customHeight="1" ht="11.25">
      <c r="F39" s="1248" t="s">
        <v>1143</v>
      </c>
      <c r="G39" s="1255" t="s">
        <v>1142</v>
      </c>
      <c r="H39" s="1254">
        <f>SUM(I39:J39)</f>
        <v>0</v>
      </c>
      <c r="I39" s="1254">
        <f>SUM(I40:I43)</f>
        <v>0</v>
      </c>
      <c r="J39" s="1243"/>
      <c r="K39" s="1252"/>
    </row>
    <row customHeight="1" ht="22.5">
      <c r="F40" s="1248" t="s">
        <v>1179</v>
      </c>
      <c r="G40" s="1256" t="s">
        <v>1180</v>
      </c>
      <c r="H40" s="1254">
        <f>SUM(I40:J40)</f>
        <v>0</v>
      </c>
      <c r="I40" s="1253"/>
      <c r="J40" s="1243"/>
      <c r="K40" s="1252"/>
    </row>
    <row customHeight="1" ht="11.25">
      <c r="F41" s="1248" t="s">
        <v>1181</v>
      </c>
      <c r="G41" s="1256" t="s">
        <v>1182</v>
      </c>
      <c r="H41" s="1254">
        <f>SUM(I41:J41)</f>
        <v>0</v>
      </c>
      <c r="I41" s="1253"/>
      <c r="J41" s="1243"/>
      <c r="K41" s="1252"/>
    </row>
    <row customHeight="1" ht="11.25">
      <c r="F42" s="1248" t="s">
        <v>1183</v>
      </c>
      <c r="G42" s="1256" t="s">
        <v>1184</v>
      </c>
      <c r="H42" s="1254">
        <f>SUM(I42:J42)</f>
        <v>0</v>
      </c>
      <c r="I42" s="1253"/>
      <c r="J42" s="1243"/>
      <c r="K42" s="1252"/>
    </row>
    <row customHeight="1" ht="33.75">
      <c r="F43" s="1248" t="s">
        <v>1185</v>
      </c>
      <c r="G43" s="1256" t="s">
        <v>1186</v>
      </c>
      <c r="H43" s="1254">
        <f>SUM(I43:J43)</f>
        <v>0</v>
      </c>
      <c r="I43" s="1253"/>
      <c r="J43" s="1243"/>
      <c r="K43" s="1252"/>
    </row>
    <row customHeight="1" ht="11.25">
      <c r="F44" s="1248" t="s">
        <v>1145</v>
      </c>
      <c r="G44" s="1255" t="s">
        <v>1171</v>
      </c>
      <c r="H44" s="1254">
        <f>SUM(I44:J44)</f>
        <v>0</v>
      </c>
      <c r="I44" s="1254">
        <f>SUM(I45:I46)</f>
        <v>0</v>
      </c>
      <c r="J44" s="1243"/>
      <c r="K44" s="1252"/>
    </row>
    <row customHeight="1" ht="45">
      <c r="F45" s="1248" t="s">
        <v>1187</v>
      </c>
      <c r="G45" s="1256" t="s">
        <v>1172</v>
      </c>
      <c r="H45" s="1254">
        <f>SUM(I45:J45)</f>
        <v>0</v>
      </c>
      <c r="I45" s="1253"/>
      <c r="J45" s="1243"/>
      <c r="K45" s="1252"/>
    </row>
    <row customHeight="1" ht="11.25">
      <c r="F46" s="1248" t="s">
        <v>1188</v>
      </c>
      <c r="G46" s="1256" t="s">
        <v>1173</v>
      </c>
      <c r="H46" s="1254">
        <f>SUM(I46:J46)</f>
        <v>0</v>
      </c>
      <c r="I46" s="1253"/>
      <c r="J46" s="1243"/>
      <c r="K46" s="1252"/>
    </row>
    <row customHeight="1" ht="11.25">
      <c r="F47" s="1248" t="s">
        <v>1147</v>
      </c>
      <c r="G47" s="1255" t="s">
        <v>1189</v>
      </c>
      <c r="H47" s="1254">
        <f>SUM(I47:J47)</f>
        <v>0</v>
      </c>
      <c r="I47" s="1253"/>
      <c r="J47" s="1243"/>
      <c r="K47" s="1252"/>
    </row>
    <row customHeight="1" ht="22.5">
      <c r="F48" s="1248" t="s">
        <v>104</v>
      </c>
      <c r="G48" s="696" t="s">
        <v>1190</v>
      </c>
      <c r="H48" s="1254">
        <f>SUM(I48:J48)</f>
        <v>0</v>
      </c>
      <c r="I48" s="1254">
        <f>SUM(I49,I54,I57)</f>
        <v>0</v>
      </c>
      <c r="J48" s="1243"/>
      <c r="K48" s="1252"/>
    </row>
    <row customHeight="1" ht="11.25">
      <c r="F49" s="1248" t="s">
        <v>829</v>
      </c>
      <c r="G49" s="1255" t="s">
        <v>1142</v>
      </c>
      <c r="H49" s="1254">
        <f>SUM(I49:J49)</f>
        <v>0</v>
      </c>
      <c r="I49" s="1254">
        <f>SUM(I50:I53)</f>
        <v>0</v>
      </c>
      <c r="J49" s="1243"/>
      <c r="K49" s="1252"/>
    </row>
    <row customHeight="1" ht="22.5">
      <c r="F50" s="1248" t="s">
        <v>832</v>
      </c>
      <c r="G50" s="1256" t="s">
        <v>1180</v>
      </c>
      <c r="H50" s="1254">
        <f>SUM(I50:J50)</f>
        <v>0</v>
      </c>
      <c r="I50" s="1253"/>
      <c r="J50" s="1243"/>
      <c r="K50" s="1252"/>
    </row>
    <row customHeight="1" ht="11.25">
      <c r="F51" s="1248" t="s">
        <v>835</v>
      </c>
      <c r="G51" s="1256" t="s">
        <v>1182</v>
      </c>
      <c r="H51" s="1254">
        <f>SUM(I51:J51)</f>
        <v>0</v>
      </c>
      <c r="I51" s="1253"/>
      <c r="J51" s="1243"/>
      <c r="K51" s="1252"/>
    </row>
    <row customHeight="1" ht="11.25">
      <c r="F52" s="1248" t="s">
        <v>1191</v>
      </c>
      <c r="G52" s="1256" t="s">
        <v>1184</v>
      </c>
      <c r="H52" s="1254">
        <f>SUM(I52:J52)</f>
        <v>0</v>
      </c>
      <c r="I52" s="1253"/>
      <c r="J52" s="1243"/>
      <c r="K52" s="1252"/>
    </row>
    <row customHeight="1" ht="33.75">
      <c r="F53" s="1248" t="s">
        <v>1192</v>
      </c>
      <c r="G53" s="1256" t="s">
        <v>1186</v>
      </c>
      <c r="H53" s="1254">
        <f>SUM(I53:J53)</f>
        <v>0</v>
      </c>
      <c r="I53" s="1253"/>
      <c r="J53" s="1243"/>
      <c r="K53" s="1252"/>
    </row>
    <row customHeight="1" ht="11.25">
      <c r="F54" s="1248" t="s">
        <v>520</v>
      </c>
      <c r="G54" s="1255" t="s">
        <v>1171</v>
      </c>
      <c r="H54" s="1254">
        <f>SUM(I54:J54)</f>
        <v>0</v>
      </c>
      <c r="I54" s="1254">
        <f>SUM(I55:I56)</f>
        <v>0</v>
      </c>
      <c r="J54" s="1243"/>
      <c r="K54" s="1252"/>
    </row>
    <row customHeight="1" ht="45">
      <c r="F55" s="1248" t="s">
        <v>839</v>
      </c>
      <c r="G55" s="1256" t="s">
        <v>1172</v>
      </c>
      <c r="H55" s="1254">
        <f>SUM(I55:J55)</f>
        <v>0</v>
      </c>
      <c r="I55" s="1253"/>
      <c r="J55" s="1243"/>
      <c r="K55" s="1252"/>
    </row>
    <row customHeight="1" ht="11.25">
      <c r="F56" s="1248" t="s">
        <v>841</v>
      </c>
      <c r="G56" s="1256" t="s">
        <v>1173</v>
      </c>
      <c r="H56" s="1254">
        <f>SUM(I56:J56)</f>
        <v>0</v>
      </c>
      <c r="I56" s="1253"/>
      <c r="J56" s="1243"/>
      <c r="K56" s="1252"/>
    </row>
    <row customHeight="1" ht="11.25">
      <c r="F57" s="1248" t="s">
        <v>523</v>
      </c>
      <c r="G57" s="1255" t="s">
        <v>1189</v>
      </c>
      <c r="H57" s="1254">
        <f>SUM(I57:J57)</f>
        <v>0</v>
      </c>
      <c r="I57" s="1253"/>
      <c r="J57" s="1243"/>
      <c r="K57" s="1252"/>
    </row>
    <row customHeight="1" ht="11.25">
      <c r="F58" s="1248"/>
      <c r="G58" s="1257" t="s">
        <v>1175</v>
      </c>
      <c r="H58" s="1254">
        <f>SUM(I58:J58)</f>
        <v>0</v>
      </c>
      <c r="I58" s="1254">
        <f>SUM(I38,I48)</f>
        <v>0</v>
      </c>
      <c r="J58" s="1243"/>
      <c r="K58" s="1252"/>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2F2A02-F3A1-4DBF-68FF-4F2E0A3DD7DC}" mc:Ignorable="x14ac xr xr2 xr3">
  <sheetPr>
    <tabColor theme="9" tint="-0.25"/>
  </sheetPr>
  <dimension ref="A1:GB24"/>
  <sheetViews>
    <sheetView topLeftCell="A1" showGridLines="0" zoomScale="90" workbookViewId="0">
      <selection activeCell="A1" sqref="A1"/>
    </sheetView>
  </sheetViews>
  <sheetFormatPr defaultColWidth="9.140625" customHeight="1" defaultRowHeight="12"/>
  <cols>
    <col min="1" max="1" style="12817" width="4.7109375" hidden="1" customWidth="1"/>
    <col min="2" max="2" style="12818" width="4.7109375" hidden="1" customWidth="1"/>
    <col min="3" max="4" style="12817" width="4.7109375" hidden="1" customWidth="1"/>
    <col min="5" max="5" style="12817" width="3.57421875" customWidth="1"/>
    <col min="6" max="6" style="12817" width="6.7109375" customWidth="1"/>
    <col min="7" max="7" style="12817" width="18.7109375" customWidth="1"/>
    <col min="8" max="8" style="12817" width="27.28125" customWidth="1"/>
    <col min="9" max="9" style="12817" width="18.7109375" customWidth="1"/>
    <col min="10" max="14" style="12817" width="0.8515625" hidden="1" customWidth="1"/>
    <col min="15" max="28" style="12817" width="21.7109375" customWidth="1"/>
    <col min="29" max="71" style="12817" width="0.8515625" customWidth="1"/>
    <col min="72" max="79" style="12817" width="21.7109375" hidden="1" customWidth="1"/>
    <col min="80" max="81" style="12817" width="29.140625" hidden="1" customWidth="1"/>
    <col min="82" max="89" style="12817" width="21.7109375" hidden="1" customWidth="1"/>
    <col min="90" max="102" style="12817" width="0.7109375" hidden="1" customWidth="1"/>
    <col min="103" max="114" style="12817" width="21.7109375" hidden="1" customWidth="1"/>
    <col min="115" max="178" style="12817" width="0.7109375" hidden="1" customWidth="1"/>
    <col min="179" max="179" style="12817" width="0.140625" customWidth="1"/>
    <col min="180" max="184" style="12817" width="9.140625"/>
  </cols>
  <sheetData>
    <row s="12745" customFormat="1" customHeight="1" ht="12" hidden="1">
      <c r="B1" s="929"/>
      <c r="C1" s="930"/>
      <c r="D1" s="930"/>
    </row>
    <row s="12745" customFormat="1" customHeight="1" ht="12" hidden="1">
      <c r="B2" s="929"/>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1"/>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0"/>
      <c r="BL2" s="930"/>
      <c r="BM2" s="930"/>
      <c r="BN2" s="930"/>
      <c r="BO2" s="930"/>
      <c r="BP2" s="930"/>
      <c r="BQ2" s="930"/>
      <c r="BR2" s="930"/>
      <c r="BS2" s="930"/>
      <c r="BT2" s="930"/>
      <c r="BU2" s="930"/>
      <c r="BV2" s="930"/>
      <c r="BW2" s="930"/>
      <c r="BX2" s="930"/>
      <c r="BY2" s="930"/>
      <c r="BZ2" s="930"/>
      <c r="CA2" s="930"/>
      <c r="CB2" s="930"/>
      <c r="CC2" s="930"/>
      <c r="CD2" s="930"/>
      <c r="CE2" s="930"/>
      <c r="CF2" s="930"/>
      <c r="CG2" s="930"/>
      <c r="CH2" s="930"/>
      <c r="CI2" s="930"/>
      <c r="CJ2" s="930"/>
      <c r="CK2" s="930"/>
      <c r="CL2" s="930"/>
      <c r="CM2" s="930"/>
      <c r="CN2" s="930"/>
      <c r="CO2" s="930"/>
      <c r="CP2" s="930"/>
      <c r="CQ2" s="930"/>
      <c r="CR2" s="930"/>
      <c r="CS2" s="930"/>
      <c r="CT2" s="930"/>
      <c r="CU2" s="930"/>
      <c r="CV2" s="930"/>
      <c r="CW2" s="930"/>
      <c r="CX2" s="930"/>
      <c r="CY2" s="930"/>
      <c r="CZ2" s="930"/>
      <c r="DA2" s="930"/>
      <c r="DB2" s="930"/>
      <c r="DC2" s="930"/>
      <c r="DD2" s="930"/>
      <c r="DE2" s="930"/>
      <c r="DF2" s="930"/>
      <c r="DG2" s="930"/>
      <c r="DH2" s="930"/>
      <c r="DI2" s="930"/>
      <c r="DJ2" s="930"/>
      <c r="DK2" s="930"/>
      <c r="DL2" s="930"/>
      <c r="DM2" s="930"/>
      <c r="DN2" s="930"/>
      <c r="DO2" s="930"/>
      <c r="DP2" s="930"/>
      <c r="DQ2" s="930"/>
      <c r="DR2" s="930"/>
      <c r="DS2" s="930"/>
      <c r="DT2" s="930"/>
      <c r="DU2" s="930"/>
      <c r="DV2" s="930"/>
      <c r="DW2" s="930"/>
      <c r="DX2" s="930"/>
      <c r="DY2" s="930"/>
      <c r="DZ2" s="930"/>
      <c r="EA2" s="930"/>
      <c r="EB2" s="930"/>
      <c r="EC2" s="930"/>
      <c r="ED2" s="930"/>
      <c r="EE2" s="930"/>
      <c r="EF2" s="930"/>
      <c r="EG2" s="930"/>
      <c r="EH2" s="930"/>
      <c r="EI2" s="930"/>
      <c r="EJ2" s="930"/>
      <c r="EK2" s="930"/>
      <c r="EL2" s="930"/>
      <c r="EM2" s="930"/>
      <c r="EN2" s="930"/>
      <c r="EO2" s="930"/>
      <c r="EP2" s="930"/>
      <c r="EQ2" s="930"/>
      <c r="ER2" s="930"/>
      <c r="ES2" s="930"/>
      <c r="ET2" s="930"/>
      <c r="EU2" s="930"/>
      <c r="EV2" s="930"/>
      <c r="EW2" s="930"/>
      <c r="EX2" s="930"/>
      <c r="EY2" s="930"/>
      <c r="EZ2" s="930"/>
      <c r="FA2" s="930"/>
      <c r="FB2" s="930"/>
      <c r="FC2" s="930"/>
      <c r="FD2" s="930"/>
      <c r="FE2" s="930"/>
      <c r="FF2" s="930"/>
      <c r="FG2" s="930"/>
      <c r="FH2" s="930"/>
      <c r="FI2" s="930"/>
      <c r="FJ2" s="930"/>
      <c r="FK2" s="930"/>
      <c r="FL2" s="930"/>
      <c r="FM2" s="930"/>
      <c r="FN2" s="930"/>
      <c r="FO2" s="930"/>
      <c r="FP2" s="930"/>
      <c r="FQ2" s="930"/>
      <c r="FR2" s="930"/>
      <c r="FS2" s="930"/>
      <c r="FT2" s="930"/>
      <c r="FU2" s="930"/>
      <c r="FV2" s="930"/>
      <c r="FW2" s="930"/>
    </row>
    <row s="12745" customFormat="1" customHeight="1" ht="12" hidden="1">
      <c r="B3" s="929"/>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1"/>
      <c r="AC3" s="930"/>
      <c r="AD3" s="930"/>
      <c r="AE3" s="930"/>
      <c r="AF3" s="930"/>
      <c r="AG3" s="930"/>
      <c r="AH3" s="930"/>
      <c r="AI3" s="930"/>
      <c r="AJ3" s="930"/>
      <c r="AK3" s="930"/>
      <c r="AL3" s="930"/>
      <c r="AM3" s="930"/>
      <c r="AN3" s="930"/>
      <c r="AO3" s="930"/>
      <c r="AP3" s="930"/>
      <c r="AQ3" s="930"/>
      <c r="AR3" s="930"/>
      <c r="AS3" s="930"/>
      <c r="AT3" s="930"/>
      <c r="AU3" s="930"/>
      <c r="AV3" s="930"/>
      <c r="AW3" s="930"/>
      <c r="AX3" s="930"/>
      <c r="AY3" s="930"/>
      <c r="AZ3" s="930"/>
      <c r="BA3" s="930"/>
      <c r="BB3" s="930"/>
      <c r="BC3" s="930"/>
      <c r="BD3" s="930"/>
      <c r="BE3" s="930"/>
      <c r="BF3" s="930"/>
      <c r="BG3" s="930"/>
      <c r="BH3" s="930"/>
      <c r="BI3" s="930"/>
      <c r="BJ3" s="930"/>
      <c r="BK3" s="930"/>
      <c r="BL3" s="930"/>
      <c r="BM3" s="930"/>
      <c r="BN3" s="930"/>
      <c r="BO3" s="930"/>
      <c r="BP3" s="930"/>
      <c r="BQ3" s="930"/>
      <c r="BR3" s="930"/>
      <c r="BS3" s="930"/>
      <c r="BT3" s="930"/>
      <c r="BU3" s="930"/>
      <c r="BV3" s="930"/>
      <c r="BW3" s="930"/>
      <c r="BX3" s="930"/>
      <c r="BY3" s="930"/>
      <c r="BZ3" s="930"/>
      <c r="CA3" s="930"/>
      <c r="CB3" s="930"/>
      <c r="CC3" s="930"/>
      <c r="CD3" s="930"/>
      <c r="CE3" s="930"/>
      <c r="CF3" s="930"/>
      <c r="CG3" s="930"/>
      <c r="CH3" s="930"/>
      <c r="CI3" s="930"/>
      <c r="CJ3" s="930"/>
      <c r="CK3" s="930"/>
      <c r="CL3" s="930"/>
      <c r="CM3" s="930"/>
      <c r="CN3" s="930"/>
      <c r="CO3" s="930"/>
      <c r="CP3" s="930"/>
      <c r="CQ3" s="930"/>
      <c r="CR3" s="930"/>
      <c r="CS3" s="930"/>
      <c r="CT3" s="930"/>
      <c r="CU3" s="930"/>
      <c r="CV3" s="930"/>
      <c r="CW3" s="930"/>
      <c r="CX3" s="930"/>
      <c r="CY3" s="930"/>
      <c r="CZ3" s="930"/>
      <c r="DA3" s="930"/>
      <c r="DB3" s="930"/>
      <c r="DC3" s="930"/>
      <c r="DD3" s="930"/>
      <c r="DE3" s="930"/>
      <c r="DF3" s="930"/>
      <c r="DG3" s="930"/>
      <c r="DH3" s="930"/>
      <c r="DI3" s="930"/>
      <c r="DJ3" s="930"/>
      <c r="DK3" s="930"/>
      <c r="DL3" s="930"/>
      <c r="DM3" s="930"/>
      <c r="DN3" s="930"/>
      <c r="DO3" s="930"/>
      <c r="DP3" s="930"/>
      <c r="DQ3" s="930"/>
      <c r="DR3" s="930"/>
      <c r="DS3" s="930"/>
      <c r="DT3" s="930"/>
      <c r="DU3" s="930"/>
      <c r="DV3" s="930"/>
      <c r="DW3" s="930"/>
      <c r="DX3" s="930"/>
      <c r="DY3" s="930"/>
      <c r="DZ3" s="930"/>
      <c r="EA3" s="930"/>
      <c r="EB3" s="930"/>
      <c r="EC3" s="930"/>
      <c r="ED3" s="930"/>
      <c r="EE3" s="930"/>
      <c r="EF3" s="930"/>
      <c r="EG3" s="930"/>
      <c r="EH3" s="930"/>
      <c r="EI3" s="930"/>
      <c r="EJ3" s="930"/>
      <c r="EK3" s="930"/>
      <c r="EL3" s="930"/>
      <c r="EM3" s="930"/>
      <c r="EN3" s="930"/>
      <c r="EO3" s="930"/>
      <c r="EP3" s="930"/>
      <c r="EQ3" s="930"/>
      <c r="ER3" s="930"/>
      <c r="ES3" s="930"/>
      <c r="ET3" s="930"/>
      <c r="EU3" s="930"/>
      <c r="EV3" s="930"/>
      <c r="EW3" s="930"/>
      <c r="EX3" s="930"/>
      <c r="EY3" s="930"/>
      <c r="EZ3" s="930"/>
      <c r="FA3" s="930"/>
      <c r="FB3" s="930"/>
      <c r="FC3" s="930"/>
      <c r="FD3" s="930"/>
      <c r="FE3" s="930"/>
      <c r="FF3" s="930"/>
      <c r="FG3" s="930"/>
      <c r="FH3" s="930"/>
      <c r="FI3" s="930"/>
      <c r="FJ3" s="930"/>
      <c r="FK3" s="930"/>
      <c r="FL3" s="930"/>
      <c r="FM3" s="930"/>
      <c r="FN3" s="930"/>
      <c r="FO3" s="930"/>
      <c r="FP3" s="930"/>
      <c r="FQ3" s="930"/>
      <c r="FR3" s="930"/>
      <c r="FS3" s="930"/>
      <c r="FT3" s="930"/>
      <c r="FU3" s="930"/>
      <c r="FV3" s="930"/>
      <c r="FW3" s="930"/>
    </row>
    <row customHeight="1" ht="10.5">
      <c r="B4" s="933"/>
      <c r="C4" s="934"/>
      <c r="D4" s="934"/>
      <c r="E4" s="934"/>
      <c r="F4" s="934"/>
      <c r="G4" s="934"/>
      <c r="H4" s="935"/>
      <c r="I4" s="935"/>
      <c r="J4" s="935"/>
      <c r="K4" s="935"/>
      <c r="L4" s="935"/>
      <c r="M4" s="936"/>
      <c r="N4" s="936"/>
      <c r="O4" s="936"/>
      <c r="P4" s="936"/>
      <c r="Q4" s="936"/>
      <c r="R4" s="936"/>
      <c r="S4" s="936"/>
      <c r="T4" s="936"/>
      <c r="U4" s="936"/>
      <c r="V4" s="936"/>
      <c r="W4" s="936"/>
      <c r="X4" s="936"/>
      <c r="Y4" s="936"/>
      <c r="Z4" s="936"/>
      <c r="AA4" s="936"/>
      <c r="AB4" s="936"/>
      <c r="AC4" s="936"/>
      <c r="AD4" s="936"/>
      <c r="AE4" s="936"/>
      <c r="AF4" s="936"/>
      <c r="AG4" s="936"/>
      <c r="AH4" s="936"/>
      <c r="AI4" s="936"/>
      <c r="AJ4" s="936"/>
      <c r="AK4" s="936"/>
      <c r="AL4" s="936"/>
      <c r="AM4" s="936"/>
      <c r="AN4" s="936"/>
      <c r="AO4" s="936"/>
      <c r="AP4" s="936"/>
      <c r="AQ4" s="936"/>
      <c r="AR4" s="936"/>
      <c r="AS4" s="936"/>
      <c r="AT4" s="936"/>
      <c r="AU4" s="936"/>
      <c r="AV4" s="936"/>
      <c r="AW4" s="936"/>
      <c r="AX4" s="936"/>
      <c r="AY4" s="936"/>
      <c r="AZ4" s="936"/>
      <c r="BA4" s="936"/>
      <c r="BB4" s="936"/>
      <c r="BC4" s="936"/>
      <c r="BD4" s="936"/>
      <c r="BE4" s="936"/>
      <c r="BF4" s="936"/>
      <c r="BG4" s="936"/>
      <c r="BH4" s="936"/>
      <c r="BI4" s="936"/>
      <c r="BJ4" s="936"/>
      <c r="BK4" s="936"/>
      <c r="BL4" s="936"/>
      <c r="BM4" s="936"/>
      <c r="BN4" s="936"/>
      <c r="BO4" s="936"/>
      <c r="BP4" s="936"/>
      <c r="BQ4" s="936"/>
      <c r="BR4" s="936"/>
      <c r="BS4" s="936"/>
      <c r="BT4" s="936"/>
      <c r="BU4" s="936"/>
      <c r="BV4" s="936"/>
      <c r="BW4" s="936"/>
      <c r="BX4" s="936"/>
      <c r="BY4" s="936"/>
      <c r="BZ4" s="936"/>
      <c r="CA4" s="936"/>
      <c r="CB4" s="936"/>
      <c r="CC4" s="936"/>
      <c r="CD4" s="936"/>
      <c r="CE4" s="936"/>
      <c r="CF4" s="936"/>
      <c r="CG4" s="936"/>
      <c r="CH4" s="936"/>
      <c r="CI4" s="936"/>
      <c r="CJ4" s="936"/>
      <c r="CK4" s="936"/>
      <c r="CL4" s="936"/>
      <c r="CM4" s="936"/>
      <c r="CN4" s="936"/>
      <c r="CO4" s="936"/>
      <c r="CP4" s="936"/>
      <c r="CQ4" s="936"/>
      <c r="CR4" s="936"/>
      <c r="CS4" s="936"/>
      <c r="CT4" s="936"/>
      <c r="CU4" s="936"/>
      <c r="CV4" s="936"/>
      <c r="CW4" s="936"/>
      <c r="CX4" s="936"/>
      <c r="CY4" s="936"/>
      <c r="CZ4" s="936"/>
      <c r="DA4" s="936"/>
      <c r="DB4" s="936"/>
      <c r="DC4" s="936"/>
      <c r="DD4" s="936"/>
      <c r="DE4" s="936"/>
      <c r="DF4" s="936"/>
      <c r="DG4" s="936"/>
      <c r="DH4" s="936"/>
      <c r="DI4" s="936"/>
      <c r="DJ4" s="936"/>
      <c r="DK4" s="936"/>
      <c r="DL4" s="936"/>
      <c r="DM4" s="936"/>
      <c r="DN4" s="936"/>
      <c r="DO4" s="936"/>
      <c r="DP4" s="936"/>
      <c r="DQ4" s="936"/>
      <c r="DR4" s="936"/>
      <c r="DS4" s="936"/>
      <c r="DT4" s="936"/>
      <c r="DU4" s="936"/>
      <c r="DV4" s="936"/>
      <c r="DW4" s="936"/>
      <c r="DX4" s="936"/>
      <c r="DY4" s="936"/>
      <c r="DZ4" s="936"/>
      <c r="EA4" s="936"/>
      <c r="EB4" s="936"/>
      <c r="EC4" s="936"/>
      <c r="ED4" s="936"/>
      <c r="EE4" s="936"/>
      <c r="EF4" s="936"/>
      <c r="EG4" s="936"/>
      <c r="EH4" s="936"/>
      <c r="EI4" s="936"/>
      <c r="EJ4" s="936"/>
      <c r="EK4" s="936"/>
      <c r="EL4" s="936"/>
      <c r="EM4" s="936"/>
      <c r="EN4" s="936"/>
      <c r="EO4" s="936"/>
      <c r="EP4" s="936"/>
      <c r="EQ4" s="936"/>
      <c r="ER4" s="936"/>
      <c r="ES4" s="936"/>
      <c r="ET4" s="936"/>
      <c r="EU4" s="936"/>
      <c r="EV4" s="936"/>
      <c r="EW4" s="936"/>
      <c r="EX4" s="936"/>
      <c r="EY4" s="936"/>
      <c r="EZ4" s="936"/>
      <c r="FA4" s="936"/>
      <c r="FB4" s="936"/>
      <c r="FC4" s="936"/>
      <c r="FD4" s="936"/>
      <c r="FE4" s="936"/>
      <c r="FF4" s="936"/>
      <c r="FG4" s="936"/>
      <c r="FH4" s="936"/>
      <c r="FI4" s="936"/>
      <c r="FJ4" s="936"/>
      <c r="FK4" s="936"/>
      <c r="FL4" s="936"/>
      <c r="FM4" s="936"/>
      <c r="FN4" s="936"/>
      <c r="FO4" s="936"/>
      <c r="FP4" s="936"/>
      <c r="FQ4" s="936"/>
      <c r="FR4" s="936"/>
      <c r="FS4" s="936"/>
      <c r="FT4" s="936"/>
      <c r="FU4" s="936"/>
      <c r="FV4" s="936"/>
      <c r="FW4" s="936"/>
    </row>
    <row s="12753" customFormat="1" customHeight="1" ht="25.5">
      <c r="B5" s="1915"/>
      <c r="E5" s="1917"/>
      <c r="F5" s="2295"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2015"/>
      <c r="H5" s="2015"/>
      <c r="I5" s="2015"/>
      <c r="J5" s="2015"/>
      <c r="K5" s="2015"/>
      <c r="L5" s="2015"/>
      <c r="M5" s="2015"/>
      <c r="N5" s="2015"/>
      <c r="O5" s="2015"/>
      <c r="P5" s="2015"/>
      <c r="Q5" s="2015"/>
      <c r="R5" s="2015"/>
      <c r="S5" s="2015"/>
      <c r="T5" s="2015"/>
      <c r="U5" s="2015"/>
      <c r="V5" s="2015"/>
      <c r="W5" s="2015"/>
      <c r="X5" s="2015"/>
      <c r="Y5" s="2015"/>
      <c r="Z5" s="2015"/>
      <c r="AA5" s="2015"/>
      <c r="AB5" s="2015"/>
      <c r="AC5" s="2015"/>
      <c r="AD5" s="2015"/>
      <c r="AE5" s="2015"/>
      <c r="AF5" s="2015"/>
      <c r="AG5" s="2015"/>
      <c r="AH5" s="2015"/>
      <c r="AI5" s="2015"/>
      <c r="AJ5" s="2015"/>
      <c r="AK5" s="2015"/>
      <c r="AL5" s="2015"/>
      <c r="AM5" s="2015"/>
      <c r="AN5" s="2015"/>
      <c r="AO5" s="2015"/>
      <c r="AP5" s="2015"/>
      <c r="AQ5" s="2015"/>
      <c r="AR5" s="2015"/>
      <c r="AS5" s="2015"/>
      <c r="AT5" s="2015"/>
      <c r="AU5" s="2015"/>
      <c r="AV5" s="2015"/>
      <c r="AW5" s="2015"/>
      <c r="AX5" s="2015"/>
      <c r="AY5" s="2015"/>
      <c r="AZ5" s="2015"/>
      <c r="BA5" s="2015"/>
      <c r="BB5" s="2015"/>
      <c r="BC5" s="2015"/>
      <c r="BD5" s="2015"/>
      <c r="BE5" s="2015"/>
      <c r="BF5" s="2015"/>
      <c r="BG5" s="2015"/>
      <c r="BH5" s="2015"/>
      <c r="BI5" s="2015"/>
      <c r="BJ5" s="2015"/>
      <c r="BK5" s="2015"/>
      <c r="BL5" s="2015"/>
      <c r="BM5" s="2015"/>
      <c r="BN5" s="2015"/>
      <c r="BO5" s="2015"/>
      <c r="BP5" s="2015"/>
      <c r="BQ5" s="2015"/>
      <c r="BR5" s="2015"/>
      <c r="BS5" s="2015"/>
    </row>
    <row s="12757" customFormat="1" customHeight="1" ht="18">
      <c r="B6" s="950"/>
      <c r="E6" s="952"/>
      <c r="F6" s="2079" t="str">
        <f>IF(org=0,"Не определено",org)</f>
        <v>АО "Мурманэнергосбыт"</v>
      </c>
      <c r="G6" s="2080"/>
      <c r="H6" s="2080"/>
      <c r="I6" s="2080"/>
      <c r="J6" s="2080"/>
      <c r="K6" s="2080"/>
      <c r="L6" s="2080"/>
      <c r="M6" s="2080"/>
      <c r="N6" s="2080"/>
      <c r="O6" s="2080"/>
      <c r="P6" s="2080"/>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c r="AP6" s="2080"/>
      <c r="AQ6" s="2080"/>
      <c r="AR6" s="2080"/>
      <c r="AS6" s="2080"/>
      <c r="AT6" s="2080"/>
      <c r="AU6" s="2080"/>
      <c r="AV6" s="2080"/>
      <c r="AW6" s="2080"/>
      <c r="AX6" s="2080"/>
      <c r="AY6" s="2080"/>
      <c r="AZ6" s="2080"/>
      <c r="BA6" s="2080"/>
      <c r="BB6" s="2080"/>
      <c r="BC6" s="2080"/>
      <c r="BD6" s="2080"/>
      <c r="BE6" s="2080"/>
      <c r="BF6" s="2080"/>
      <c r="BG6" s="2080"/>
      <c r="BH6" s="2080"/>
      <c r="BI6" s="2080"/>
      <c r="BJ6" s="2080"/>
      <c r="BK6" s="2080"/>
      <c r="BL6" s="2080"/>
      <c r="BM6" s="2080"/>
      <c r="BN6" s="2080"/>
      <c r="BO6" s="2080"/>
      <c r="BP6" s="2080"/>
      <c r="BQ6" s="2080"/>
      <c r="BR6" s="2080"/>
      <c r="BS6" s="2080"/>
    </row>
    <row s="12760" customFormat="1" customHeight="1" ht="10.5">
      <c r="B7" s="938"/>
      <c r="E7" s="939"/>
      <c r="F7" s="939"/>
      <c r="G7" s="941"/>
      <c r="H7" s="935"/>
      <c r="I7" s="935"/>
      <c r="J7" s="935"/>
      <c r="K7" s="935"/>
      <c r="L7" s="935"/>
      <c r="M7" s="939"/>
      <c r="N7" s="939"/>
      <c r="O7" s="939"/>
      <c r="P7" s="939"/>
      <c r="Q7" s="939"/>
      <c r="R7" s="939"/>
      <c r="S7" s="939"/>
      <c r="T7" s="939"/>
      <c r="U7" s="939"/>
      <c r="V7" s="939"/>
      <c r="W7" s="939"/>
      <c r="X7" s="939"/>
      <c r="Y7" s="939"/>
      <c r="Z7" s="939"/>
      <c r="AA7" s="939"/>
      <c r="AB7" s="939"/>
      <c r="AC7" s="939"/>
      <c r="AD7" s="939"/>
      <c r="AE7" s="939"/>
      <c r="AF7" s="939"/>
      <c r="AG7" s="939"/>
      <c r="AH7" s="939"/>
      <c r="AI7" s="939"/>
      <c r="AJ7" s="939"/>
      <c r="AK7" s="939"/>
      <c r="AL7" s="939"/>
      <c r="AM7" s="939"/>
      <c r="AN7" s="939"/>
      <c r="AO7" s="939"/>
      <c r="AP7" s="939"/>
      <c r="AQ7" s="939"/>
      <c r="AR7" s="939"/>
      <c r="AS7" s="939"/>
      <c r="AT7" s="939"/>
      <c r="AU7" s="939"/>
      <c r="AV7" s="939"/>
      <c r="AW7" s="939"/>
      <c r="AX7" s="939"/>
      <c r="AY7" s="939"/>
      <c r="AZ7" s="939"/>
      <c r="BA7" s="939"/>
      <c r="BB7" s="939"/>
      <c r="BC7" s="939"/>
      <c r="BD7" s="939"/>
      <c r="BE7" s="939"/>
      <c r="BF7" s="939"/>
      <c r="BG7" s="939"/>
      <c r="BH7" s="939"/>
      <c r="BI7" s="939"/>
      <c r="BJ7" s="939"/>
      <c r="BK7" s="939"/>
      <c r="BL7" s="939"/>
      <c r="BM7" s="939"/>
      <c r="BN7" s="939"/>
      <c r="BO7" s="939"/>
      <c r="BP7" s="939"/>
      <c r="BQ7" s="939"/>
      <c r="BR7" s="939"/>
      <c r="BS7" s="939"/>
      <c r="BT7" s="939"/>
      <c r="BU7" s="939"/>
      <c r="BV7" s="939"/>
      <c r="BW7" s="939"/>
      <c r="BX7" s="939"/>
      <c r="BY7" s="939"/>
      <c r="BZ7" s="939"/>
      <c r="CA7" s="939"/>
      <c r="CB7" s="939"/>
      <c r="CC7" s="939"/>
      <c r="CD7" s="939"/>
      <c r="CE7" s="939"/>
      <c r="CF7" s="939"/>
      <c r="CG7" s="939"/>
      <c r="CH7" s="939"/>
      <c r="CI7" s="939"/>
      <c r="CJ7" s="939"/>
      <c r="CK7" s="939"/>
      <c r="CL7" s="939"/>
      <c r="CM7" s="939"/>
      <c r="CN7" s="939"/>
      <c r="CO7" s="939"/>
      <c r="CP7" s="939"/>
      <c r="CQ7" s="939"/>
      <c r="CR7" s="939"/>
      <c r="CS7" s="939"/>
      <c r="CT7" s="939"/>
      <c r="CU7" s="939"/>
      <c r="CV7" s="939"/>
      <c r="CW7" s="939"/>
      <c r="CX7" s="939"/>
      <c r="CY7" s="939"/>
      <c r="CZ7" s="939"/>
      <c r="DA7" s="939"/>
      <c r="DB7" s="939"/>
      <c r="DC7" s="939"/>
      <c r="DD7" s="939"/>
      <c r="DE7" s="939"/>
      <c r="DF7" s="939"/>
      <c r="DG7" s="939"/>
      <c r="DH7" s="939"/>
      <c r="DI7" s="939"/>
      <c r="DJ7" s="939"/>
      <c r="DK7" s="939"/>
      <c r="DL7" s="939"/>
      <c r="DM7" s="939"/>
      <c r="DN7" s="939"/>
      <c r="DO7" s="939"/>
      <c r="DP7" s="939"/>
      <c r="DQ7" s="939"/>
      <c r="DR7" s="939"/>
      <c r="DS7" s="939"/>
      <c r="DT7" s="939"/>
      <c r="DU7" s="939"/>
      <c r="DV7" s="939"/>
      <c r="DW7" s="939"/>
      <c r="DX7" s="939"/>
      <c r="DY7" s="939"/>
      <c r="DZ7" s="939"/>
      <c r="EA7" s="939"/>
      <c r="EB7" s="939"/>
      <c r="EC7" s="939"/>
      <c r="ED7" s="939"/>
      <c r="EE7" s="939"/>
      <c r="EF7" s="939"/>
      <c r="EG7" s="939"/>
      <c r="EH7" s="939"/>
      <c r="EI7" s="939"/>
      <c r="EJ7" s="939"/>
      <c r="EK7" s="939"/>
      <c r="EL7" s="939"/>
      <c r="EM7" s="939"/>
      <c r="EN7" s="939"/>
      <c r="EO7" s="939"/>
      <c r="EP7" s="939"/>
      <c r="EQ7" s="939"/>
      <c r="ER7" s="939"/>
      <c r="ES7" s="939"/>
      <c r="ET7" s="939"/>
      <c r="EU7" s="939"/>
      <c r="EV7" s="939"/>
      <c r="EW7" s="939"/>
      <c r="EX7" s="939"/>
      <c r="EY7" s="939"/>
      <c r="EZ7" s="939"/>
      <c r="FA7" s="939"/>
      <c r="FB7" s="939"/>
      <c r="FC7" s="939"/>
      <c r="FD7" s="939"/>
      <c r="FE7" s="939"/>
      <c r="FF7" s="939"/>
      <c r="FG7" s="939"/>
      <c r="FH7" s="939"/>
      <c r="FI7" s="939"/>
      <c r="FJ7" s="939"/>
      <c r="FK7" s="939"/>
      <c r="FL7" s="939"/>
      <c r="FM7" s="939"/>
      <c r="FN7" s="939"/>
      <c r="FO7" s="939"/>
      <c r="FP7" s="939"/>
      <c r="FQ7" s="939"/>
      <c r="FR7" s="939"/>
      <c r="FS7" s="939"/>
      <c r="FT7" s="939"/>
      <c r="FU7" s="939"/>
      <c r="FV7" s="939"/>
      <c r="FW7" s="939"/>
    </row>
    <row s="12762" customFormat="1" customHeight="1" ht="11.25" hidden="1">
      <c r="B8" s="940"/>
      <c r="F8" s="1063"/>
      <c r="G8" s="769"/>
      <c r="H8" s="356"/>
      <c r="I8" s="356"/>
      <c r="J8" s="356"/>
      <c r="K8" s="356"/>
      <c r="L8" s="356"/>
      <c r="M8" s="1063"/>
      <c r="N8" s="1063"/>
      <c r="O8" s="2281" t="s">
        <v>1193</v>
      </c>
      <c r="P8" s="2282"/>
      <c r="Q8" s="2282"/>
      <c r="R8" s="2282"/>
      <c r="S8" s="2282"/>
      <c r="T8" s="2282"/>
      <c r="U8" s="2282"/>
      <c r="V8" s="2282"/>
      <c r="W8" s="2282"/>
      <c r="X8" s="2282"/>
      <c r="Y8" s="2282"/>
      <c r="Z8" s="2282"/>
      <c r="AA8" s="2282"/>
      <c r="AB8" s="2282"/>
      <c r="AC8" s="2282"/>
      <c r="AD8" s="2282"/>
      <c r="AE8" s="2282"/>
      <c r="AF8" s="2282"/>
      <c r="AG8" s="2282"/>
      <c r="AH8" s="2282"/>
      <c r="AI8" s="2282"/>
      <c r="AJ8" s="2282"/>
      <c r="AK8" s="2282"/>
      <c r="AL8" s="2282"/>
      <c r="AM8" s="2282"/>
      <c r="AN8" s="2282"/>
      <c r="AO8" s="2282"/>
      <c r="AP8" s="2282"/>
      <c r="AQ8" s="2282"/>
      <c r="AR8" s="2282"/>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c r="BP8" s="2282"/>
      <c r="BQ8" s="2282"/>
      <c r="BR8" s="2282"/>
      <c r="BS8" s="2283"/>
      <c r="BT8" s="2284"/>
      <c r="BU8" s="2285"/>
      <c r="BV8" s="2285"/>
      <c r="BW8" s="2285"/>
      <c r="BX8" s="2285"/>
      <c r="BY8" s="2285"/>
      <c r="BZ8" s="2285"/>
      <c r="CA8" s="2285"/>
      <c r="CB8" s="2285"/>
      <c r="CC8" s="2285"/>
      <c r="CD8" s="2285"/>
      <c r="CE8" s="2285"/>
      <c r="CF8" s="2285"/>
      <c r="CG8" s="2285"/>
      <c r="CH8" s="2285"/>
      <c r="CI8" s="2285"/>
      <c r="CJ8" s="2285"/>
      <c r="CK8" s="2285"/>
      <c r="CL8" s="2285"/>
      <c r="CM8" s="2285"/>
      <c r="CN8" s="2285"/>
      <c r="CO8" s="2285"/>
      <c r="CP8" s="2285"/>
      <c r="CQ8" s="2285"/>
      <c r="CR8" s="2285"/>
      <c r="CS8" s="2285"/>
      <c r="CT8" s="2285"/>
      <c r="CU8" s="2285"/>
      <c r="CV8" s="2285"/>
      <c r="CW8" s="2285"/>
      <c r="CX8" s="2286"/>
      <c r="CY8" s="2287"/>
      <c r="CZ8" s="2288"/>
      <c r="DA8" s="2288"/>
      <c r="DB8" s="2288"/>
      <c r="DC8" s="2288"/>
      <c r="DD8" s="2288"/>
      <c r="DE8" s="2288"/>
      <c r="DF8" s="2288"/>
      <c r="DG8" s="2288"/>
      <c r="DH8" s="2288"/>
      <c r="DI8" s="2288"/>
      <c r="DJ8" s="2288"/>
      <c r="DK8" s="2288"/>
      <c r="DL8" s="2288"/>
      <c r="DM8" s="2288"/>
      <c r="DN8" s="2288"/>
      <c r="DO8" s="2288"/>
      <c r="DP8" s="2288"/>
      <c r="DQ8" s="2288"/>
      <c r="DR8" s="2288"/>
      <c r="DS8" s="2288"/>
      <c r="DT8" s="2288"/>
      <c r="DU8" s="2288"/>
      <c r="DV8" s="2288"/>
      <c r="DW8" s="2288"/>
      <c r="DX8" s="2289"/>
      <c r="DY8" s="2275" t="s">
        <v>1194</v>
      </c>
      <c r="DZ8" s="2276"/>
      <c r="EA8" s="2276"/>
      <c r="EB8" s="2276"/>
      <c r="EC8" s="2276"/>
      <c r="ED8" s="2276"/>
      <c r="EE8" s="2276"/>
      <c r="EF8" s="2276"/>
      <c r="EG8" s="2276"/>
      <c r="EH8" s="2276"/>
      <c r="EI8" s="2276"/>
      <c r="EJ8" s="2276"/>
      <c r="EK8" s="2276"/>
      <c r="EL8" s="2276"/>
      <c r="EM8" s="2276"/>
      <c r="EN8" s="2276"/>
      <c r="EO8" s="2276"/>
      <c r="EP8" s="2276"/>
      <c r="EQ8" s="2276"/>
      <c r="ER8" s="2276"/>
      <c r="ES8" s="2276"/>
      <c r="ET8" s="2276"/>
      <c r="EU8" s="2276"/>
      <c r="EV8" s="2276"/>
      <c r="EW8" s="2276"/>
      <c r="EX8" s="2276"/>
      <c r="EY8" s="2276"/>
      <c r="EZ8" s="2276"/>
      <c r="FA8" s="2276"/>
      <c r="FB8" s="2276"/>
      <c r="FC8" s="2276"/>
      <c r="FD8" s="2276"/>
      <c r="FE8" s="2276"/>
      <c r="FF8" s="2276"/>
      <c r="FG8" s="2276"/>
      <c r="FH8" s="2276"/>
      <c r="FI8" s="2276"/>
      <c r="FJ8" s="2276"/>
      <c r="FK8" s="2276"/>
      <c r="FL8" s="2276"/>
      <c r="FM8" s="2276"/>
      <c r="FN8" s="2276"/>
      <c r="FO8" s="2276"/>
      <c r="FP8" s="2276"/>
      <c r="FQ8" s="2276"/>
      <c r="FR8" s="2276"/>
      <c r="FS8" s="2276"/>
      <c r="FT8" s="2276"/>
      <c r="FU8" s="2276"/>
      <c r="FV8" s="2276"/>
      <c r="FW8" s="2277"/>
      <c r="FX8" s="1063"/>
    </row>
    <row s="12762" customFormat="1" customHeight="1" ht="11.25" hidden="1">
      <c r="B9" s="940"/>
      <c r="F9" s="1063"/>
      <c r="G9" s="769"/>
      <c r="H9" s="356"/>
      <c r="I9" s="356"/>
      <c r="J9" s="356"/>
      <c r="K9" s="356"/>
      <c r="L9" s="356"/>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c r="AT9" s="1063"/>
      <c r="AU9" s="1063"/>
      <c r="AV9" s="1063"/>
      <c r="AW9" s="1063"/>
      <c r="AX9" s="1063"/>
      <c r="AY9" s="1063"/>
      <c r="AZ9" s="1063"/>
      <c r="BA9" s="1063"/>
      <c r="BB9" s="1063"/>
      <c r="BC9" s="1063"/>
      <c r="BD9" s="1063"/>
      <c r="BE9" s="1063"/>
      <c r="BF9" s="1063"/>
      <c r="BG9" s="1063"/>
      <c r="BH9" s="1063"/>
      <c r="BI9" s="1063"/>
      <c r="BJ9" s="1063"/>
      <c r="BK9" s="1063"/>
      <c r="BL9" s="1063"/>
      <c r="BM9" s="1063"/>
      <c r="BN9" s="1063"/>
      <c r="BO9" s="1063"/>
      <c r="BP9" s="1063"/>
      <c r="BQ9" s="1063"/>
      <c r="BR9" s="1063"/>
      <c r="BS9" s="1063"/>
      <c r="BT9" s="1063"/>
      <c r="BU9" s="1063"/>
      <c r="BV9" s="1063"/>
      <c r="BW9" s="1063"/>
      <c r="BX9" s="1063"/>
      <c r="BY9" s="1063"/>
      <c r="BZ9" s="1063"/>
      <c r="CA9" s="1063"/>
      <c r="CB9" s="1063"/>
      <c r="CC9" s="1063"/>
      <c r="CD9" s="1063"/>
      <c r="CE9" s="1063"/>
      <c r="CF9" s="1063"/>
      <c r="CG9" s="1063"/>
      <c r="CH9" s="1063"/>
      <c r="CI9" s="1063"/>
      <c r="CJ9" s="1063"/>
      <c r="CK9" s="1063"/>
      <c r="CL9" s="1063"/>
      <c r="CM9" s="1063"/>
      <c r="CN9" s="1063"/>
      <c r="CO9" s="1063"/>
      <c r="CP9" s="1063"/>
      <c r="CQ9" s="1063"/>
      <c r="CR9" s="1063"/>
      <c r="CS9" s="1063"/>
      <c r="CT9" s="1063"/>
      <c r="CU9" s="1063"/>
      <c r="CV9" s="1063"/>
      <c r="CW9" s="1063"/>
      <c r="CX9" s="1063"/>
      <c r="CY9" s="1063"/>
      <c r="CZ9" s="1063"/>
      <c r="DA9" s="1063"/>
      <c r="DB9" s="1063"/>
      <c r="DC9" s="1063"/>
      <c r="DD9" s="1063"/>
      <c r="DE9" s="1063"/>
      <c r="DF9" s="1063"/>
      <c r="DG9" s="1063"/>
      <c r="DH9" s="1063"/>
      <c r="DI9" s="1063"/>
      <c r="DJ9" s="1063"/>
      <c r="DK9" s="1063"/>
      <c r="DL9" s="1063"/>
      <c r="DM9" s="1063"/>
      <c r="DN9" s="1063"/>
      <c r="DO9" s="1063"/>
      <c r="DP9" s="1063"/>
      <c r="DQ9" s="1063"/>
      <c r="DR9" s="1063"/>
      <c r="DS9" s="1063"/>
      <c r="DT9" s="1063"/>
      <c r="DU9" s="1063"/>
      <c r="DV9" s="1063"/>
      <c r="DW9" s="1063"/>
      <c r="DX9" s="1063"/>
      <c r="DY9" s="1063"/>
      <c r="DZ9" s="1063"/>
      <c r="EA9" s="1063"/>
      <c r="EB9" s="1063"/>
      <c r="EC9" s="1063"/>
      <c r="ED9" s="1063"/>
      <c r="EE9" s="1063"/>
      <c r="EF9" s="1063"/>
      <c r="EG9" s="1063"/>
      <c r="EH9" s="1063"/>
      <c r="EI9" s="1063"/>
      <c r="EJ9" s="1063"/>
      <c r="EK9" s="1063"/>
      <c r="EL9" s="1063"/>
      <c r="EM9" s="1063"/>
      <c r="EN9" s="1063"/>
      <c r="EO9" s="1063"/>
      <c r="EP9" s="1063"/>
      <c r="EQ9" s="1063"/>
      <c r="ER9" s="1063"/>
      <c r="ES9" s="1063"/>
      <c r="ET9" s="1063"/>
      <c r="EU9" s="1063"/>
      <c r="EV9" s="1063"/>
      <c r="EW9" s="1063"/>
      <c r="EX9" s="1063"/>
      <c r="EY9" s="1063"/>
      <c r="EZ9" s="1063"/>
      <c r="FA9" s="1063"/>
      <c r="FB9" s="1063"/>
      <c r="FC9" s="1063"/>
      <c r="FD9" s="1063"/>
      <c r="FE9" s="1063"/>
      <c r="FF9" s="1063"/>
      <c r="FG9" s="1063"/>
      <c r="FH9" s="1063"/>
      <c r="FI9" s="1063"/>
      <c r="FJ9" s="1063"/>
      <c r="FK9" s="1063"/>
      <c r="FL9" s="1063"/>
      <c r="FM9" s="1063"/>
      <c r="FN9" s="1063"/>
      <c r="FO9" s="1063"/>
      <c r="FP9" s="1063"/>
      <c r="FQ9" s="1063"/>
      <c r="FR9" s="1063"/>
      <c r="FS9" s="1063"/>
      <c r="FT9" s="1063"/>
      <c r="FU9" s="1063"/>
      <c r="FV9" s="1063"/>
      <c r="FW9" s="2278"/>
      <c r="FX9" s="1063"/>
    </row>
    <row s="12762" customFormat="1" customHeight="1" ht="11.25">
      <c r="B10" s="940"/>
      <c r="F10" s="2292" t="s">
        <v>513</v>
      </c>
      <c r="G10" s="2293"/>
      <c r="H10" s="2293"/>
      <c r="I10" s="2293"/>
      <c r="J10" s="2293"/>
      <c r="K10" s="2293"/>
      <c r="L10" s="2293"/>
      <c r="M10" s="2293"/>
      <c r="N10" s="2293"/>
      <c r="O10" s="2293"/>
      <c r="P10" s="2293"/>
      <c r="Q10" s="2293"/>
      <c r="R10" s="2293"/>
      <c r="S10" s="2293"/>
      <c r="T10" s="2293"/>
      <c r="U10" s="2293"/>
      <c r="V10" s="2293"/>
      <c r="W10" s="2293"/>
      <c r="X10" s="2293"/>
      <c r="Y10" s="2293"/>
      <c r="Z10" s="2293"/>
      <c r="AA10" s="2293"/>
      <c r="AB10" s="2293"/>
      <c r="AC10" s="2293"/>
      <c r="AD10" s="2293"/>
      <c r="AE10" s="2293"/>
      <c r="AF10" s="2293"/>
      <c r="AG10" s="2293"/>
      <c r="AH10" s="2293"/>
      <c r="AI10" s="2293"/>
      <c r="AJ10" s="2293"/>
      <c r="AK10" s="2293"/>
      <c r="AL10" s="2293"/>
      <c r="AM10" s="2293"/>
      <c r="AN10" s="2293"/>
      <c r="AO10" s="2293"/>
      <c r="AP10" s="2293"/>
      <c r="AQ10" s="2293"/>
      <c r="AR10" s="2293"/>
      <c r="AS10" s="2293"/>
      <c r="AT10" s="2293"/>
      <c r="AU10" s="2293"/>
      <c r="AV10" s="2293"/>
      <c r="AW10" s="2293"/>
      <c r="AX10" s="2293"/>
      <c r="AY10" s="2293"/>
      <c r="AZ10" s="2293"/>
      <c r="BA10" s="2293"/>
      <c r="BB10" s="2293"/>
      <c r="BC10" s="2293"/>
      <c r="BD10" s="2293"/>
      <c r="BE10" s="2293"/>
      <c r="BF10" s="2293"/>
      <c r="BG10" s="2293"/>
      <c r="BH10" s="2293"/>
      <c r="BI10" s="2293"/>
      <c r="BJ10" s="2293"/>
      <c r="BK10" s="2293"/>
      <c r="BL10" s="2293"/>
      <c r="BM10" s="2293"/>
      <c r="BN10" s="2293"/>
      <c r="BO10" s="2293"/>
      <c r="BP10" s="2293"/>
      <c r="BQ10" s="2293"/>
      <c r="BR10" s="2293"/>
      <c r="BS10" s="2293"/>
      <c r="BT10" s="2293"/>
      <c r="BU10" s="2293"/>
      <c r="BV10" s="2293"/>
      <c r="BW10" s="2293"/>
      <c r="BX10" s="2293"/>
      <c r="BY10" s="2293"/>
      <c r="BZ10" s="2293"/>
      <c r="CA10" s="2293"/>
      <c r="CB10" s="2293"/>
      <c r="CC10" s="2293"/>
      <c r="CD10" s="2293"/>
      <c r="CE10" s="2293"/>
      <c r="CF10" s="2293"/>
      <c r="CG10" s="2293"/>
      <c r="CH10" s="2293"/>
      <c r="CI10" s="2293"/>
      <c r="CJ10" s="2293"/>
      <c r="CK10" s="2293"/>
      <c r="CL10" s="2293"/>
      <c r="CM10" s="2293"/>
      <c r="CN10" s="2293"/>
      <c r="CO10" s="2293"/>
      <c r="CP10" s="2293"/>
      <c r="CQ10" s="2293"/>
      <c r="CR10" s="2293"/>
      <c r="CS10" s="2293"/>
      <c r="CT10" s="2293"/>
      <c r="CU10" s="2293"/>
      <c r="CV10" s="2293"/>
      <c r="CW10" s="2293"/>
      <c r="CX10" s="2293"/>
      <c r="CY10" s="2293"/>
      <c r="CZ10" s="2293"/>
      <c r="DA10" s="2293"/>
      <c r="DB10" s="2293"/>
      <c r="DC10" s="2293"/>
      <c r="DD10" s="2293"/>
      <c r="DE10" s="2293"/>
      <c r="DF10" s="2293"/>
      <c r="DG10" s="2293"/>
      <c r="DH10" s="2293"/>
      <c r="DI10" s="2293"/>
      <c r="DJ10" s="2293"/>
      <c r="DK10" s="2293"/>
      <c r="DL10" s="2293"/>
      <c r="DM10" s="2293"/>
      <c r="DN10" s="2293"/>
      <c r="DO10" s="2293"/>
      <c r="DP10" s="2293"/>
      <c r="DQ10" s="2293"/>
      <c r="DR10" s="2293"/>
      <c r="DS10" s="2293"/>
      <c r="DT10" s="2293"/>
      <c r="DU10" s="2293"/>
      <c r="DV10" s="2293"/>
      <c r="DW10" s="2293"/>
      <c r="DX10" s="2293"/>
      <c r="DY10" s="2293"/>
      <c r="DZ10" s="2293"/>
      <c r="EA10" s="2293"/>
      <c r="EB10" s="2293"/>
      <c r="EC10" s="2293"/>
      <c r="ED10" s="2293"/>
      <c r="EE10" s="2293"/>
      <c r="EF10" s="2293"/>
      <c r="EG10" s="2293"/>
      <c r="EH10" s="2293"/>
      <c r="EI10" s="2293"/>
      <c r="EJ10" s="2293"/>
      <c r="EK10" s="2293"/>
      <c r="EL10" s="2293"/>
      <c r="EM10" s="2293"/>
      <c r="EN10" s="2293"/>
      <c r="EO10" s="2293"/>
      <c r="EP10" s="2293"/>
      <c r="EQ10" s="2293"/>
      <c r="ER10" s="2293"/>
      <c r="ES10" s="2293"/>
      <c r="ET10" s="2293"/>
      <c r="EU10" s="2293"/>
      <c r="EV10" s="2293"/>
      <c r="EW10" s="2293"/>
      <c r="EX10" s="2293"/>
      <c r="EY10" s="2293"/>
      <c r="EZ10" s="2293"/>
      <c r="FA10" s="2293"/>
      <c r="FB10" s="2293"/>
      <c r="FC10" s="2293"/>
      <c r="FD10" s="2293"/>
      <c r="FE10" s="2293"/>
      <c r="FF10" s="2293"/>
      <c r="FG10" s="2293"/>
      <c r="FH10" s="2293"/>
      <c r="FI10" s="2293"/>
      <c r="FJ10" s="2293"/>
      <c r="FK10" s="2293"/>
      <c r="FL10" s="2293"/>
      <c r="FM10" s="2293"/>
      <c r="FN10" s="2293"/>
      <c r="FO10" s="2293"/>
      <c r="FP10" s="2293"/>
      <c r="FQ10" s="2293"/>
      <c r="FR10" s="2293"/>
      <c r="FS10" s="2293"/>
      <c r="FT10" s="2293"/>
      <c r="FU10" s="2293"/>
      <c r="FV10" s="2294"/>
      <c r="FW10" s="2278"/>
      <c r="FX10" s="1063"/>
    </row>
    <row customHeight="1" ht="12">
      <c r="E11" s="943"/>
      <c r="F11" s="2057" t="s">
        <v>89</v>
      </c>
      <c r="G11" s="2057" t="s">
        <v>1195</v>
      </c>
      <c r="H11" s="2291" t="s">
        <v>1196</v>
      </c>
      <c r="I11" s="2291" t="s">
        <v>1197</v>
      </c>
      <c r="J11" s="2290"/>
      <c r="K11" s="2290"/>
      <c r="L11" s="2290"/>
      <c r="M11" s="2290"/>
      <c r="N11" s="2290"/>
      <c r="O11" s="2062" t="s">
        <v>1198</v>
      </c>
      <c r="P11" s="2062"/>
      <c r="Q11" s="2062"/>
      <c r="R11" s="2062"/>
      <c r="S11" s="2062"/>
      <c r="T11" s="2062"/>
      <c r="U11" s="2062"/>
      <c r="V11" s="2062"/>
      <c r="W11" s="2062"/>
      <c r="X11" s="2062"/>
      <c r="Y11" s="2062"/>
      <c r="Z11" s="2062"/>
      <c r="AA11" s="2062"/>
      <c r="AB11" s="206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3"/>
      <c r="BT11" s="2270" t="s">
        <v>1198</v>
      </c>
      <c r="BU11" s="2274"/>
      <c r="BV11" s="2274"/>
      <c r="BW11" s="2274"/>
      <c r="BX11" s="2274"/>
      <c r="BY11" s="2274"/>
      <c r="BZ11" s="2274"/>
      <c r="CA11" s="2274"/>
      <c r="CB11" s="2274"/>
      <c r="CC11" s="2274"/>
      <c r="CD11" s="2274"/>
      <c r="CE11" s="2274"/>
      <c r="CF11" s="2274"/>
      <c r="CG11" s="2274"/>
      <c r="CH11" s="2274"/>
      <c r="CI11" s="2274"/>
      <c r="CJ11" s="2274"/>
      <c r="CK11" s="2271"/>
      <c r="CL11" s="2280"/>
      <c r="CM11" s="2272"/>
      <c r="CN11" s="2272"/>
      <c r="CO11" s="2272"/>
      <c r="CP11" s="2272"/>
      <c r="CQ11" s="2272"/>
      <c r="CR11" s="2272"/>
      <c r="CS11" s="2272"/>
      <c r="CT11" s="2272"/>
      <c r="CU11" s="2272"/>
      <c r="CV11" s="2272"/>
      <c r="CW11" s="2272"/>
      <c r="CX11" s="2273"/>
      <c r="CY11" s="2270" t="s">
        <v>1198</v>
      </c>
      <c r="CZ11" s="2274"/>
      <c r="DA11" s="2274"/>
      <c r="DB11" s="2274"/>
      <c r="DC11" s="2274"/>
      <c r="DD11" s="2274"/>
      <c r="DE11" s="2274"/>
      <c r="DF11" s="2274"/>
      <c r="DG11" s="2274"/>
      <c r="DH11" s="2274"/>
      <c r="DI11" s="2274"/>
      <c r="DJ11" s="2271"/>
      <c r="DK11" s="2280"/>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8"/>
      <c r="FX11" s="768"/>
    </row>
    <row customHeight="1" ht="12">
      <c r="D12" s="944"/>
      <c r="E12" s="943"/>
      <c r="F12" s="2057"/>
      <c r="G12" s="2057"/>
      <c r="H12" s="2291"/>
      <c r="I12" s="2291"/>
      <c r="J12" s="2290"/>
      <c r="K12" s="2290"/>
      <c r="L12" s="2290"/>
      <c r="M12" s="2290"/>
      <c r="N12" s="2290"/>
      <c r="O12" s="2062" t="s">
        <v>1199</v>
      </c>
      <c r="P12" s="2062"/>
      <c r="Q12" s="2062"/>
      <c r="R12" s="2062"/>
      <c r="S12" s="2062" t="s">
        <v>1200</v>
      </c>
      <c r="T12" s="2062"/>
      <c r="U12" s="2062"/>
      <c r="V12" s="2062"/>
      <c r="W12" s="2062"/>
      <c r="X12" s="2062"/>
      <c r="Y12" s="2062"/>
      <c r="Z12" s="2062"/>
      <c r="AA12" s="2062"/>
      <c r="AB12" s="206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3"/>
      <c r="BT12" s="2270" t="s">
        <v>1201</v>
      </c>
      <c r="BU12" s="2274"/>
      <c r="BV12" s="2274"/>
      <c r="BW12" s="2271"/>
      <c r="BX12" s="2270" t="s">
        <v>1202</v>
      </c>
      <c r="BY12" s="2274"/>
      <c r="BZ12" s="2274"/>
      <c r="CA12" s="2271"/>
      <c r="CB12" s="2270" t="s">
        <v>1203</v>
      </c>
      <c r="CC12" s="2271"/>
      <c r="CD12" s="2270" t="s">
        <v>1204</v>
      </c>
      <c r="CE12" s="2274"/>
      <c r="CF12" s="2274"/>
      <c r="CG12" s="2274"/>
      <c r="CH12" s="2274"/>
      <c r="CI12" s="2274"/>
      <c r="CJ12" s="2274"/>
      <c r="CK12" s="2271"/>
      <c r="CL12" s="2280"/>
      <c r="CM12" s="2272"/>
      <c r="CN12" s="2272"/>
      <c r="CO12" s="2272"/>
      <c r="CP12" s="2272"/>
      <c r="CQ12" s="2272"/>
      <c r="CR12" s="2272"/>
      <c r="CS12" s="2272"/>
      <c r="CT12" s="2272"/>
      <c r="CU12" s="2272"/>
      <c r="CV12" s="2272"/>
      <c r="CW12" s="2272"/>
      <c r="CX12" s="2273"/>
      <c r="CY12" s="2270" t="s">
        <v>1205</v>
      </c>
      <c r="CZ12" s="2274"/>
      <c r="DA12" s="2274"/>
      <c r="DB12" s="2274"/>
      <c r="DC12" s="2274"/>
      <c r="DD12" s="2271"/>
      <c r="DE12" s="2270" t="s">
        <v>1206</v>
      </c>
      <c r="DF12" s="2271"/>
      <c r="DG12" s="2270" t="s">
        <v>1204</v>
      </c>
      <c r="DH12" s="2274"/>
      <c r="DI12" s="2274"/>
      <c r="DJ12" s="2271"/>
      <c r="DK12" s="2280"/>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8"/>
      <c r="FX12" s="768"/>
    </row>
    <row customHeight="1" ht="36">
      <c r="D13" s="944"/>
      <c r="E13" s="943"/>
      <c r="F13" s="2057"/>
      <c r="G13" s="2057"/>
      <c r="H13" s="2291"/>
      <c r="I13" s="2291"/>
      <c r="J13" s="2290"/>
      <c r="K13" s="2290"/>
      <c r="L13" s="2290"/>
      <c r="M13" s="2290"/>
      <c r="N13" s="2290"/>
      <c r="O13" s="2062" t="s">
        <v>1207</v>
      </c>
      <c r="P13" s="2062"/>
      <c r="Q13" s="2062"/>
      <c r="R13" s="2062"/>
      <c r="S13" s="2189" t="s">
        <v>1208</v>
      </c>
      <c r="T13" s="2268"/>
      <c r="U13" s="1971" t="s">
        <v>1209</v>
      </c>
      <c r="V13" s="1971"/>
      <c r="W13" s="1971"/>
      <c r="X13" s="1971"/>
      <c r="Y13" s="1971" t="s">
        <v>1210</v>
      </c>
      <c r="Z13" s="1971"/>
      <c r="AA13" s="1971"/>
      <c r="AB13" s="1971"/>
      <c r="AC13" s="2272"/>
      <c r="AD13" s="2272"/>
      <c r="AE13" s="2272"/>
      <c r="AF13" s="2272"/>
      <c r="AG13" s="2272"/>
      <c r="AH13" s="2272"/>
      <c r="AI13" s="2272"/>
      <c r="AJ13" s="2272"/>
      <c r="AK13" s="2272"/>
      <c r="AL13" s="2272"/>
      <c r="AM13" s="2272"/>
      <c r="AN13" s="2272"/>
      <c r="AO13" s="2272"/>
      <c r="AP13" s="2272"/>
      <c r="AQ13" s="2272"/>
      <c r="AR13" s="2272"/>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c r="BP13" s="2272"/>
      <c r="BQ13" s="2272"/>
      <c r="BR13" s="2272"/>
      <c r="BS13" s="2273"/>
      <c r="BT13" s="2189" t="s">
        <v>1211</v>
      </c>
      <c r="BU13" s="2268"/>
      <c r="BV13" s="2189" t="s">
        <v>1212</v>
      </c>
      <c r="BW13" s="2268"/>
      <c r="BX13" s="2189" t="s">
        <v>1213</v>
      </c>
      <c r="BY13" s="2268"/>
      <c r="BZ13" s="2189" t="s">
        <v>1214</v>
      </c>
      <c r="CA13" s="2268"/>
      <c r="CB13" s="2189" t="s">
        <v>1215</v>
      </c>
      <c r="CC13" s="2268"/>
      <c r="CD13" s="2189" t="s">
        <v>1216</v>
      </c>
      <c r="CE13" s="2268"/>
      <c r="CF13" s="2189" t="s">
        <v>1217</v>
      </c>
      <c r="CG13" s="2268"/>
      <c r="CH13" s="2270" t="s">
        <v>1218</v>
      </c>
      <c r="CI13" s="2274"/>
      <c r="CJ13" s="2274"/>
      <c r="CK13" s="2271"/>
      <c r="CL13" s="2280"/>
      <c r="CM13" s="2272"/>
      <c r="CN13" s="2272"/>
      <c r="CO13" s="2272"/>
      <c r="CP13" s="2272"/>
      <c r="CQ13" s="2272"/>
      <c r="CR13" s="2272"/>
      <c r="CS13" s="2272"/>
      <c r="CT13" s="2272"/>
      <c r="CU13" s="2272"/>
      <c r="CV13" s="2272"/>
      <c r="CW13" s="2272"/>
      <c r="CX13" s="2273"/>
      <c r="CY13" s="2189" t="s">
        <v>1219</v>
      </c>
      <c r="CZ13" s="2268"/>
      <c r="DA13" s="2189" t="s">
        <v>1220</v>
      </c>
      <c r="DB13" s="2268"/>
      <c r="DC13" s="2189" t="s">
        <v>1221</v>
      </c>
      <c r="DD13" s="2268"/>
      <c r="DE13" s="2189" t="s">
        <v>1222</v>
      </c>
      <c r="DF13" s="2268"/>
      <c r="DG13" s="2270" t="s">
        <v>1223</v>
      </c>
      <c r="DH13" s="2274"/>
      <c r="DI13" s="2274"/>
      <c r="DJ13" s="2271"/>
      <c r="DK13" s="2280"/>
      <c r="DL13" s="2272"/>
      <c r="DM13" s="2272"/>
      <c r="DN13" s="2272"/>
      <c r="DO13" s="2272"/>
      <c r="DP13" s="2272"/>
      <c r="DQ13" s="2272"/>
      <c r="DR13" s="2272"/>
      <c r="DS13" s="2272"/>
      <c r="DT13" s="2272"/>
      <c r="DU13" s="2272"/>
      <c r="DV13" s="2272"/>
      <c r="DW13" s="2272"/>
      <c r="DX13" s="2272"/>
      <c r="DY13" s="2272"/>
      <c r="DZ13" s="2272"/>
      <c r="EA13" s="2272"/>
      <c r="EB13" s="2272"/>
      <c r="EC13" s="2272"/>
      <c r="ED13" s="2272"/>
      <c r="EE13" s="2272"/>
      <c r="EF13" s="2272"/>
      <c r="EG13" s="2272"/>
      <c r="EH13" s="2272"/>
      <c r="EI13" s="2272"/>
      <c r="EJ13" s="2272"/>
      <c r="EK13" s="2272"/>
      <c r="EL13" s="2272"/>
      <c r="EM13" s="2272"/>
      <c r="EN13" s="2272"/>
      <c r="EO13" s="2272"/>
      <c r="EP13" s="2272"/>
      <c r="EQ13" s="2272"/>
      <c r="ER13" s="2272"/>
      <c r="ES13" s="2272"/>
      <c r="ET13" s="2272"/>
      <c r="EU13" s="2272"/>
      <c r="EV13" s="2272"/>
      <c r="EW13" s="2272"/>
      <c r="EX13" s="2272"/>
      <c r="EY13" s="2272"/>
      <c r="EZ13" s="2272"/>
      <c r="FA13" s="2272"/>
      <c r="FB13" s="2272"/>
      <c r="FC13" s="2272"/>
      <c r="FD13" s="2272"/>
      <c r="FE13" s="2272"/>
      <c r="FF13" s="2272"/>
      <c r="FG13" s="2272"/>
      <c r="FH13" s="2272"/>
      <c r="FI13" s="2272"/>
      <c r="FJ13" s="2272"/>
      <c r="FK13" s="2272"/>
      <c r="FL13" s="2272"/>
      <c r="FM13" s="2272"/>
      <c r="FN13" s="2272"/>
      <c r="FO13" s="2272"/>
      <c r="FP13" s="2272"/>
      <c r="FQ13" s="2272"/>
      <c r="FR13" s="2272"/>
      <c r="FS13" s="2272"/>
      <c r="FT13" s="2272"/>
      <c r="FU13" s="2272"/>
      <c r="FV13" s="2272"/>
      <c r="FW13" s="2278"/>
      <c r="FX13" s="768"/>
    </row>
    <row customHeight="1" ht="36">
      <c r="D14" s="944"/>
      <c r="E14" s="943"/>
      <c r="F14" s="2057"/>
      <c r="G14" s="2057"/>
      <c r="H14" s="2291"/>
      <c r="I14" s="2291"/>
      <c r="J14" s="2290"/>
      <c r="K14" s="2290"/>
      <c r="L14" s="2290"/>
      <c r="M14" s="2290"/>
      <c r="N14" s="2290"/>
      <c r="O14" s="2189" t="s">
        <v>1224</v>
      </c>
      <c r="P14" s="2268"/>
      <c r="Q14" s="2189" t="s">
        <v>1225</v>
      </c>
      <c r="R14" s="2268"/>
      <c r="S14" s="2190"/>
      <c r="T14" s="2063"/>
      <c r="U14" s="2189" t="s">
        <v>957</v>
      </c>
      <c r="V14" s="2268"/>
      <c r="W14" s="2189" t="s">
        <v>960</v>
      </c>
      <c r="X14" s="2268"/>
      <c r="Y14" s="2189" t="s">
        <v>957</v>
      </c>
      <c r="Z14" s="2268"/>
      <c r="AA14" s="2189" t="s">
        <v>967</v>
      </c>
      <c r="AB14" s="2268"/>
      <c r="AC14" s="2272"/>
      <c r="AD14" s="2272"/>
      <c r="AE14" s="2272"/>
      <c r="AF14" s="2272"/>
      <c r="AG14" s="2272"/>
      <c r="AH14" s="2272"/>
      <c r="AI14" s="2272"/>
      <c r="AJ14" s="2272"/>
      <c r="AK14" s="2272"/>
      <c r="AL14" s="2272"/>
      <c r="AM14" s="2272"/>
      <c r="AN14" s="2272"/>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c r="BP14" s="2272"/>
      <c r="BQ14" s="2272"/>
      <c r="BR14" s="2272"/>
      <c r="BS14" s="2273"/>
      <c r="BT14" s="2190"/>
      <c r="BU14" s="2063"/>
      <c r="BV14" s="2190"/>
      <c r="BW14" s="2063"/>
      <c r="BX14" s="2190"/>
      <c r="BY14" s="2063"/>
      <c r="BZ14" s="2190"/>
      <c r="CA14" s="2063"/>
      <c r="CB14" s="2190"/>
      <c r="CC14" s="2063"/>
      <c r="CD14" s="2190"/>
      <c r="CE14" s="2063"/>
      <c r="CF14" s="2190"/>
      <c r="CG14" s="2063"/>
      <c r="CH14" s="2189" t="s">
        <v>1226</v>
      </c>
      <c r="CI14" s="2268"/>
      <c r="CJ14" s="2189" t="s">
        <v>1227</v>
      </c>
      <c r="CK14" s="2268"/>
      <c r="CL14" s="2280"/>
      <c r="CM14" s="2272"/>
      <c r="CN14" s="2272"/>
      <c r="CO14" s="2272"/>
      <c r="CP14" s="2272"/>
      <c r="CQ14" s="2272"/>
      <c r="CR14" s="2272"/>
      <c r="CS14" s="2272"/>
      <c r="CT14" s="2272"/>
      <c r="CU14" s="2272"/>
      <c r="CV14" s="2272"/>
      <c r="CW14" s="2272"/>
      <c r="CX14" s="2273"/>
      <c r="CY14" s="2190"/>
      <c r="CZ14" s="2063"/>
      <c r="DA14" s="2190"/>
      <c r="DB14" s="2063"/>
      <c r="DC14" s="2190"/>
      <c r="DD14" s="2063"/>
      <c r="DE14" s="2190"/>
      <c r="DF14" s="2063"/>
      <c r="DG14" s="2189" t="s">
        <v>1228</v>
      </c>
      <c r="DH14" s="2268"/>
      <c r="DI14" s="2189" t="s">
        <v>1229</v>
      </c>
      <c r="DJ14" s="2268"/>
      <c r="DK14" s="2280"/>
      <c r="DL14" s="2272"/>
      <c r="DM14" s="2272"/>
      <c r="DN14" s="2272"/>
      <c r="DO14" s="2272"/>
      <c r="DP14" s="2272"/>
      <c r="DQ14" s="2272"/>
      <c r="DR14" s="2272"/>
      <c r="DS14" s="2272"/>
      <c r="DT14" s="2272"/>
      <c r="DU14" s="2272"/>
      <c r="DV14" s="2272"/>
      <c r="DW14" s="2272"/>
      <c r="DX14" s="2272"/>
      <c r="DY14" s="2272"/>
      <c r="DZ14" s="2272"/>
      <c r="EA14" s="2272"/>
      <c r="EB14" s="2272"/>
      <c r="EC14" s="2272"/>
      <c r="ED14" s="2272"/>
      <c r="EE14" s="2272"/>
      <c r="EF14" s="2272"/>
      <c r="EG14" s="2272"/>
      <c r="EH14" s="2272"/>
      <c r="EI14" s="2272"/>
      <c r="EJ14" s="2272"/>
      <c r="EK14" s="2272"/>
      <c r="EL14" s="2272"/>
      <c r="EM14" s="2272"/>
      <c r="EN14" s="2272"/>
      <c r="EO14" s="2272"/>
      <c r="EP14" s="2272"/>
      <c r="EQ14" s="2272"/>
      <c r="ER14" s="2272"/>
      <c r="ES14" s="2272"/>
      <c r="ET14" s="2272"/>
      <c r="EU14" s="2272"/>
      <c r="EV14" s="2272"/>
      <c r="EW14" s="2272"/>
      <c r="EX14" s="2272"/>
      <c r="EY14" s="2272"/>
      <c r="EZ14" s="2272"/>
      <c r="FA14" s="2272"/>
      <c r="FB14" s="2272"/>
      <c r="FC14" s="2272"/>
      <c r="FD14" s="2272"/>
      <c r="FE14" s="2272"/>
      <c r="FF14" s="2272"/>
      <c r="FG14" s="2272"/>
      <c r="FH14" s="2272"/>
      <c r="FI14" s="2272"/>
      <c r="FJ14" s="2272"/>
      <c r="FK14" s="2272"/>
      <c r="FL14" s="2272"/>
      <c r="FM14" s="2272"/>
      <c r="FN14" s="2272"/>
      <c r="FO14" s="2272"/>
      <c r="FP14" s="2272"/>
      <c r="FQ14" s="2272"/>
      <c r="FR14" s="2272"/>
      <c r="FS14" s="2272"/>
      <c r="FT14" s="2272"/>
      <c r="FU14" s="2272"/>
      <c r="FV14" s="2272"/>
      <c r="FW14" s="2278"/>
      <c r="FX14" s="768"/>
    </row>
    <row customHeight="1" ht="36">
      <c r="D15" s="944"/>
      <c r="E15" s="943"/>
      <c r="F15" s="2057"/>
      <c r="G15" s="2057"/>
      <c r="H15" s="2291"/>
      <c r="I15" s="2291"/>
      <c r="J15" s="2290"/>
      <c r="K15" s="2290"/>
      <c r="L15" s="2290"/>
      <c r="M15" s="2290"/>
      <c r="N15" s="2290"/>
      <c r="O15" s="2191"/>
      <c r="P15" s="2269"/>
      <c r="Q15" s="2191"/>
      <c r="R15" s="2269"/>
      <c r="S15" s="2191"/>
      <c r="T15" s="2269"/>
      <c r="U15" s="2191"/>
      <c r="V15" s="2269"/>
      <c r="W15" s="2191"/>
      <c r="X15" s="2269"/>
      <c r="Y15" s="2191"/>
      <c r="Z15" s="2269"/>
      <c r="AA15" s="2191"/>
      <c r="AB15" s="2269"/>
      <c r="AC15" s="2272"/>
      <c r="AD15" s="2272"/>
      <c r="AE15" s="2272"/>
      <c r="AF15" s="2272"/>
      <c r="AG15" s="2272"/>
      <c r="AH15" s="2272"/>
      <c r="AI15" s="2272"/>
      <c r="AJ15" s="2272"/>
      <c r="AK15" s="2272"/>
      <c r="AL15" s="2272"/>
      <c r="AM15" s="2272"/>
      <c r="AN15" s="2272"/>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c r="BP15" s="2272"/>
      <c r="BQ15" s="2272"/>
      <c r="BR15" s="2272"/>
      <c r="BS15" s="2273"/>
      <c r="BT15" s="2191"/>
      <c r="BU15" s="2269"/>
      <c r="BV15" s="2191"/>
      <c r="BW15" s="2269"/>
      <c r="BX15" s="2191"/>
      <c r="BY15" s="2269"/>
      <c r="BZ15" s="2191"/>
      <c r="CA15" s="2269"/>
      <c r="CB15" s="2191"/>
      <c r="CC15" s="2269"/>
      <c r="CD15" s="2191"/>
      <c r="CE15" s="2269"/>
      <c r="CF15" s="2191"/>
      <c r="CG15" s="2269"/>
      <c r="CH15" s="2191"/>
      <c r="CI15" s="2269"/>
      <c r="CJ15" s="2191"/>
      <c r="CK15" s="2269"/>
      <c r="CL15" s="2280"/>
      <c r="CM15" s="2272"/>
      <c r="CN15" s="2272"/>
      <c r="CO15" s="2272"/>
      <c r="CP15" s="2272"/>
      <c r="CQ15" s="2272"/>
      <c r="CR15" s="2272"/>
      <c r="CS15" s="2272"/>
      <c r="CT15" s="2272"/>
      <c r="CU15" s="2272"/>
      <c r="CV15" s="2272"/>
      <c r="CW15" s="2272"/>
      <c r="CX15" s="2273"/>
      <c r="CY15" s="2191"/>
      <c r="CZ15" s="2269"/>
      <c r="DA15" s="2191"/>
      <c r="DB15" s="2269"/>
      <c r="DC15" s="2191"/>
      <c r="DD15" s="2269"/>
      <c r="DE15" s="2191"/>
      <c r="DF15" s="2269"/>
      <c r="DG15" s="2191"/>
      <c r="DH15" s="2269"/>
      <c r="DI15" s="2191"/>
      <c r="DJ15" s="2269"/>
      <c r="DK15" s="2280"/>
      <c r="DL15" s="2272"/>
      <c r="DM15" s="2272"/>
      <c r="DN15" s="2272"/>
      <c r="DO15" s="2272"/>
      <c r="DP15" s="2272"/>
      <c r="DQ15" s="2272"/>
      <c r="DR15" s="2272"/>
      <c r="DS15" s="2272"/>
      <c r="DT15" s="2272"/>
      <c r="DU15" s="2272"/>
      <c r="DV15" s="2272"/>
      <c r="DW15" s="2272"/>
      <c r="DX15" s="2272"/>
      <c r="DY15" s="2272"/>
      <c r="DZ15" s="2272"/>
      <c r="EA15" s="2272"/>
      <c r="EB15" s="2272"/>
      <c r="EC15" s="2272"/>
      <c r="ED15" s="2272"/>
      <c r="EE15" s="2272"/>
      <c r="EF15" s="2272"/>
      <c r="EG15" s="2272"/>
      <c r="EH15" s="2272"/>
      <c r="EI15" s="2272"/>
      <c r="EJ15" s="2272"/>
      <c r="EK15" s="2272"/>
      <c r="EL15" s="2272"/>
      <c r="EM15" s="2272"/>
      <c r="EN15" s="2272"/>
      <c r="EO15" s="2272"/>
      <c r="EP15" s="2272"/>
      <c r="EQ15" s="2272"/>
      <c r="ER15" s="2272"/>
      <c r="ES15" s="2272"/>
      <c r="ET15" s="2272"/>
      <c r="EU15" s="2272"/>
      <c r="EV15" s="2272"/>
      <c r="EW15" s="2272"/>
      <c r="EX15" s="2272"/>
      <c r="EY15" s="2272"/>
      <c r="EZ15" s="2272"/>
      <c r="FA15" s="2272"/>
      <c r="FB15" s="2272"/>
      <c r="FC15" s="2272"/>
      <c r="FD15" s="2272"/>
      <c r="FE15" s="2272"/>
      <c r="FF15" s="2272"/>
      <c r="FG15" s="2272"/>
      <c r="FH15" s="2272"/>
      <c r="FI15" s="2272"/>
      <c r="FJ15" s="2272"/>
      <c r="FK15" s="2272"/>
      <c r="FL15" s="2272"/>
      <c r="FM15" s="2272"/>
      <c r="FN15" s="2272"/>
      <c r="FO15" s="2272"/>
      <c r="FP15" s="2272"/>
      <c r="FQ15" s="2272"/>
      <c r="FR15" s="2272"/>
      <c r="FS15" s="2272"/>
      <c r="FT15" s="2272"/>
      <c r="FU15" s="2272"/>
      <c r="FV15" s="2272"/>
      <c r="FW15" s="2278"/>
      <c r="FX15" s="768"/>
    </row>
    <row customHeight="1" ht="12">
      <c r="D16" s="944"/>
      <c r="E16" s="943"/>
      <c r="F16" s="2057"/>
      <c r="G16" s="2057"/>
      <c r="H16" s="2291"/>
      <c r="I16" s="2291"/>
      <c r="J16" s="2290"/>
      <c r="K16" s="2290"/>
      <c r="L16" s="2290"/>
      <c r="M16" s="2290"/>
      <c r="N16" s="2290"/>
      <c r="O16" s="2270" t="s">
        <v>947</v>
      </c>
      <c r="P16" s="2271"/>
      <c r="Q16" s="2270" t="s">
        <v>949</v>
      </c>
      <c r="R16" s="2271"/>
      <c r="S16" s="2270" t="s">
        <v>953</v>
      </c>
      <c r="T16" s="2271"/>
      <c r="U16" s="2270" t="s">
        <v>958</v>
      </c>
      <c r="V16" s="2271"/>
      <c r="W16" s="2270" t="s">
        <v>961</v>
      </c>
      <c r="X16" s="2271"/>
      <c r="Y16" s="2270" t="s">
        <v>965</v>
      </c>
      <c r="Z16" s="2271"/>
      <c r="AA16" s="2270" t="s">
        <v>968</v>
      </c>
      <c r="AB16" s="2271"/>
      <c r="AC16" s="2272"/>
      <c r="AD16" s="2272"/>
      <c r="AE16" s="2272"/>
      <c r="AF16" s="2272"/>
      <c r="AG16" s="2272"/>
      <c r="AH16" s="2272"/>
      <c r="AI16" s="2272"/>
      <c r="AJ16" s="2272"/>
      <c r="AK16" s="2272"/>
      <c r="AL16" s="2272"/>
      <c r="AM16" s="2272"/>
      <c r="AN16" s="2272"/>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c r="BP16" s="2272"/>
      <c r="BQ16" s="2272"/>
      <c r="BR16" s="2272"/>
      <c r="BS16" s="2273"/>
      <c r="BT16" s="2270" t="s">
        <v>765</v>
      </c>
      <c r="BU16" s="2271"/>
      <c r="BV16" s="2270" t="s">
        <v>765</v>
      </c>
      <c r="BW16" s="2271"/>
      <c r="BX16" s="2270" t="s">
        <v>765</v>
      </c>
      <c r="BY16" s="2271"/>
      <c r="BZ16" s="2270" t="s">
        <v>765</v>
      </c>
      <c r="CA16" s="2271"/>
      <c r="CB16" s="2270" t="s">
        <v>1230</v>
      </c>
      <c r="CC16" s="2271"/>
      <c r="CD16" s="2270" t="s">
        <v>765</v>
      </c>
      <c r="CE16" s="2271"/>
      <c r="CF16" s="2270" t="s">
        <v>1231</v>
      </c>
      <c r="CG16" s="2271"/>
      <c r="CH16" s="2270" t="s">
        <v>1232</v>
      </c>
      <c r="CI16" s="2271"/>
      <c r="CJ16" s="2270" t="s">
        <v>1232</v>
      </c>
      <c r="CK16" s="2271"/>
      <c r="CL16" s="2280"/>
      <c r="CM16" s="2272"/>
      <c r="CN16" s="2272"/>
      <c r="CO16" s="2272"/>
      <c r="CP16" s="2272"/>
      <c r="CQ16" s="2272"/>
      <c r="CR16" s="2272"/>
      <c r="CS16" s="2272"/>
      <c r="CT16" s="2272"/>
      <c r="CU16" s="2272"/>
      <c r="CV16" s="2272"/>
      <c r="CW16" s="2272"/>
      <c r="CX16" s="2273"/>
      <c r="CY16" s="2189" t="s">
        <v>765</v>
      </c>
      <c r="CZ16" s="2268"/>
      <c r="DA16" s="2189" t="s">
        <v>765</v>
      </c>
      <c r="DB16" s="2268"/>
      <c r="DC16" s="2189" t="s">
        <v>765</v>
      </c>
      <c r="DD16" s="2268"/>
      <c r="DE16" s="2270" t="s">
        <v>1230</v>
      </c>
      <c r="DF16" s="2271"/>
      <c r="DG16" s="2270" t="s">
        <v>1233</v>
      </c>
      <c r="DH16" s="2271"/>
      <c r="DI16" s="2270" t="s">
        <v>1233</v>
      </c>
      <c r="DJ16" s="2271"/>
      <c r="DK16" s="2280"/>
      <c r="DL16" s="2272"/>
      <c r="DM16" s="2272"/>
      <c r="DN16" s="2272"/>
      <c r="DO16" s="2272"/>
      <c r="DP16" s="2272"/>
      <c r="DQ16" s="2272"/>
      <c r="DR16" s="2272"/>
      <c r="DS16" s="2272"/>
      <c r="DT16" s="2272"/>
      <c r="DU16" s="2272"/>
      <c r="DV16" s="2272"/>
      <c r="DW16" s="2272"/>
      <c r="DX16" s="2272"/>
      <c r="DY16" s="2272"/>
      <c r="DZ16" s="2272"/>
      <c r="EA16" s="2272"/>
      <c r="EB16" s="2272"/>
      <c r="EC16" s="2272"/>
      <c r="ED16" s="2272"/>
      <c r="EE16" s="2272"/>
      <c r="EF16" s="2272"/>
      <c r="EG16" s="2272"/>
      <c r="EH16" s="2272"/>
      <c r="EI16" s="2272"/>
      <c r="EJ16" s="2272"/>
      <c r="EK16" s="2272"/>
      <c r="EL16" s="2272"/>
      <c r="EM16" s="2272"/>
      <c r="EN16" s="2272"/>
      <c r="EO16" s="2272"/>
      <c r="EP16" s="2272"/>
      <c r="EQ16" s="2272"/>
      <c r="ER16" s="2272"/>
      <c r="ES16" s="2272"/>
      <c r="ET16" s="2272"/>
      <c r="EU16" s="2272"/>
      <c r="EV16" s="2272"/>
      <c r="EW16" s="2272"/>
      <c r="EX16" s="2272"/>
      <c r="EY16" s="2272"/>
      <c r="EZ16" s="2272"/>
      <c r="FA16" s="2272"/>
      <c r="FB16" s="2272"/>
      <c r="FC16" s="2272"/>
      <c r="FD16" s="2272"/>
      <c r="FE16" s="2272"/>
      <c r="FF16" s="2272"/>
      <c r="FG16" s="2272"/>
      <c r="FH16" s="2272"/>
      <c r="FI16" s="2272"/>
      <c r="FJ16" s="2272"/>
      <c r="FK16" s="2272"/>
      <c r="FL16" s="2272"/>
      <c r="FM16" s="2272"/>
      <c r="FN16" s="2272"/>
      <c r="FO16" s="2272"/>
      <c r="FP16" s="2272"/>
      <c r="FQ16" s="2272"/>
      <c r="FR16" s="2272"/>
      <c r="FS16" s="2272"/>
      <c r="FT16" s="2272"/>
      <c r="FU16" s="2272"/>
      <c r="FV16" s="2272"/>
      <c r="FW16" s="2278"/>
      <c r="FX16" s="768"/>
    </row>
    <row customHeight="1" ht="15">
      <c r="E17" s="943"/>
      <c r="F17" s="2057"/>
      <c r="G17" s="2057"/>
      <c r="H17" s="2291"/>
      <c r="I17" s="2291"/>
      <c r="J17" s="2290"/>
      <c r="K17" s="2290"/>
      <c r="L17" s="2290"/>
      <c r="M17" s="2290"/>
      <c r="N17" s="2290"/>
      <c r="O17" s="1201" t="s">
        <v>1234</v>
      </c>
      <c r="P17" s="1201" t="s">
        <v>1235</v>
      </c>
      <c r="Q17" s="1201" t="s">
        <v>1234</v>
      </c>
      <c r="R17" s="1201" t="s">
        <v>1235</v>
      </c>
      <c r="S17" s="1201" t="s">
        <v>1234</v>
      </c>
      <c r="T17" s="1201" t="s">
        <v>1235</v>
      </c>
      <c r="U17" s="1201" t="s">
        <v>1234</v>
      </c>
      <c r="V17" s="1201" t="s">
        <v>1235</v>
      </c>
      <c r="W17" s="1201" t="s">
        <v>1234</v>
      </c>
      <c r="X17" s="1201" t="s">
        <v>1235</v>
      </c>
      <c r="Y17" s="1201" t="s">
        <v>1234</v>
      </c>
      <c r="Z17" s="1201" t="s">
        <v>1235</v>
      </c>
      <c r="AA17" s="1201" t="s">
        <v>1234</v>
      </c>
      <c r="AB17" s="1201" t="s">
        <v>1235</v>
      </c>
      <c r="AC17" s="2272"/>
      <c r="AD17" s="2272"/>
      <c r="AE17" s="2272"/>
      <c r="AF17" s="2272"/>
      <c r="AG17" s="2272"/>
      <c r="AH17" s="2272"/>
      <c r="AI17" s="2272"/>
      <c r="AJ17" s="2272"/>
      <c r="AK17" s="2272"/>
      <c r="AL17" s="2272"/>
      <c r="AM17" s="2272"/>
      <c r="AN17" s="2272"/>
      <c r="AO17" s="2272"/>
      <c r="AP17" s="2272"/>
      <c r="AQ17" s="2272"/>
      <c r="AR17" s="2272"/>
      <c r="AS17" s="2272"/>
      <c r="AT17" s="2272"/>
      <c r="AU17" s="2272"/>
      <c r="AV17" s="2272"/>
      <c r="AW17" s="2272"/>
      <c r="AX17" s="2272"/>
      <c r="AY17" s="2272"/>
      <c r="AZ17" s="2272"/>
      <c r="BA17" s="2272"/>
      <c r="BB17" s="2272"/>
      <c r="BC17" s="2272"/>
      <c r="BD17" s="2272"/>
      <c r="BE17" s="2272"/>
      <c r="BF17" s="2272"/>
      <c r="BG17" s="2272"/>
      <c r="BH17" s="2272"/>
      <c r="BI17" s="2272"/>
      <c r="BJ17" s="2272"/>
      <c r="BK17" s="2272"/>
      <c r="BL17" s="2272"/>
      <c r="BM17" s="2272"/>
      <c r="BN17" s="2272"/>
      <c r="BO17" s="2272"/>
      <c r="BP17" s="2272"/>
      <c r="BQ17" s="2272"/>
      <c r="BR17" s="2272"/>
      <c r="BS17" s="2273"/>
      <c r="BT17" s="1201" t="s">
        <v>1234</v>
      </c>
      <c r="BU17" s="1201" t="s">
        <v>1235</v>
      </c>
      <c r="BV17" s="1201" t="s">
        <v>1234</v>
      </c>
      <c r="BW17" s="1201" t="s">
        <v>1235</v>
      </c>
      <c r="BX17" s="1201" t="s">
        <v>1234</v>
      </c>
      <c r="BY17" s="1201" t="s">
        <v>1235</v>
      </c>
      <c r="BZ17" s="1201" t="s">
        <v>1234</v>
      </c>
      <c r="CA17" s="1201" t="s">
        <v>1235</v>
      </c>
      <c r="CB17" s="1201" t="s">
        <v>1234</v>
      </c>
      <c r="CC17" s="1201" t="s">
        <v>1235</v>
      </c>
      <c r="CD17" s="1201" t="s">
        <v>1234</v>
      </c>
      <c r="CE17" s="1201" t="s">
        <v>1235</v>
      </c>
      <c r="CF17" s="1201" t="s">
        <v>1234</v>
      </c>
      <c r="CG17" s="1201" t="s">
        <v>1235</v>
      </c>
      <c r="CH17" s="1201" t="s">
        <v>1234</v>
      </c>
      <c r="CI17" s="1201" t="s">
        <v>1235</v>
      </c>
      <c r="CJ17" s="1201" t="s">
        <v>1234</v>
      </c>
      <c r="CK17" s="1201" t="s">
        <v>1235</v>
      </c>
      <c r="CL17" s="2280"/>
      <c r="CM17" s="2272"/>
      <c r="CN17" s="2272"/>
      <c r="CO17" s="2272"/>
      <c r="CP17" s="2272"/>
      <c r="CQ17" s="2272"/>
      <c r="CR17" s="2272"/>
      <c r="CS17" s="2272"/>
      <c r="CT17" s="2272"/>
      <c r="CU17" s="2272"/>
      <c r="CV17" s="2272"/>
      <c r="CW17" s="2272"/>
      <c r="CX17" s="2273"/>
      <c r="CY17" s="1201" t="s">
        <v>1234</v>
      </c>
      <c r="CZ17" s="1201" t="s">
        <v>1235</v>
      </c>
      <c r="DA17" s="1201" t="s">
        <v>1234</v>
      </c>
      <c r="DB17" s="1201" t="s">
        <v>1235</v>
      </c>
      <c r="DC17" s="1201" t="s">
        <v>1234</v>
      </c>
      <c r="DD17" s="1201" t="s">
        <v>1235</v>
      </c>
      <c r="DE17" s="1201" t="s">
        <v>1234</v>
      </c>
      <c r="DF17" s="1201" t="s">
        <v>1235</v>
      </c>
      <c r="DG17" s="1201" t="s">
        <v>1234</v>
      </c>
      <c r="DH17" s="1201" t="s">
        <v>1235</v>
      </c>
      <c r="DI17" s="1201" t="s">
        <v>1234</v>
      </c>
      <c r="DJ17" s="1201" t="s">
        <v>1235</v>
      </c>
      <c r="DK17" s="2280"/>
      <c r="DL17" s="2272"/>
      <c r="DM17" s="2272"/>
      <c r="DN17" s="2272"/>
      <c r="DO17" s="2272"/>
      <c r="DP17" s="2272"/>
      <c r="DQ17" s="2272"/>
      <c r="DR17" s="2272"/>
      <c r="DS17" s="2272"/>
      <c r="DT17" s="2272"/>
      <c r="DU17" s="2272"/>
      <c r="DV17" s="2272"/>
      <c r="DW17" s="2272"/>
      <c r="DX17" s="2272"/>
      <c r="DY17" s="2272"/>
      <c r="DZ17" s="2272"/>
      <c r="EA17" s="2272"/>
      <c r="EB17" s="2272"/>
      <c r="EC17" s="2272"/>
      <c r="ED17" s="2272"/>
      <c r="EE17" s="2272"/>
      <c r="EF17" s="2272"/>
      <c r="EG17" s="2272"/>
      <c r="EH17" s="2272"/>
      <c r="EI17" s="2272"/>
      <c r="EJ17" s="2272"/>
      <c r="EK17" s="2272"/>
      <c r="EL17" s="2272"/>
      <c r="EM17" s="2272"/>
      <c r="EN17" s="2272"/>
      <c r="EO17" s="2272"/>
      <c r="EP17" s="2272"/>
      <c r="EQ17" s="2272"/>
      <c r="ER17" s="2272"/>
      <c r="ES17" s="2272"/>
      <c r="ET17" s="2272"/>
      <c r="EU17" s="2272"/>
      <c r="EV17" s="2272"/>
      <c r="EW17" s="2272"/>
      <c r="EX17" s="2272"/>
      <c r="EY17" s="2272"/>
      <c r="EZ17" s="2272"/>
      <c r="FA17" s="2272"/>
      <c r="FB17" s="2272"/>
      <c r="FC17" s="2272"/>
      <c r="FD17" s="2272"/>
      <c r="FE17" s="2272"/>
      <c r="FF17" s="2272"/>
      <c r="FG17" s="2272"/>
      <c r="FH17" s="2272"/>
      <c r="FI17" s="2272"/>
      <c r="FJ17" s="2272"/>
      <c r="FK17" s="2272"/>
      <c r="FL17" s="2272"/>
      <c r="FM17" s="2272"/>
      <c r="FN17" s="2272"/>
      <c r="FO17" s="2272"/>
      <c r="FP17" s="2272"/>
      <c r="FQ17" s="2272"/>
      <c r="FR17" s="2272"/>
      <c r="FS17" s="2272"/>
      <c r="FT17" s="2272"/>
      <c r="FU17" s="2272"/>
      <c r="FV17" s="2272"/>
      <c r="FW17" s="2279"/>
      <c r="FX17" s="768"/>
    </row>
    <row s="12747" customFormat="1" customHeight="1" ht="12" hidden="1">
      <c r="B18" s="929"/>
      <c r="E18" s="945"/>
      <c r="F18" s="1202"/>
      <c r="G18" s="1202"/>
      <c r="H18" s="1202"/>
      <c r="I18" s="1202"/>
      <c r="J18" s="1203"/>
      <c r="K18" s="1203"/>
      <c r="L18" s="1203"/>
      <c r="M18" s="1203"/>
      <c r="N18" s="1203"/>
      <c r="O18" s="1202"/>
      <c r="P18" s="1202"/>
      <c r="Q18" s="1202"/>
      <c r="R18" s="1202"/>
      <c r="S18" s="1202"/>
      <c r="T18" s="1202"/>
      <c r="U18" s="1204"/>
      <c r="V18" s="1204"/>
      <c r="W18" s="1204"/>
      <c r="X18" s="1204"/>
      <c r="Y18" s="1204"/>
      <c r="Z18" s="1204"/>
      <c r="AA18" s="1204"/>
      <c r="AB18" s="1202"/>
      <c r="AC18" s="1203"/>
      <c r="AD18" s="1203"/>
      <c r="AE18" s="1203"/>
      <c r="AF18" s="1203"/>
      <c r="AG18" s="1203"/>
      <c r="AH18" s="1203"/>
      <c r="AI18" s="1203"/>
      <c r="AJ18" s="1203"/>
      <c r="AK18" s="1203"/>
      <c r="AL18" s="1203"/>
      <c r="AM18" s="1203"/>
      <c r="AN18" s="1203"/>
      <c r="AO18" s="1203"/>
      <c r="AP18" s="1203"/>
      <c r="AQ18" s="1203"/>
      <c r="AR18" s="1203"/>
      <c r="AS18" s="1203"/>
      <c r="AT18" s="1203"/>
      <c r="AU18" s="1203"/>
      <c r="AV18" s="1203"/>
      <c r="AW18" s="1203"/>
      <c r="AX18" s="1203"/>
      <c r="AY18" s="1203"/>
      <c r="AZ18" s="1203"/>
      <c r="BA18" s="1203"/>
      <c r="BB18" s="1203"/>
      <c r="BC18" s="1203"/>
      <c r="BD18" s="1203"/>
      <c r="BE18" s="1203"/>
      <c r="BF18" s="1203"/>
      <c r="BG18" s="1203"/>
      <c r="BH18" s="1203"/>
      <c r="BI18" s="1203"/>
      <c r="BJ18" s="1203"/>
      <c r="BK18" s="1203"/>
      <c r="BL18" s="1203"/>
      <c r="BM18" s="1203"/>
      <c r="BN18" s="1203"/>
      <c r="BO18" s="1203"/>
      <c r="BP18" s="1203"/>
      <c r="BQ18" s="1203"/>
      <c r="BR18" s="1203"/>
      <c r="BS18" s="1203"/>
      <c r="BT18" s="1205"/>
      <c r="BU18" s="1205"/>
      <c r="BV18" s="1205"/>
      <c r="BW18" s="1205"/>
      <c r="BX18" s="1205"/>
      <c r="BY18" s="1205"/>
      <c r="BZ18" s="1205"/>
      <c r="CA18" s="1205"/>
      <c r="CB18" s="1205"/>
      <c r="CC18" s="1205"/>
      <c r="CD18" s="1205"/>
      <c r="CE18" s="1205"/>
      <c r="CF18" s="1205"/>
      <c r="CG18" s="1205"/>
      <c r="CH18" s="1205"/>
      <c r="CI18" s="1205"/>
      <c r="CJ18" s="1205"/>
      <c r="CK18" s="1205"/>
      <c r="CL18" s="1203"/>
      <c r="CM18" s="1203"/>
      <c r="CN18" s="1203"/>
      <c r="CO18" s="1203"/>
      <c r="CP18" s="1203"/>
      <c r="CQ18" s="1203"/>
      <c r="CR18" s="1203"/>
      <c r="CS18" s="1203"/>
      <c r="CT18" s="1203"/>
      <c r="CU18" s="1203"/>
      <c r="CV18" s="1203"/>
      <c r="CW18" s="1203"/>
      <c r="CX18" s="1203"/>
      <c r="CY18" s="1205"/>
      <c r="CZ18" s="1205"/>
      <c r="DA18" s="1205"/>
      <c r="DB18" s="1205"/>
      <c r="DC18" s="1205"/>
      <c r="DD18" s="1205"/>
      <c r="DE18" s="1205"/>
      <c r="DF18" s="1205"/>
      <c r="DG18" s="1205"/>
      <c r="DH18" s="1205"/>
      <c r="DI18" s="1205"/>
      <c r="DJ18" s="1205"/>
      <c r="DK18" s="1203"/>
      <c r="DL18" s="1203"/>
      <c r="DM18" s="1203"/>
      <c r="DN18" s="1203"/>
      <c r="DO18" s="1203"/>
      <c r="DP18" s="1203"/>
      <c r="DQ18" s="1203"/>
      <c r="DR18" s="1203"/>
      <c r="DS18" s="1203"/>
      <c r="DT18" s="1203"/>
      <c r="DU18" s="1203"/>
      <c r="DV18" s="1203"/>
      <c r="DW18" s="1203"/>
      <c r="DX18" s="1203"/>
      <c r="DY18" s="1203"/>
      <c r="DZ18" s="1203"/>
      <c r="EA18" s="1203"/>
      <c r="EB18" s="1203"/>
      <c r="EC18" s="1203"/>
      <c r="ED18" s="1203"/>
      <c r="EE18" s="1203"/>
      <c r="EF18" s="1203"/>
      <c r="EG18" s="1203"/>
      <c r="EH18" s="1203"/>
      <c r="EI18" s="1203"/>
      <c r="EJ18" s="1203"/>
      <c r="EK18" s="1203"/>
      <c r="EL18" s="1203"/>
      <c r="EM18" s="1203"/>
      <c r="EN18" s="1203"/>
      <c r="EO18" s="1203"/>
      <c r="EP18" s="1203"/>
      <c r="EQ18" s="1203"/>
      <c r="ER18" s="1203"/>
      <c r="ES18" s="1203"/>
      <c r="ET18" s="1203"/>
      <c r="EU18" s="1203"/>
      <c r="EV18" s="1203"/>
      <c r="EW18" s="1203"/>
      <c r="EX18" s="1203"/>
      <c r="EY18" s="1203"/>
      <c r="EZ18" s="1203"/>
      <c r="FA18" s="1203"/>
      <c r="FB18" s="1203"/>
      <c r="FC18" s="1203"/>
      <c r="FD18" s="1203"/>
      <c r="FE18" s="1203"/>
      <c r="FF18" s="1203"/>
      <c r="FG18" s="1203"/>
      <c r="FH18" s="1203"/>
      <c r="FI18" s="1203"/>
      <c r="FJ18" s="1203"/>
      <c r="FK18" s="1203"/>
      <c r="FL18" s="1203"/>
      <c r="FM18" s="1203"/>
      <c r="FN18" s="1203"/>
      <c r="FO18" s="1203"/>
      <c r="FP18" s="1203"/>
      <c r="FQ18" s="1203"/>
      <c r="FR18" s="1203"/>
      <c r="FS18" s="1203"/>
      <c r="FT18" s="1203"/>
      <c r="FU18" s="1203"/>
      <c r="FV18" s="1203"/>
      <c r="FW18" s="1202"/>
      <c r="FX18" s="1206"/>
    </row>
    <row s="12747" customFormat="1" customHeight="1" ht="11.25" hidden="1">
      <c r="B19" s="929"/>
      <c r="E19" s="945"/>
      <c r="F19" s="1202"/>
      <c r="G19" s="1202"/>
      <c r="H19" s="1202"/>
      <c r="I19" s="1202"/>
      <c r="J19" s="1202"/>
      <c r="K19" s="1202"/>
      <c r="L19" s="1202"/>
      <c r="M19" s="1202"/>
      <c r="N19" s="1202"/>
      <c r="O19" s="1202"/>
      <c r="P19" s="1202"/>
      <c r="Q19" s="1202"/>
      <c r="R19" s="1202"/>
      <c r="S19" s="1202"/>
      <c r="T19" s="1202"/>
      <c r="U19" s="1204"/>
      <c r="V19" s="1204"/>
      <c r="W19" s="1204"/>
      <c r="X19" s="1204"/>
      <c r="Y19" s="1204"/>
      <c r="Z19" s="1204"/>
      <c r="AA19" s="1204"/>
      <c r="AB19" s="1202"/>
      <c r="AC19" s="1202"/>
      <c r="AD19" s="1202"/>
      <c r="AE19" s="1202"/>
      <c r="AF19" s="1202"/>
      <c r="AG19" s="1202"/>
      <c r="AH19" s="1202"/>
      <c r="AI19" s="1202"/>
      <c r="AJ19" s="1202"/>
      <c r="AK19" s="1202"/>
      <c r="AL19" s="1202"/>
      <c r="AM19" s="1202"/>
      <c r="AN19" s="1202"/>
      <c r="AO19" s="1202"/>
      <c r="AP19" s="1202"/>
      <c r="AQ19" s="1202"/>
      <c r="AR19" s="1202"/>
      <c r="AS19" s="1202"/>
      <c r="AT19" s="1202"/>
      <c r="AU19" s="1202"/>
      <c r="AV19" s="1202"/>
      <c r="AW19" s="1202"/>
      <c r="AX19" s="1202"/>
      <c r="AY19" s="1202"/>
      <c r="AZ19" s="1202"/>
      <c r="BA19" s="1202"/>
      <c r="BB19" s="1202"/>
      <c r="BC19" s="1202"/>
      <c r="BD19" s="1202"/>
      <c r="BE19" s="1202"/>
      <c r="BF19" s="1202"/>
      <c r="BG19" s="1202"/>
      <c r="BH19" s="1202"/>
      <c r="BI19" s="1202"/>
      <c r="BJ19" s="1202"/>
      <c r="BK19" s="1202"/>
      <c r="BL19" s="1202"/>
      <c r="BM19" s="1202"/>
      <c r="BN19" s="1202"/>
      <c r="BO19" s="1202"/>
      <c r="BP19" s="1202"/>
      <c r="BQ19" s="1202"/>
      <c r="BR19" s="1202"/>
      <c r="BS19" s="1202"/>
      <c r="BT19" s="1202"/>
      <c r="BU19" s="1202"/>
      <c r="BV19" s="1202"/>
      <c r="BW19" s="1202"/>
      <c r="BX19" s="1202"/>
      <c r="BY19" s="1202"/>
      <c r="BZ19" s="1202"/>
      <c r="CA19" s="1202"/>
      <c r="CB19" s="1202"/>
      <c r="CC19" s="1202"/>
      <c r="CD19" s="1202"/>
      <c r="CE19" s="1202"/>
      <c r="CF19" s="1202"/>
      <c r="CG19" s="1202"/>
      <c r="CH19" s="1202"/>
      <c r="CI19" s="1202"/>
      <c r="CJ19" s="1202"/>
      <c r="CK19" s="1202"/>
      <c r="CL19" s="1202"/>
      <c r="CM19" s="1202"/>
      <c r="CN19" s="1202"/>
      <c r="CO19" s="1202"/>
      <c r="CP19" s="1202"/>
      <c r="CQ19" s="1202"/>
      <c r="CR19" s="1202"/>
      <c r="CS19" s="1202"/>
      <c r="CT19" s="1202"/>
      <c r="CU19" s="1202"/>
      <c r="CV19" s="1202"/>
      <c r="CW19" s="1202"/>
      <c r="CX19" s="1202"/>
      <c r="CY19" s="1202"/>
      <c r="CZ19" s="1202"/>
      <c r="DA19" s="1202"/>
      <c r="DB19" s="1202"/>
      <c r="DC19" s="1202"/>
      <c r="DD19" s="1202"/>
      <c r="DE19" s="1202"/>
      <c r="DF19" s="1202"/>
      <c r="DG19" s="1202"/>
      <c r="DH19" s="1202"/>
      <c r="DI19" s="1202"/>
      <c r="DJ19" s="1202"/>
      <c r="DK19" s="1202"/>
      <c r="DL19" s="1202"/>
      <c r="DM19" s="1202"/>
      <c r="DN19" s="1202"/>
      <c r="DO19" s="1202"/>
      <c r="DP19" s="1202"/>
      <c r="DQ19" s="1202"/>
      <c r="DR19" s="1202"/>
      <c r="DS19" s="1202"/>
      <c r="DT19" s="1202"/>
      <c r="DU19" s="1202"/>
      <c r="DV19" s="1202"/>
      <c r="DW19" s="1202"/>
      <c r="DX19" s="1202"/>
      <c r="DY19" s="1202"/>
      <c r="DZ19" s="1202"/>
      <c r="EA19" s="1202"/>
      <c r="EB19" s="1202"/>
      <c r="EC19" s="1202"/>
      <c r="ED19" s="1202"/>
      <c r="EE19" s="1202"/>
      <c r="EF19" s="1202"/>
      <c r="EG19" s="1202"/>
      <c r="EH19" s="1202"/>
      <c r="EI19" s="1202"/>
      <c r="EJ19" s="1202"/>
      <c r="EK19" s="1202"/>
      <c r="EL19" s="1202"/>
      <c r="EM19" s="1202"/>
      <c r="EN19" s="1202"/>
      <c r="EO19" s="1202"/>
      <c r="EP19" s="1202"/>
      <c r="EQ19" s="1202"/>
      <c r="ER19" s="1202"/>
      <c r="ES19" s="1202"/>
      <c r="ET19" s="1202"/>
      <c r="EU19" s="1202"/>
      <c r="EV19" s="1202"/>
      <c r="EW19" s="1202"/>
      <c r="EX19" s="1202"/>
      <c r="EY19" s="1202"/>
      <c r="EZ19" s="1202"/>
      <c r="FA19" s="1202"/>
      <c r="FB19" s="1202"/>
      <c r="FC19" s="1202"/>
      <c r="FD19" s="1202"/>
      <c r="FE19" s="1202"/>
      <c r="FF19" s="1202"/>
      <c r="FG19" s="1202"/>
      <c r="FH19" s="1202"/>
      <c r="FI19" s="1202"/>
      <c r="FJ19" s="1202"/>
      <c r="FK19" s="1202"/>
      <c r="FL19" s="1202"/>
      <c r="FM19" s="1202"/>
      <c r="FN19" s="1202"/>
      <c r="FO19" s="1202"/>
      <c r="FP19" s="1202"/>
      <c r="FQ19" s="1202"/>
      <c r="FR19" s="1202"/>
      <c r="FS19" s="1202"/>
      <c r="FT19" s="1202"/>
      <c r="FU19" s="1202"/>
      <c r="FV19" s="1202"/>
      <c r="FW19" s="1202"/>
      <c r="FX19" s="1206"/>
    </row>
    <row s="12745" customFormat="1" customHeight="1" ht="11.25" hidden="1">
      <c r="B20" s="946"/>
      <c r="D20" s="930"/>
      <c r="E20" s="945"/>
      <c r="F20" s="1207" t="s">
        <v>591</v>
      </c>
      <c r="G20" s="1208"/>
      <c r="H20" s="1209"/>
      <c r="I20" s="1209"/>
      <c r="J20" s="1209"/>
      <c r="K20" s="1209"/>
      <c r="L20" s="1209"/>
      <c r="M20" s="1209"/>
      <c r="N20" s="1209"/>
      <c r="O20" s="1208"/>
      <c r="P20" s="1208"/>
      <c r="Q20" s="1208"/>
      <c r="R20" s="1208"/>
      <c r="S20" s="1208"/>
      <c r="T20" s="1208"/>
      <c r="U20" s="1210"/>
      <c r="V20" s="1210"/>
      <c r="W20" s="1210"/>
      <c r="X20" s="1210"/>
      <c r="Y20" s="1210"/>
      <c r="Z20" s="1210"/>
      <c r="AA20" s="1210"/>
      <c r="AB20" s="1208"/>
      <c r="AC20" s="1209"/>
      <c r="AD20" s="1209"/>
      <c r="AE20" s="1209"/>
      <c r="AF20" s="1209"/>
      <c r="AG20" s="1209"/>
      <c r="AH20" s="1209"/>
      <c r="AI20" s="1209"/>
      <c r="AJ20" s="1209"/>
      <c r="AK20" s="1209"/>
      <c r="AL20" s="1209"/>
      <c r="AM20" s="1209"/>
      <c r="AN20" s="1209"/>
      <c r="AO20" s="1209"/>
      <c r="AP20" s="1209"/>
      <c r="AQ20" s="1209"/>
      <c r="AR20" s="1209"/>
      <c r="AS20" s="1209"/>
      <c r="AT20" s="1209"/>
      <c r="AU20" s="1209"/>
      <c r="AV20" s="1209"/>
      <c r="AW20" s="1209"/>
      <c r="AX20" s="1209"/>
      <c r="AY20" s="1209"/>
      <c r="AZ20" s="1209"/>
      <c r="BA20" s="1209"/>
      <c r="BB20" s="1209"/>
      <c r="BC20" s="1209"/>
      <c r="BD20" s="1209"/>
      <c r="BE20" s="1209"/>
      <c r="BF20" s="1209"/>
      <c r="BG20" s="1209"/>
      <c r="BH20" s="1209"/>
      <c r="BI20" s="1209"/>
      <c r="BJ20" s="1209"/>
      <c r="BK20" s="1209"/>
      <c r="BL20" s="1209"/>
      <c r="BM20" s="1209"/>
      <c r="BN20" s="1209"/>
      <c r="BO20" s="1209"/>
      <c r="BP20" s="1209"/>
      <c r="BQ20" s="1209"/>
      <c r="BR20" s="1209"/>
      <c r="BS20" s="1209"/>
      <c r="BT20" s="1209"/>
      <c r="BU20" s="1209"/>
      <c r="BV20" s="1209"/>
      <c r="BW20" s="1209"/>
      <c r="BX20" s="1209"/>
      <c r="BY20" s="1209"/>
      <c r="BZ20" s="1209"/>
      <c r="CA20" s="1209"/>
      <c r="CB20" s="1209"/>
      <c r="CC20" s="1209"/>
      <c r="CD20" s="1209"/>
      <c r="CE20" s="1209"/>
      <c r="CF20" s="1209"/>
      <c r="CG20" s="1209"/>
      <c r="CH20" s="1209"/>
      <c r="CI20" s="1209"/>
      <c r="CJ20" s="1209"/>
      <c r="CK20" s="1209"/>
      <c r="CL20" s="1211"/>
      <c r="CM20" s="1211"/>
      <c r="CN20" s="1211"/>
      <c r="CO20" s="1211"/>
      <c r="CP20" s="1211"/>
      <c r="CQ20" s="1211"/>
      <c r="CR20" s="1211"/>
      <c r="CS20" s="1211"/>
      <c r="CT20" s="1211"/>
      <c r="CU20" s="1211"/>
      <c r="CV20" s="1211"/>
      <c r="CW20" s="1211"/>
      <c r="CX20" s="1211"/>
      <c r="CY20" s="1211"/>
      <c r="CZ20" s="1211"/>
      <c r="DA20" s="1211"/>
      <c r="DB20" s="1211"/>
      <c r="DC20" s="1211"/>
      <c r="DD20" s="1211"/>
      <c r="DE20" s="1211"/>
      <c r="DF20" s="1211"/>
      <c r="DG20" s="1211"/>
      <c r="DH20" s="1211"/>
      <c r="DI20" s="1211"/>
      <c r="DJ20" s="1211"/>
      <c r="DK20" s="1211"/>
      <c r="DL20" s="1211"/>
      <c r="DM20" s="1211"/>
      <c r="DN20" s="1211"/>
      <c r="DO20" s="1211"/>
      <c r="DP20" s="1211"/>
      <c r="DQ20" s="1211"/>
      <c r="DR20" s="1211"/>
      <c r="DS20" s="1211"/>
      <c r="DT20" s="1211"/>
      <c r="DU20" s="1211"/>
      <c r="DV20" s="1211"/>
      <c r="DW20" s="1211"/>
      <c r="DX20" s="1211"/>
      <c r="DY20" s="1211"/>
      <c r="DZ20" s="1211"/>
      <c r="EA20" s="1211"/>
      <c r="EB20" s="1211"/>
      <c r="EC20" s="1211"/>
      <c r="ED20" s="1211"/>
      <c r="EE20" s="1211"/>
      <c r="EF20" s="1211"/>
      <c r="EG20" s="1211"/>
      <c r="EH20" s="1211"/>
      <c r="EI20" s="1211"/>
      <c r="EJ20" s="1211"/>
      <c r="EK20" s="1211"/>
      <c r="EL20" s="1211"/>
      <c r="EM20" s="1211"/>
      <c r="EN20" s="1211"/>
      <c r="EO20" s="1211"/>
      <c r="EP20" s="1211"/>
      <c r="EQ20" s="1211"/>
      <c r="ER20" s="1211"/>
      <c r="ES20" s="1211"/>
      <c r="ET20" s="1211"/>
      <c r="EU20" s="1211"/>
      <c r="EV20" s="1211"/>
      <c r="EW20" s="1211"/>
      <c r="EX20" s="1211"/>
      <c r="EY20" s="1211"/>
      <c r="EZ20" s="1211"/>
      <c r="FA20" s="1211"/>
      <c r="FB20" s="1211"/>
      <c r="FC20" s="1211"/>
      <c r="FD20" s="1211"/>
      <c r="FE20" s="1211"/>
      <c r="FF20" s="1211"/>
      <c r="FG20" s="1211"/>
      <c r="FH20" s="1211"/>
      <c r="FI20" s="1211"/>
      <c r="FJ20" s="1211"/>
      <c r="FK20" s="1211"/>
      <c r="FL20" s="1211"/>
      <c r="FM20" s="1211"/>
      <c r="FN20" s="1211"/>
      <c r="FO20" s="1211"/>
      <c r="FP20" s="1211"/>
      <c r="FQ20" s="1211"/>
      <c r="FR20" s="1211"/>
      <c r="FS20" s="1211"/>
      <c r="FT20" s="1211"/>
      <c r="FU20" s="1211"/>
      <c r="FV20" s="1211"/>
      <c r="FW20" s="1211"/>
      <c r="FX20" s="1212"/>
    </row>
    <row s="12745" customFormat="1" customHeight="1" ht="12">
      <c r="A21" s="947"/>
      <c r="B21" s="947"/>
      <c r="C21" s="947"/>
      <c r="D21" s="947"/>
      <c r="E21" s="947"/>
      <c r="F21" s="945"/>
      <c r="G21" s="945"/>
      <c r="H21" s="945"/>
      <c r="I21" s="945"/>
      <c r="J21" s="945"/>
      <c r="K21" s="945"/>
      <c r="L21" s="945"/>
      <c r="M21" s="945"/>
      <c r="N21" s="945"/>
      <c r="O21" s="945"/>
      <c r="P21" s="945"/>
      <c r="Q21" s="945"/>
      <c r="R21" s="945"/>
      <c r="S21" s="948"/>
      <c r="T21" s="948"/>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7"/>
      <c r="FY21" s="947"/>
      <c r="FZ21" s="947"/>
      <c r="GA21" s="947"/>
      <c r="GB21" s="947"/>
    </row>
    <row s="12745" customFormat="1" customHeight="1" ht="12">
      <c r="A22" s="947"/>
      <c r="B22" s="947"/>
      <c r="C22" s="947"/>
      <c r="D22" s="947"/>
      <c r="E22" s="947"/>
      <c r="FX22" s="947"/>
      <c r="FY22" s="947"/>
      <c r="FZ22" s="947"/>
      <c r="GA22" s="947"/>
      <c r="GB22" s="947"/>
    </row>
    <row s="12813" customFormat="1" customHeight="1" ht="12">
      <c r="A23" s="1069"/>
      <c r="B23" s="1069"/>
      <c r="C23" s="1069"/>
      <c r="D23" s="1069"/>
      <c r="E23" s="1069"/>
      <c r="O23" s="1071"/>
      <c r="P23" s="1071"/>
      <c r="Q23" s="1071"/>
      <c r="R23" s="1071"/>
      <c r="S23" s="1071"/>
      <c r="T23" s="1071"/>
      <c r="U23" s="1071"/>
      <c r="V23" s="1071"/>
      <c r="W23" s="1071"/>
      <c r="X23" s="1071"/>
      <c r="Y23" s="1071"/>
      <c r="Z23" s="1071"/>
      <c r="AA23" s="1071"/>
      <c r="AB23" s="1071"/>
      <c r="AC23" s="1071"/>
      <c r="AD23" s="1071"/>
      <c r="AE23" s="1071"/>
      <c r="AF23" s="1071"/>
      <c r="AG23" s="1071"/>
      <c r="AH23" s="1071"/>
      <c r="AI23" s="1071"/>
      <c r="AJ23" s="1071"/>
      <c r="AK23" s="1071"/>
      <c r="AL23" s="1071"/>
      <c r="AM23" s="1071"/>
      <c r="AN23" s="1071"/>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c r="BK23" s="1071"/>
      <c r="BL23" s="1071"/>
      <c r="BM23" s="1071"/>
      <c r="BN23" s="1071"/>
      <c r="BO23" s="1071"/>
      <c r="BP23" s="1071"/>
      <c r="BQ23" s="1071"/>
      <c r="BR23" s="1071"/>
      <c r="BS23" s="1071"/>
      <c r="BT23" s="1072"/>
      <c r="BU23" s="1072"/>
      <c r="BV23" s="1072"/>
      <c r="BW23" s="1072"/>
      <c r="BX23" s="1072"/>
      <c r="BY23" s="1072"/>
      <c r="BZ23" s="1072"/>
      <c r="CA23" s="1072"/>
      <c r="CB23" s="1072"/>
      <c r="CC23" s="1072"/>
      <c r="CD23" s="1072"/>
      <c r="CE23" s="1072"/>
      <c r="CF23" s="1072"/>
      <c r="CG23" s="1072"/>
      <c r="CH23" s="1072"/>
      <c r="CI23" s="1072"/>
      <c r="CJ23" s="1072"/>
      <c r="CK23" s="1072"/>
      <c r="CL23" s="1072"/>
      <c r="CM23" s="1072"/>
      <c r="CN23" s="1072"/>
      <c r="CO23" s="1072"/>
      <c r="CP23" s="1072"/>
      <c r="CQ23" s="1072"/>
      <c r="CR23" s="1072"/>
      <c r="CS23" s="1072"/>
      <c r="CT23" s="1072"/>
      <c r="CU23" s="1072"/>
      <c r="CV23" s="1072"/>
      <c r="CW23" s="1072"/>
      <c r="CX23" s="1072"/>
      <c r="CY23" s="1072"/>
      <c r="CZ23" s="1072"/>
      <c r="DA23" s="1072"/>
      <c r="DB23" s="1072"/>
      <c r="DC23" s="1072"/>
      <c r="DD23" s="1072"/>
      <c r="DE23" s="1072"/>
      <c r="DF23" s="1072"/>
      <c r="DG23" s="1072"/>
      <c r="DH23" s="1072"/>
      <c r="DI23" s="1072"/>
      <c r="DJ23" s="1072"/>
      <c r="DK23" s="1072"/>
      <c r="DL23" s="1072"/>
      <c r="DM23" s="1072"/>
      <c r="DN23" s="1072"/>
      <c r="DO23" s="1072"/>
      <c r="DP23" s="1072"/>
      <c r="DQ23" s="1072"/>
      <c r="DR23" s="1072"/>
      <c r="DS23" s="1072"/>
      <c r="DT23" s="1072"/>
      <c r="DU23" s="1072"/>
      <c r="DV23" s="1072"/>
      <c r="DW23" s="1072"/>
      <c r="DX23" s="1072"/>
      <c r="FX23" s="1069"/>
      <c r="FY23" s="1069"/>
      <c r="FZ23" s="1069"/>
      <c r="GA23" s="1069"/>
      <c r="GB23" s="1069"/>
    </row>
    <row customHeight="1" ht="12">
      <c r="S24" s="944"/>
      <c r="T24" s="944"/>
      <c r="U24" s="944"/>
      <c r="V24" s="944"/>
      <c r="W24" s="944"/>
      <c r="X24" s="944"/>
      <c r="Y24" s="944"/>
      <c r="Z24" s="944"/>
      <c r="AA24" s="944"/>
      <c r="AB24" s="944"/>
      <c r="FX24" s="944"/>
      <c r="FY24" s="944"/>
      <c r="FZ24" s="944"/>
      <c r="GA24" s="944"/>
      <c r="GB24" s="944"/>
    </row>
  </sheetData>
  <sheetProtection formatColumns="0" formatRows="0" autoFilter="0" sort="0" insertRows="0" insertColumns="1" deleteRows="0" deleteColumns="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60D912-D52A-7EAE-76E4-D71D8BCF6766}" mc:Ignorable="x14ac xr xr2 xr3">
  <sheetPr>
    <tabColor rgb="FFCCCCFF"/>
  </sheetPr>
  <dimension ref="A1:AL16"/>
  <sheetViews>
    <sheetView topLeftCell="A1" showGridLines="0" zoomScale="90" workbookViewId="0">
      <selection activeCell="A1" sqref="A1"/>
    </sheetView>
  </sheetViews>
  <sheetFormatPr defaultColWidth="9.140625" customHeight="1" defaultRowHeight="11.25"/>
  <cols>
    <col min="1" max="1" style="2785" width="6.421875" hidden="1" customWidth="1"/>
    <col min="2" max="2" style="2785" width="2.00390625" hidden="1" customWidth="1"/>
    <col min="3" max="3" style="2785" width="3.7109375" customWidth="1"/>
    <col min="4" max="4" style="2785" width="4.28125" customWidth="1"/>
    <col min="5" max="5" style="2785" width="45.00390625" customWidth="1"/>
    <col min="6" max="6" style="2785" width="6.421875" customWidth="1"/>
    <col min="7" max="7" style="2785" width="4.421875" customWidth="1"/>
    <col min="8" max="8" style="2785" width="5.57421875" customWidth="1"/>
    <col min="9" max="9" style="2785" width="52.8515625" customWidth="1"/>
    <col min="10" max="10" style="2785" width="7.00390625" customWidth="1"/>
    <col min="11" max="11" style="2785" width="3.7109375" customWidth="1"/>
    <col min="12" max="12" style="2785" width="6.28125" customWidth="1"/>
    <col min="13" max="13" style="2785" width="56.28125" customWidth="1"/>
    <col min="14" max="14" style="2707" width="9.140625"/>
    <col min="15" max="20" style="2744" width="9.140625" hidden="1"/>
    <col min="21" max="24" style="2786" width="9.140625" hidden="1"/>
    <col min="25" max="37" style="2707" width="9.140625" hidden="1"/>
    <col min="38" max="38" style="2707" width="9.140625"/>
  </cols>
  <sheetData>
    <row customHeight="1" ht="11.25" hidden="1"/>
    <row customHeight="1" ht="11.25" hidden="1"/>
    <row r="4" customHeight="1" ht="34.5">
      <c r="A4" s="591"/>
      <c r="B4" s="591"/>
      <c r="D4" s="1963" t="str">
        <f>Титульный!E5</f>
        <v>Показатели, подлежащие раскрытию в сфере теплоснабжения (цены и тарифы)</v>
      </c>
      <c r="E4" s="1964"/>
      <c r="F4" s="1964"/>
      <c r="G4" s="1964"/>
      <c r="H4" s="1964"/>
      <c r="I4" s="1965"/>
      <c r="J4" s="590"/>
      <c r="K4" s="590"/>
      <c r="L4" s="590"/>
      <c r="M4" s="590"/>
    </row>
    <row s="2708" customFormat="1" customHeight="1" ht="15">
      <c r="A5" s="591"/>
      <c r="B5" s="591"/>
      <c r="C5" s="591"/>
      <c r="D5" s="1966" t="str">
        <f>IF(org=0,"Не определено",org)</f>
        <v>АО "Мурманэнергосбыт"</v>
      </c>
      <c r="E5" s="1967"/>
      <c r="F5" s="1967"/>
      <c r="G5" s="1967"/>
      <c r="H5" s="1967"/>
      <c r="I5" s="1968"/>
      <c r="J5" s="592"/>
      <c r="K5" s="592"/>
      <c r="L5" s="592"/>
      <c r="M5" s="592"/>
      <c r="N5" s="592"/>
      <c r="O5" s="876"/>
      <c r="P5" s="876"/>
      <c r="Q5" s="876"/>
      <c r="R5" s="876"/>
      <c r="S5" s="876"/>
      <c r="T5" s="876"/>
      <c r="U5" s="1290"/>
      <c r="V5" s="1290"/>
      <c r="W5" s="1290"/>
      <c r="X5" s="1290"/>
      <c r="Y5" s="592"/>
      <c r="Z5" s="592"/>
      <c r="AA5" s="592"/>
      <c r="AB5" s="592"/>
      <c r="AC5" s="592"/>
      <c r="AD5" s="592"/>
      <c r="AE5" s="592"/>
      <c r="AF5" s="592"/>
      <c r="AG5" s="592"/>
      <c r="AH5" s="592"/>
      <c r="AI5" s="592"/>
      <c r="AJ5" s="592"/>
      <c r="AK5" s="592"/>
      <c r="AL5" s="592"/>
    </row>
    <row s="2715" customFormat="1" customHeight="1" ht="6">
      <c r="A6" s="1969"/>
      <c r="B6" s="1969"/>
      <c r="C6" s="1969"/>
      <c r="D6" s="1969"/>
      <c r="E6" s="1969"/>
      <c r="F6" s="1969"/>
      <c r="G6" s="594"/>
      <c r="H6" s="594"/>
      <c r="I6" s="594"/>
      <c r="J6" s="594"/>
      <c r="K6" s="594"/>
      <c r="N6" s="596"/>
      <c r="O6" s="1444"/>
      <c r="P6" s="1444"/>
      <c r="Q6" s="1444"/>
      <c r="R6" s="1444"/>
      <c r="S6" s="1444"/>
      <c r="T6" s="1444"/>
      <c r="U6" s="1293"/>
      <c r="V6" s="1293"/>
      <c r="W6" s="1293"/>
      <c r="X6" s="1293"/>
      <c r="Y6" s="596"/>
      <c r="Z6" s="596"/>
      <c r="AA6" s="596"/>
      <c r="AB6" s="596"/>
      <c r="AC6" s="596"/>
      <c r="AD6" s="596"/>
      <c r="AE6" s="596"/>
      <c r="AF6" s="596"/>
      <c r="AG6" s="596"/>
      <c r="AH6" s="596"/>
      <c r="AI6" s="596"/>
      <c r="AJ6" s="596"/>
      <c r="AK6" s="596"/>
      <c r="AL6" s="596"/>
    </row>
    <row customHeight="1" ht="45.75" hidden="1">
      <c r="E7" s="197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975"/>
      <c r="G7" s="1975"/>
      <c r="H7" s="1975"/>
      <c r="I7" s="1975"/>
      <c r="J7" s="1975"/>
      <c r="K7" s="1975"/>
      <c r="L7" s="1975"/>
      <c r="M7" s="1975"/>
    </row>
    <row s="2708" customFormat="1" customHeight="1" ht="6">
      <c r="A8" s="597"/>
      <c r="B8" s="597"/>
      <c r="C8" s="597"/>
      <c r="D8" s="597"/>
      <c r="E8" s="597"/>
      <c r="F8" s="597"/>
      <c r="G8" s="597"/>
      <c r="H8" s="597"/>
      <c r="I8" s="597"/>
      <c r="J8" s="597"/>
      <c r="K8" s="597"/>
      <c r="L8" s="597"/>
      <c r="M8" s="595"/>
      <c r="N8" s="592"/>
      <c r="O8" s="876"/>
      <c r="P8" s="876"/>
      <c r="Q8" s="876"/>
      <c r="R8" s="876"/>
      <c r="S8" s="876"/>
      <c r="T8" s="876"/>
      <c r="U8" s="1290"/>
      <c r="V8" s="1290"/>
      <c r="W8" s="1290"/>
      <c r="X8" s="1290"/>
      <c r="Y8" s="592"/>
      <c r="Z8" s="592"/>
      <c r="AA8" s="592"/>
      <c r="AB8" s="592"/>
      <c r="AC8" s="592"/>
      <c r="AD8" s="592"/>
      <c r="AE8" s="592"/>
      <c r="AF8" s="592"/>
      <c r="AG8" s="592"/>
      <c r="AH8" s="592"/>
      <c r="AI8" s="592"/>
      <c r="AJ8" s="592"/>
      <c r="AK8" s="592"/>
      <c r="AL8" s="592"/>
    </row>
    <row customHeight="1" ht="18">
      <c r="A9" s="1970"/>
      <c r="B9" s="318"/>
      <c r="C9" s="318"/>
      <c r="D9" s="1971" t="s">
        <v>189</v>
      </c>
      <c r="E9" s="1971"/>
      <c r="F9" s="1972" t="s">
        <v>190</v>
      </c>
      <c r="G9" s="1973"/>
      <c r="H9" s="1973"/>
      <c r="I9" s="1973"/>
      <c r="J9" s="1976" t="s">
        <v>191</v>
      </c>
      <c r="K9" s="1976"/>
      <c r="L9" s="1976"/>
      <c r="M9" s="1976"/>
    </row>
    <row customHeight="1" ht="22.5">
      <c r="A10" s="1970"/>
      <c r="B10" s="598"/>
      <c r="C10" s="531"/>
      <c r="D10" s="529" t="s">
        <v>89</v>
      </c>
      <c r="E10" s="529" t="s">
        <v>90</v>
      </c>
      <c r="F10" s="529" t="s">
        <v>192</v>
      </c>
      <c r="G10" s="1977" t="s">
        <v>89</v>
      </c>
      <c r="H10" s="1978"/>
      <c r="I10" s="529" t="s">
        <v>90</v>
      </c>
      <c r="J10" s="529" t="s">
        <v>192</v>
      </c>
      <c r="K10" s="1977" t="s">
        <v>89</v>
      </c>
      <c r="L10" s="1978"/>
      <c r="M10" s="529" t="s">
        <v>90</v>
      </c>
      <c r="N10" s="1667"/>
    </row>
    <row s="2736" customFormat="1" customHeight="1" ht="11.25" hidden="1">
      <c r="A11" s="599"/>
      <c r="B11" s="599"/>
      <c r="C11" s="599"/>
      <c r="D11" s="600" t="s">
        <v>193</v>
      </c>
      <c r="E11" s="600" t="s">
        <v>104</v>
      </c>
      <c r="F11" s="600" t="s">
        <v>91</v>
      </c>
      <c r="G11" s="1959" t="s">
        <v>92</v>
      </c>
      <c r="H11" s="1960"/>
      <c r="I11" s="600" t="s">
        <v>116</v>
      </c>
      <c r="J11" s="600" t="s">
        <v>93</v>
      </c>
      <c r="K11" s="1961" t="s">
        <v>94</v>
      </c>
      <c r="L11" s="1962"/>
      <c r="M11" s="600" t="s">
        <v>130</v>
      </c>
      <c r="N11" s="1666"/>
      <c r="O11" s="1443"/>
      <c r="P11" s="1445"/>
      <c r="Q11" s="1445"/>
      <c r="R11" s="1445"/>
      <c r="S11" s="1445"/>
      <c r="T11" s="1445"/>
      <c r="U11" s="1294"/>
      <c r="V11" s="1294"/>
      <c r="W11" s="1294"/>
      <c r="X11" s="1294"/>
      <c r="Y11" s="601"/>
      <c r="Z11" s="601"/>
      <c r="AA11" s="601"/>
      <c r="AB11" s="601"/>
      <c r="AC11" s="601"/>
      <c r="AD11" s="601"/>
      <c r="AE11" s="601"/>
      <c r="AF11" s="601"/>
      <c r="AG11" s="601"/>
      <c r="AH11" s="601"/>
      <c r="AI11" s="601"/>
      <c r="AJ11" s="601"/>
      <c r="AK11" s="601"/>
      <c r="AL11" s="601"/>
    </row>
    <row customHeight="1" ht="0.75">
      <c r="A12" s="603"/>
      <c r="B12" s="604"/>
      <c r="C12" s="604"/>
      <c r="D12" s="605"/>
      <c r="E12" s="367"/>
      <c r="F12" s="606"/>
      <c r="G12" s="1066"/>
      <c r="H12" s="1066"/>
      <c r="I12" s="606"/>
      <c r="J12" s="606"/>
      <c r="K12" s="160"/>
      <c r="L12" s="367"/>
      <c r="M12" s="607"/>
      <c r="N12" s="1667"/>
      <c r="O12" s="1443" t="s">
        <v>194</v>
      </c>
      <c r="P12" s="1443" t="s">
        <v>195</v>
      </c>
      <c r="Q12" s="1443" t="s">
        <v>196</v>
      </c>
      <c r="R12" s="1443" t="s">
        <v>197</v>
      </c>
    </row>
    <row s="2756" customFormat="1" customHeight="1" ht="15">
      <c r="A13" s="281"/>
      <c r="B13" s="281"/>
      <c r="C13" s="532"/>
      <c r="D13" s="1982" t="s">
        <v>193</v>
      </c>
      <c r="E13" s="1983"/>
      <c r="F13" s="1986" t="s">
        <v>63</v>
      </c>
      <c r="G13" s="1987"/>
      <c r="H13" s="1988">
        <v>1</v>
      </c>
      <c r="I13" s="1979" t="str">
        <f>IF(U13="","",INDEX(TERRITORY_MR_LIST,MATCH(U13,TERRITORY_LIST_ID,0)))</f>
        <v/>
      </c>
      <c r="J13" s="1981" t="s">
        <v>58</v>
      </c>
      <c r="K13" s="608"/>
      <c r="L13" s="533" t="s">
        <v>193</v>
      </c>
      <c r="M13" s="609" t="s">
        <v>24</v>
      </c>
      <c r="N13" s="818"/>
      <c r="O13" s="1446" t="s">
        <v>198</v>
      </c>
      <c r="P13" s="1443">
        <f>$E$13</f>
        <v>0</v>
      </c>
      <c r="Q13" s="1443" t="str">
        <f>IF($F$13="нет","без дифференциации",$I$13)</f>
        <v/>
      </c>
      <c r="R13" s="1443" t="str">
        <f>IF($J$13="нет","без дифференциации",M13)</f>
        <v>без дифференциации</v>
      </c>
      <c r="S13" s="1446"/>
      <c r="T13" s="1446"/>
      <c r="U13" s="1295"/>
      <c r="V13" s="1295"/>
      <c r="W13" s="1295"/>
      <c r="X13" s="1295"/>
      <c r="Y13" s="610" t="s">
        <v>199</v>
      </c>
      <c r="Z13" s="610">
        <v>1705000</v>
      </c>
      <c r="AA13" s="610"/>
      <c r="AB13" s="610"/>
      <c r="AC13" s="610"/>
      <c r="AD13" s="610"/>
      <c r="AE13" s="610"/>
      <c r="AF13" s="610"/>
      <c r="AG13" s="610"/>
      <c r="AH13" s="610"/>
      <c r="AI13" s="610"/>
      <c r="AJ13" s="610"/>
      <c r="AK13" s="610"/>
      <c r="AL13" s="610"/>
    </row>
    <row s="2756" customFormat="1" customHeight="1" ht="15">
      <c r="A14" s="281"/>
      <c r="B14" s="281"/>
      <c r="C14" s="162"/>
      <c r="D14" s="1982"/>
      <c r="E14" s="1984"/>
      <c r="F14" s="1981"/>
      <c r="G14" s="1987"/>
      <c r="H14" s="1988"/>
      <c r="I14" s="1980"/>
      <c r="J14" s="1981"/>
      <c r="K14" s="427"/>
      <c r="L14" s="163"/>
      <c r="M14" s="613" t="s">
        <v>200</v>
      </c>
      <c r="N14" s="818"/>
      <c r="O14" s="1446"/>
      <c r="P14" s="1443"/>
      <c r="Q14" s="1443"/>
      <c r="R14" s="1443"/>
      <c r="S14" s="1446"/>
      <c r="T14" s="1446"/>
      <c r="U14" s="1295"/>
      <c r="V14" s="1295"/>
      <c r="W14" s="1295"/>
      <c r="X14" s="1295"/>
      <c r="Y14" s="610"/>
      <c r="Z14" s="610"/>
      <c r="AA14" s="610"/>
      <c r="AB14" s="610"/>
      <c r="AC14" s="610"/>
      <c r="AD14" s="610"/>
      <c r="AE14" s="610"/>
      <c r="AF14" s="610"/>
      <c r="AG14" s="610"/>
      <c r="AH14" s="610"/>
      <c r="AI14" s="610"/>
      <c r="AJ14" s="610"/>
      <c r="AK14" s="610"/>
      <c r="AL14" s="610"/>
    </row>
    <row s="2756" customFormat="1" customHeight="1" ht="15">
      <c r="A15" s="281"/>
      <c r="B15" s="281"/>
      <c r="C15" s="162"/>
      <c r="D15" s="1982"/>
      <c r="E15" s="1985"/>
      <c r="F15" s="1981"/>
      <c r="G15" s="1067"/>
      <c r="H15" s="1068"/>
      <c r="I15" s="586" t="s">
        <v>201</v>
      </c>
      <c r="J15" s="163"/>
      <c r="K15" s="163"/>
      <c r="L15" s="163"/>
      <c r="M15" s="614"/>
      <c r="N15" s="818"/>
      <c r="O15" s="1446"/>
      <c r="P15" s="1443"/>
      <c r="Q15" s="1443"/>
      <c r="R15" s="1443"/>
      <c r="S15" s="1446"/>
      <c r="T15" s="1446"/>
      <c r="U15" s="1295"/>
      <c r="V15" s="1295"/>
      <c r="W15" s="1295"/>
      <c r="X15" s="1295"/>
      <c r="Y15" s="610"/>
      <c r="Z15" s="610"/>
      <c r="AA15" s="610"/>
      <c r="AB15" s="610"/>
      <c r="AC15" s="610"/>
      <c r="AD15" s="610"/>
      <c r="AE15" s="610"/>
      <c r="AF15" s="610"/>
      <c r="AG15" s="610"/>
      <c r="AH15" s="610"/>
      <c r="AI15" s="610"/>
      <c r="AJ15" s="610"/>
      <c r="AK15" s="610"/>
      <c r="AL15" s="610"/>
    </row>
    <row customHeight="1" ht="15">
      <c r="A16" s="615"/>
      <c r="B16" s="121"/>
      <c r="C16" s="812"/>
      <c r="D16" s="427"/>
      <c r="E16" s="577" t="s">
        <v>202</v>
      </c>
      <c r="F16" s="163"/>
      <c r="G16" s="163"/>
      <c r="H16" s="163"/>
      <c r="I16" s="163"/>
      <c r="J16" s="163"/>
      <c r="K16" s="163" t="s">
        <v>24</v>
      </c>
      <c r="L16" s="163"/>
      <c r="M16" s="614"/>
      <c r="N16" s="1667"/>
    </row>
  </sheetData>
  <sheetProtection formatColumns="0" formatRows="0" autoFilter="0" sort="0" insertRows="0" insertColumns="1" deleteRows="0" deleteColumns="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76688C-3FD1-349D-C726-4610E251784D}" mc:Ignorable="x14ac xr xr2 xr3">
  <sheetPr>
    <tabColor theme="2" tint="-0.1"/>
  </sheetPr>
  <dimension ref="A1:R22"/>
  <sheetViews>
    <sheetView topLeftCell="A1" showGridLines="0" zoomScale="90" workbookViewId="0">
      <selection activeCell="A1" sqref="A1"/>
    </sheetView>
  </sheetViews>
  <sheetFormatPr defaultColWidth="10.57421875" customHeight="1" defaultRowHeight="15"/>
  <cols>
    <col min="1" max="1" style="3193" width="9.140625" hidden="1" customWidth="1"/>
    <col min="2" max="2" style="3195" width="9.140625" hidden="1" customWidth="1"/>
    <col min="3" max="3" style="12640" width="4.7109375" customWidth="1"/>
    <col min="4" max="4" style="3195" width="6.28125" customWidth="1"/>
    <col min="5" max="5" style="3195" width="36.7109375" customWidth="1"/>
    <col min="6" max="6" style="3195" width="9.57421875" customWidth="1"/>
    <col min="7" max="7" style="2624" width="42.421875" hidden="1" customWidth="1"/>
    <col min="8" max="8" style="3195" width="40.7109375" customWidth="1"/>
    <col min="9" max="9" style="2625" width="93.421875" customWidth="1"/>
    <col min="10" max="17" style="3195" width="10.57421875"/>
    <col min="18" max="18" style="12574" width="10.57421875"/>
  </cols>
  <sheetData>
    <row s="2625" customFormat="1" customHeight="1" ht="15" hidden="1">
      <c r="C1" s="678"/>
      <c r="H1" s="423">
        <v>4</v>
      </c>
      <c r="R1" s="426"/>
    </row>
    <row customHeight="1" ht="22.5" hidden="1">
      <c r="D2" s="545"/>
      <c r="E2" s="669"/>
      <c r="F2" s="1801" t="str">
        <f>IF(TEMPLATE_SPHERE="HEAT","Гкал/час","тыс. куб. м/сутки")</f>
        <v>Гкал/час</v>
      </c>
      <c r="G2" s="686"/>
      <c r="H2" s="686"/>
      <c r="I2" s="277"/>
    </row>
    <row s="2625" customFormat="1" customHeight="1" ht="15" hidden="1">
      <c r="C3" s="678"/>
      <c r="R3" s="426"/>
    </row>
    <row customHeight="1" ht="15">
      <c r="C4" s="162"/>
      <c r="D4" s="515"/>
      <c r="E4" s="515"/>
      <c r="F4" s="515"/>
      <c r="G4" s="515"/>
      <c r="H4" s="515"/>
    </row>
    <row customHeight="1" ht="37.5">
      <c r="C5" s="162"/>
      <c r="D5" s="208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085"/>
      <c r="F5" s="2085"/>
      <c r="G5" s="2085"/>
      <c r="H5" s="2085"/>
      <c r="I5" s="543"/>
    </row>
    <row customHeight="1" ht="15">
      <c r="C6" s="162"/>
      <c r="D6" s="2053" t="str">
        <f>IF(org=0,"Не определено",org)</f>
        <v>АО "Мурманэнергосбыт"</v>
      </c>
      <c r="E6" s="2053"/>
      <c r="F6" s="2053"/>
      <c r="G6" s="2053"/>
      <c r="H6" s="2053"/>
      <c r="I6" s="543"/>
    </row>
    <row s="2624" customFormat="1" customHeight="1" ht="15">
      <c r="A7" s="765"/>
      <c r="C7" s="162"/>
      <c r="D7" s="682"/>
      <c r="E7" s="682"/>
      <c r="F7" s="682"/>
      <c r="G7" s="682"/>
      <c r="H7" s="758"/>
      <c r="I7" s="543"/>
      <c r="R7" s="681"/>
    </row>
    <row customHeight="1" ht="0.75">
      <c r="C8" s="162"/>
      <c r="D8" s="515"/>
      <c r="E8" s="515"/>
      <c r="F8" s="515"/>
      <c r="G8" s="515"/>
      <c r="H8" s="543" t="s">
        <v>198</v>
      </c>
    </row>
    <row customHeight="1" ht="15">
      <c r="C9" s="162"/>
      <c r="D9" s="717"/>
      <c r="E9" s="2213" t="s">
        <v>189</v>
      </c>
      <c r="F9" s="2214"/>
      <c r="G9" s="822" t="str">
        <f>IF(G8="","",INDEX(DIFFERENTIATION_UNMERGE_VD,MATCH(G8,DIFFERENTIATION_ID_DIFF,0)))</f>
        <v/>
      </c>
      <c r="H9" s="822">
        <f>IF(H8="","",INDEX(DIFFERENTIATION_UNMERGE_VD,MATCH(H8,DIFFERENTIATION_ID_DIFF,0)))</f>
        <v>0</v>
      </c>
      <c r="I9" s="1971" t="s">
        <v>514</v>
      </c>
    </row>
    <row s="2624" customFormat="1" customHeight="1" ht="15">
      <c r="A10" s="765"/>
      <c r="C10" s="162"/>
      <c r="D10" s="717"/>
      <c r="E10" s="2213" t="s">
        <v>771</v>
      </c>
      <c r="F10" s="2214"/>
      <c r="G10" s="822" t="str">
        <f>IF(G8="","",INDEX(DIFFERENTIATION_UNMERGE_AREA,MATCH(G8,DIFFERENTIATION_ID_DIFF,0)))</f>
        <v/>
      </c>
      <c r="H10" s="822" t="str">
        <f>IF(H8="","",INDEX(DIFFERENTIATION_UNMERGE_AREA,MATCH(H8,DIFFERENTIATION_ID_DIFF,0)))</f>
        <v/>
      </c>
      <c r="I10" s="1971"/>
      <c r="R10" s="681"/>
    </row>
    <row s="2624" customFormat="1" customHeight="1" ht="15">
      <c r="A11" s="765"/>
      <c r="C11" s="162"/>
      <c r="D11" s="717"/>
      <c r="E11" s="2213" t="s">
        <v>772</v>
      </c>
      <c r="F11" s="2214"/>
      <c r="G11" s="822" t="str">
        <f>IF(G8="","",INDEX(DIFFERENTIATION_UNMERGE_SYSTEM,MATCH(G8,DIFFERENTIATION_ID_DIFF,0)))</f>
        <v/>
      </c>
      <c r="H11" s="822" t="str">
        <f>IF(H8="","",INDEX(DIFFERENTIATION_UNMERGE_SYSTEM,MATCH(H8,DIFFERENTIATION_ID_DIFF,0)))</f>
        <v>без дифференциации</v>
      </c>
      <c r="I11" s="1971"/>
      <c r="R11" s="681"/>
    </row>
    <row s="2624" customFormat="1" customHeight="1" ht="15">
      <c r="A12" s="765"/>
      <c r="C12" s="162"/>
      <c r="D12" s="2215" t="s">
        <v>513</v>
      </c>
      <c r="E12" s="2216"/>
      <c r="F12" s="2216"/>
      <c r="G12" s="893"/>
      <c r="H12" s="893"/>
      <c r="I12" s="1971"/>
      <c r="R12" s="681"/>
    </row>
    <row customHeight="1" ht="33.75">
      <c r="C13" s="162"/>
      <c r="D13" s="767" t="s">
        <v>89</v>
      </c>
      <c r="E13" s="766" t="s">
        <v>515</v>
      </c>
      <c r="F13" s="766" t="s">
        <v>773</v>
      </c>
      <c r="G13" s="814" t="s">
        <v>516</v>
      </c>
      <c r="H13" s="760" t="s">
        <v>516</v>
      </c>
      <c r="I13" s="1971"/>
    </row>
    <row customHeight="1" ht="15" hidden="1">
      <c r="C14" s="162"/>
      <c r="D14" s="599" t="s">
        <v>193</v>
      </c>
      <c r="E14" s="599" t="s">
        <v>104</v>
      </c>
      <c r="F14" s="599" t="s">
        <v>91</v>
      </c>
      <c r="G14" s="665" t="str">
        <f>G1&amp;".1"</f>
        <v>.1</v>
      </c>
      <c r="H14" s="665" t="str">
        <f>H1&amp;".1"</f>
        <v>4.1</v>
      </c>
      <c r="I14" s="277"/>
    </row>
    <row customHeight="1" ht="15">
      <c r="A15" s="511"/>
      <c r="C15" s="532"/>
      <c r="D15" s="527">
        <v>1</v>
      </c>
      <c r="E15" s="683" t="str">
        <f>TP_P_A</f>
        <v>Количество поданных заявок</v>
      </c>
      <c r="F15" s="527" t="s">
        <v>1236</v>
      </c>
      <c r="G15" s="691"/>
      <c r="H15" s="691"/>
      <c r="I15" s="19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customHeight="1" ht="15">
      <c r="A16" s="511"/>
      <c r="C16" s="532"/>
      <c r="D16" s="527">
        <v>2</v>
      </c>
      <c r="E16" s="267" t="str">
        <f>TP_P_B</f>
        <v>Количество рассмотренных заявок</v>
      </c>
      <c r="F16" s="527" t="s">
        <v>1236</v>
      </c>
      <c r="G16" s="691"/>
      <c r="H16" s="691"/>
      <c r="I16" s="19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customHeight="1" ht="33.75">
      <c r="A17" s="511"/>
      <c r="C17" s="532"/>
      <c r="D17" s="527">
        <v>3</v>
      </c>
      <c r="E17" s="267"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27" t="s">
        <v>1236</v>
      </c>
      <c r="G17" s="691"/>
      <c r="H17" s="691"/>
      <c r="I17" s="194" t="str">
        <f>TP_P_NOTE_V</f>
        <v>Указывается количество заявок с решением об отказе в течение отчетного квартала.</v>
      </c>
    </row>
    <row customHeight="1" ht="36">
      <c r="A18" s="511"/>
      <c r="C18" s="532"/>
      <c r="D18" s="527">
        <v>4</v>
      </c>
      <c r="E18" s="267" t="str">
        <f>TP_P_V_1</f>
        <v>Причины отказа в заключении договора о подключении (технологическом присоединении) к системе теплоснабжения</v>
      </c>
      <c r="F18" s="527" t="s">
        <v>519</v>
      </c>
      <c r="G18" s="692"/>
      <c r="H18" s="692"/>
      <c r="I18" s="844"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row>
    <row customHeight="1" ht="57">
      <c r="A19" s="511"/>
      <c r="C19" s="532"/>
      <c r="D19" s="527">
        <v>5</v>
      </c>
      <c r="E19" s="267" t="str">
        <f>TP_P_G</f>
        <v>Резерв мощности источников тепловой энергии, входящих в систему теплоснабжения, в течение одного квартала, в том числе:</v>
      </c>
      <c r="F19" s="527" t="str">
        <f>IF(TEMPLATE_SPHERE="HEAT","Гкал/час","тыс. куб. м/сутки")</f>
        <v>Гкал/час</v>
      </c>
      <c r="G19" s="693">
        <f>SUM(G20:G22)</f>
        <v>0</v>
      </c>
      <c r="H19" s="693">
        <f>SUM(H20:H22)</f>
        <v>0</v>
      </c>
      <c r="I19" s="194"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customHeight="1" ht="15" hidden="1">
      <c r="D20" s="515" t="s">
        <v>1237</v>
      </c>
      <c r="E20" s="694"/>
      <c r="F20" s="515"/>
      <c r="G20" s="515"/>
      <c r="H20" s="515"/>
      <c r="I20" s="1803"/>
    </row>
    <row customHeight="1" ht="27.75">
      <c r="C21" s="457"/>
      <c r="D21" s="545" t="s">
        <v>528</v>
      </c>
      <c r="E21" s="676"/>
      <c r="F21" s="1801" t="str">
        <f>IF(TEMPLATE_SPHERE="HEAT","Гкал/час","тыс. куб. м/сутки")</f>
        <v>Гкал/час</v>
      </c>
      <c r="G21" s="686"/>
      <c r="H21" s="686"/>
      <c r="I21" s="2015"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customHeight="1" ht="15">
      <c r="A22" s="511"/>
      <c r="C22" s="511"/>
      <c r="D22" s="343"/>
      <c r="E22" s="586" t="s">
        <v>1238</v>
      </c>
      <c r="F22" s="578"/>
      <c r="G22" s="578"/>
      <c r="H22" s="578"/>
      <c r="I22" s="2017"/>
      <c r="R22" s="511"/>
    </row>
  </sheetData>
  <sheetProtection formatColumns="0" formatRows="0" autoFilter="0" sort="0" insertRows="0" insertColumns="1" deleteRows="0" deleteColumns="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D1FED7-7DDC-ED09-B612-8E38F77C4F5B}" mc:Ignorable="x14ac xr xr2 xr3">
  <sheetPr>
    <tabColor theme="6" tint="0.4"/>
    <pageSetUpPr fitToPage="1"/>
  </sheetPr>
  <dimension ref="A1:P31"/>
  <sheetViews>
    <sheetView topLeftCell="A1" showGridLines="0" zoomScale="90" workbookViewId="0">
      <selection activeCell="A1" sqref="A1"/>
    </sheetView>
  </sheetViews>
  <sheetFormatPr defaultColWidth="10.57421875" customHeight="1" defaultRowHeight="14.25"/>
  <cols>
    <col min="1" max="1" style="12881" width="9.140625" hidden="1" customWidth="1"/>
    <col min="2" max="2" style="12862" width="9.140625" hidden="1" customWidth="1"/>
    <col min="3" max="3" style="12882" width="3.7109375" customWidth="1"/>
    <col min="4" max="4" style="2698" width="6.28125" customWidth="1"/>
    <col min="5" max="6" style="2698" width="64.140625" customWidth="1"/>
    <col min="7" max="7" style="2698" width="141.140625" customWidth="1"/>
    <col min="8" max="8" style="2698" width="10.57421875"/>
    <col min="9" max="10" style="2630" width="10.57421875"/>
    <col min="11" max="16" style="2698" width="10.57421875"/>
  </cols>
  <sheetData>
    <row customHeight="1" ht="14.25" hidden="1">
      <c r="M1" s="241"/>
      <c r="N1" s="241"/>
      <c r="P1" s="241"/>
    </row>
    <row customHeight="1" ht="14.25" hidden="1"/>
    <row customHeight="1" ht="14.25" hidden="1"/>
    <row customHeight="1" ht="3">
      <c r="C4" s="82"/>
      <c r="D4" s="69"/>
      <c r="E4" s="69"/>
      <c r="F4" s="70"/>
      <c r="G4" s="70"/>
    </row>
    <row customHeight="1" ht="27.75">
      <c r="C5" s="82"/>
      <c r="D5" s="229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97"/>
      <c r="F5" s="2297"/>
      <c r="G5" s="2298"/>
    </row>
    <row s="2624" customFormat="1" customHeight="1" ht="18">
      <c r="A6" s="888"/>
      <c r="B6" s="423"/>
      <c r="C6" s="377"/>
      <c r="D6" s="2299" t="str">
        <f>IF(org=0,"Не определено",org)</f>
        <v>АО "Мурманэнергосбыт"</v>
      </c>
      <c r="E6" s="2300"/>
      <c r="F6" s="2300"/>
      <c r="G6" s="2301"/>
      <c r="I6" s="506"/>
      <c r="J6" s="506"/>
    </row>
    <row customHeight="1" ht="14.25">
      <c r="C7" s="82"/>
      <c r="D7" s="69"/>
      <c r="E7" s="81"/>
      <c r="F7" s="758"/>
      <c r="G7" s="179"/>
    </row>
    <row s="2993" customFormat="1" customHeight="1" ht="0.75">
      <c r="A8" s="1709"/>
      <c r="B8" s="1168"/>
      <c r="C8" s="377"/>
      <c r="D8" s="361"/>
      <c r="E8" s="395"/>
      <c r="F8" s="758"/>
      <c r="G8" s="179"/>
      <c r="I8" s="1664"/>
      <c r="J8" s="1664"/>
    </row>
    <row customHeight="1" ht="14.25">
      <c r="C9" s="82"/>
      <c r="D9" s="2062" t="s">
        <v>513</v>
      </c>
      <c r="E9" s="2062"/>
      <c r="F9" s="2062"/>
      <c r="G9" s="2302" t="s">
        <v>514</v>
      </c>
    </row>
    <row customHeight="1" ht="14.25">
      <c r="C10" s="82"/>
      <c r="D10" s="91" t="s">
        <v>89</v>
      </c>
      <c r="E10" s="94" t="s">
        <v>515</v>
      </c>
      <c r="F10" s="94" t="s">
        <v>605</v>
      </c>
      <c r="G10" s="2302"/>
    </row>
    <row customHeight="1" ht="12" hidden="1">
      <c r="C11" s="82"/>
      <c r="D11" s="72"/>
      <c r="E11" s="72"/>
      <c r="F11" s="72"/>
      <c r="G11" s="72"/>
    </row>
    <row customHeight="1" ht="62.25">
      <c r="A12" s="178"/>
      <c r="C12" s="82"/>
      <c r="D12" s="133">
        <v>1</v>
      </c>
      <c r="E12" s="18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84" t="s">
        <v>519</v>
      </c>
      <c r="G12" s="137"/>
    </row>
    <row customHeight="1" ht="22.5">
      <c r="A13" s="178"/>
      <c r="C13" s="82"/>
      <c r="D13" s="133" t="s">
        <v>1143</v>
      </c>
      <c r="E13" s="18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84" t="s">
        <v>519</v>
      </c>
      <c r="G13" s="137"/>
    </row>
    <row customHeight="1" ht="14.25">
      <c r="A14" s="178"/>
      <c r="C14" s="82"/>
      <c r="D14" s="133" t="s">
        <v>1179</v>
      </c>
      <c r="E14" s="181"/>
      <c r="F14" s="199"/>
      <c r="G14" s="201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customHeight="1" ht="15">
      <c r="A15" s="178"/>
      <c r="C15" s="82"/>
      <c r="D15" s="95"/>
      <c r="E15" s="345" t="s">
        <v>1239</v>
      </c>
      <c r="F15" s="187"/>
      <c r="G15" s="2017"/>
    </row>
    <row customHeight="1" ht="14.25">
      <c r="A16" s="178"/>
      <c r="C16" s="82"/>
      <c r="D16" s="133" t="s">
        <v>1145</v>
      </c>
      <c r="E16" s="18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84" t="s">
        <v>519</v>
      </c>
      <c r="G16" s="333"/>
    </row>
    <row customHeight="1" ht="14.25">
      <c r="A17" s="178"/>
      <c r="C17" s="82"/>
      <c r="D17" s="133" t="s">
        <v>1187</v>
      </c>
      <c r="E17" s="181"/>
      <c r="F17" s="391"/>
      <c r="G17" s="201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s="12860" customFormat="1" customHeight="1" ht="21">
      <c r="A18" s="339"/>
      <c r="B18" s="132"/>
      <c r="C18" s="296"/>
      <c r="D18" s="343"/>
      <c r="E18" s="345" t="s">
        <v>1240</v>
      </c>
      <c r="F18" s="334"/>
      <c r="G18" s="2017"/>
      <c r="I18" s="346"/>
      <c r="J18" s="346"/>
    </row>
    <row s="2624" customFormat="1" customHeight="1" ht="256.5" hidden="1">
      <c r="A19" s="339"/>
      <c r="B19" s="423"/>
      <c r="C19" s="377"/>
      <c r="D19" s="890" t="s">
        <v>1147</v>
      </c>
      <c r="E19" s="889" t="s">
        <v>1241</v>
      </c>
      <c r="F19" s="391"/>
      <c r="G19" s="333" t="s">
        <v>1242</v>
      </c>
      <c r="I19" s="506"/>
      <c r="J19" s="506"/>
    </row>
    <row s="12860" customFormat="1" customHeight="1" ht="14.25">
      <c r="A20" s="339"/>
      <c r="B20" s="132"/>
      <c r="C20" s="296"/>
      <c r="D20" s="891">
        <v>2</v>
      </c>
      <c r="E20" s="326" t="s">
        <v>1243</v>
      </c>
      <c r="F20" s="184" t="s">
        <v>519</v>
      </c>
      <c r="G20" s="333"/>
      <c r="I20" s="346"/>
      <c r="J20" s="346"/>
    </row>
    <row s="12860" customFormat="1" customHeight="1" ht="18.75" hidden="1">
      <c r="A21" s="339"/>
      <c r="B21" s="132"/>
      <c r="C21" s="296"/>
      <c r="D21" s="329" t="s">
        <v>1073</v>
      </c>
      <c r="E21" s="328"/>
      <c r="F21" s="327"/>
      <c r="G21" s="337"/>
      <c r="H21" s="330"/>
      <c r="I21" s="346"/>
      <c r="J21" s="346"/>
    </row>
    <row customHeight="1" ht="15">
      <c r="A22" s="178"/>
      <c r="C22" s="82"/>
      <c r="D22" s="95"/>
      <c r="E22" s="189" t="s">
        <v>1244</v>
      </c>
      <c r="F22" s="334"/>
      <c r="G22" s="335"/>
    </row>
    <row s="2993" customFormat="1" customHeight="1" ht="22.5" hidden="1">
      <c r="A23" s="339"/>
      <c r="B23" s="1168"/>
      <c r="C23" s="377"/>
      <c r="D23" s="1713" t="s">
        <v>104</v>
      </c>
      <c r="E23" s="183" t="s">
        <v>1245</v>
      </c>
      <c r="F23" s="1710" t="s">
        <v>519</v>
      </c>
      <c r="G23" s="341"/>
      <c r="I23" s="1664"/>
      <c r="J23" s="1664"/>
    </row>
    <row s="2993" customFormat="1" customHeight="1" ht="14.25" hidden="1">
      <c r="A24" s="339"/>
      <c r="B24" s="1168"/>
      <c r="C24" s="377"/>
      <c r="D24" s="1713" t="s">
        <v>829</v>
      </c>
      <c r="E24" s="1712" t="s">
        <v>1246</v>
      </c>
      <c r="F24" s="1710" t="s">
        <v>519</v>
      </c>
      <c r="G24" s="333"/>
      <c r="I24" s="1664"/>
      <c r="J24" s="1664"/>
    </row>
    <row s="2993" customFormat="1" customHeight="1" ht="14.25" hidden="1">
      <c r="A25" s="339"/>
      <c r="B25" s="1168"/>
      <c r="C25" s="377"/>
      <c r="D25" s="1713" t="s">
        <v>832</v>
      </c>
      <c r="E25" s="181"/>
      <c r="F25" s="391"/>
      <c r="G25" s="2015" t="s">
        <v>1247</v>
      </c>
      <c r="I25" s="1664"/>
      <c r="J25" s="1664"/>
    </row>
    <row s="2993" customFormat="1" customHeight="1" ht="22.5" hidden="1">
      <c r="A26" s="339"/>
      <c r="B26" s="1168"/>
      <c r="C26" s="377"/>
      <c r="D26" s="343"/>
      <c r="E26" s="345" t="s">
        <v>1248</v>
      </c>
      <c r="F26" s="334"/>
      <c r="G26" s="2017"/>
      <c r="I26" s="1664"/>
      <c r="J26" s="1664"/>
    </row>
    <row customHeight="1" ht="3"/>
    <row customHeight="1" ht="14.25">
      <c r="D28" s="332"/>
      <c r="E28" s="331"/>
      <c r="F28" s="307"/>
      <c r="G28" s="307"/>
      <c r="H28" s="307"/>
      <c r="I28" s="307"/>
      <c r="J28" s="307"/>
      <c r="K28" s="307"/>
      <c r="L28" s="307"/>
      <c r="M28" s="307"/>
      <c r="N28" s="307"/>
      <c r="O28" s="307"/>
      <c r="P28" s="307"/>
    </row>
    <row customHeight="1" ht="14.25">
      <c r="D29" s="332"/>
      <c r="E29" s="588"/>
    </row>
    <row r="31" customHeight="1" ht="14.25">
      <c r="E31" s="764"/>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00" right="0.00" top="0.00" bottom="0.00" header="0.00" footer="0.79"/>
  <pageSetup paperSize="9" scale="38" fitToHeight="0" pageOrder="downThenOver"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AA2DF7-7F31-2F7E-1FC3-B613F0EDE01B}" mc:Ignorable="x14ac xr xr2 xr3">
  <sheetPr>
    <tabColor theme="6" tint="0.4"/>
  </sheetPr>
  <dimension ref="A1:L48"/>
  <sheetViews>
    <sheetView topLeftCell="A1" showGridLines="0" zoomScale="90" workbookViewId="0">
      <selection activeCell="G45" sqref="G45"/>
    </sheetView>
  </sheetViews>
  <sheetFormatPr defaultColWidth="10.57421875" customHeight="1" defaultRowHeight="14.25"/>
  <cols>
    <col min="1" max="1" style="3334" width="9.140625" hidden="1" customWidth="1"/>
    <col min="2" max="2" style="12862" width="9.140625" hidden="1" customWidth="1"/>
    <col min="3" max="3" style="12882" width="3.7109375" customWidth="1"/>
    <col min="4" max="4" style="2698" width="6.28125" customWidth="1"/>
    <col min="5" max="5" style="2698" width="63.421875" customWidth="1"/>
    <col min="6" max="6" style="2698" width="1.7109375" hidden="1" customWidth="1"/>
    <col min="7" max="8" style="2698" width="35.7109375" customWidth="1"/>
    <col min="9" max="9" style="2698" width="91.57421875" customWidth="1"/>
    <col min="10" max="10" style="2698" width="68.8515625" customWidth="1"/>
    <col min="11" max="12" style="2630" width="10.57421875"/>
  </cols>
  <sheetData>
    <row customHeight="1" ht="14.25" hidden="1"/>
    <row s="2993" customFormat="1" customHeight="1" ht="18.75" hidden="1">
      <c r="A2" s="1723"/>
      <c r="B2" s="1168"/>
      <c r="C2" s="1770" t="s">
        <v>105</v>
      </c>
      <c r="D2" s="1713"/>
      <c r="E2" s="185"/>
      <c r="F2" s="1710"/>
      <c r="G2" s="1710" t="s">
        <v>519</v>
      </c>
      <c r="H2" s="1169"/>
      <c r="K2" s="1664"/>
      <c r="L2" s="1664"/>
    </row>
    <row s="2993" customFormat="1" customHeight="1" ht="14.25" hidden="1">
      <c r="A3" s="1392"/>
      <c r="B3" s="1168"/>
      <c r="C3" s="340"/>
      <c r="K3" s="1664"/>
      <c r="L3" s="1664"/>
    </row>
    <row s="2993" customFormat="1" customHeight="1" ht="18.75" hidden="1">
      <c r="A4" s="1723"/>
      <c r="B4" s="1168"/>
      <c r="C4" s="1770" t="s">
        <v>105</v>
      </c>
      <c r="D4" s="1713"/>
      <c r="E4" s="191" t="s">
        <v>1249</v>
      </c>
      <c r="F4" s="1710"/>
      <c r="G4" s="243"/>
      <c r="H4" s="1710" t="s">
        <v>519</v>
      </c>
      <c r="K4" s="1664"/>
      <c r="L4" s="1664"/>
    </row>
    <row s="2993" customFormat="1" customHeight="1" ht="14.25" hidden="1">
      <c r="A5" s="1392"/>
      <c r="B5" s="1168"/>
      <c r="C5" s="340"/>
      <c r="K5" s="1664"/>
      <c r="L5" s="1664"/>
    </row>
    <row s="2993" customFormat="1" customHeight="1" ht="18.75" hidden="1">
      <c r="A6" s="1723"/>
      <c r="B6" s="1168"/>
      <c r="C6" s="1770" t="s">
        <v>105</v>
      </c>
      <c r="D6" s="1713"/>
      <c r="E6" s="192" t="s">
        <v>1250</v>
      </c>
      <c r="F6" s="1710"/>
      <c r="G6" s="243"/>
      <c r="H6" s="1710" t="s">
        <v>519</v>
      </c>
      <c r="K6" s="1664"/>
      <c r="L6" s="1664"/>
    </row>
    <row s="2993" customFormat="1" customHeight="1" ht="14.25" hidden="1">
      <c r="A7" s="1392"/>
      <c r="B7" s="1168"/>
      <c r="C7" s="340"/>
      <c r="K7" s="1664"/>
      <c r="L7" s="1664"/>
    </row>
    <row s="2993" customFormat="1" customHeight="1" ht="18.75" hidden="1">
      <c r="A8" s="1723"/>
      <c r="B8" s="1168"/>
      <c r="C8" s="1770" t="s">
        <v>105</v>
      </c>
      <c r="D8" s="1713"/>
      <c r="E8" s="192" t="s">
        <v>1251</v>
      </c>
      <c r="F8" s="1710"/>
      <c r="G8" s="243"/>
      <c r="H8" s="1710" t="s">
        <v>519</v>
      </c>
      <c r="K8" s="1664"/>
      <c r="L8" s="1664"/>
    </row>
    <row s="2993" customFormat="1" customHeight="1" ht="14.25" hidden="1">
      <c r="A9" s="1392"/>
      <c r="B9" s="1168"/>
      <c r="C9" s="340"/>
      <c r="K9" s="1664"/>
      <c r="L9" s="1664"/>
    </row>
    <row s="2993" customFormat="1" customHeight="1" ht="18.75" hidden="1">
      <c r="A10" s="1723"/>
      <c r="B10" s="1168"/>
      <c r="C10" s="1770" t="s">
        <v>105</v>
      </c>
      <c r="D10" s="1713"/>
      <c r="E10" s="192" t="s">
        <v>1252</v>
      </c>
      <c r="F10" s="1710"/>
      <c r="G10" s="1714"/>
      <c r="H10" s="1710" t="s">
        <v>519</v>
      </c>
      <c r="K10" s="1664"/>
      <c r="L10" s="1664" t="s">
        <v>1253</v>
      </c>
    </row>
    <row customHeight="1" ht="14.25" hidden="1"/>
    <row customHeight="1" ht="14.25" hidden="1"/>
    <row customHeight="1" ht="14.25">
      <c r="C13" s="82"/>
      <c r="D13" s="69"/>
      <c r="E13" s="69"/>
      <c r="F13" s="69"/>
      <c r="G13" s="69"/>
      <c r="H13" s="70"/>
      <c r="I13" s="70"/>
    </row>
    <row customHeight="1" ht="27.75">
      <c r="C14" s="82"/>
      <c r="D14" s="229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97"/>
      <c r="F14" s="2297"/>
      <c r="G14" s="2297"/>
      <c r="H14" s="2298"/>
      <c r="J14" s="1671"/>
    </row>
    <row s="2993" customFormat="1" customHeight="1" ht="14.25">
      <c r="A15" s="1392"/>
      <c r="B15" s="1168"/>
      <c r="C15" s="377"/>
      <c r="D15" s="2299" t="str">
        <f>IF(org=0,"Не определено",org)</f>
        <v>АО "Мурманэнергосбыт"</v>
      </c>
      <c r="E15" s="2300"/>
      <c r="F15" s="2300"/>
      <c r="G15" s="2300"/>
      <c r="H15" s="2301"/>
      <c r="J15" s="858"/>
      <c r="K15" s="1664"/>
      <c r="L15" s="1664"/>
    </row>
    <row customHeight="1" ht="14.25">
      <c r="C16" s="82"/>
      <c r="D16" s="69"/>
      <c r="E16" s="81"/>
      <c r="F16" s="81"/>
      <c r="G16" s="81"/>
      <c r="H16" s="758"/>
      <c r="I16" s="179"/>
    </row>
    <row s="2993" customFormat="1" customHeight="1" ht="14.25" hidden="1">
      <c r="A17" s="1392"/>
      <c r="B17" s="1168"/>
      <c r="C17" s="377"/>
      <c r="D17" s="361"/>
      <c r="E17" s="395"/>
      <c r="F17" s="395"/>
      <c r="G17" s="395"/>
      <c r="H17" s="758"/>
      <c r="I17" s="179"/>
      <c r="K17" s="1664"/>
      <c r="L17" s="1664"/>
    </row>
    <row customHeight="1" ht="21">
      <c r="C18" s="82"/>
      <c r="D18" s="2062" t="s">
        <v>513</v>
      </c>
      <c r="E18" s="2062"/>
      <c r="F18" s="2062"/>
      <c r="G18" s="2062"/>
      <c r="H18" s="2062"/>
      <c r="I18" s="2302" t="s">
        <v>514</v>
      </c>
    </row>
    <row customHeight="1" ht="21">
      <c r="C19" s="82"/>
      <c r="D19" s="91" t="s">
        <v>89</v>
      </c>
      <c r="E19" s="94" t="s">
        <v>515</v>
      </c>
      <c r="F19" s="94"/>
      <c r="G19" s="94" t="s">
        <v>516</v>
      </c>
      <c r="H19" s="94" t="s">
        <v>605</v>
      </c>
      <c r="I19" s="2302"/>
    </row>
    <row customHeight="1" ht="12" hidden="1">
      <c r="C20" s="82"/>
      <c r="D20" s="72"/>
      <c r="E20" s="72"/>
      <c r="F20" s="72"/>
      <c r="G20" s="72"/>
      <c r="H20" s="72"/>
      <c r="I20" s="72"/>
    </row>
    <row customHeight="1" ht="14.25">
      <c r="A21" s="1723"/>
      <c r="C21" s="82"/>
      <c r="D21" s="133">
        <v>1</v>
      </c>
      <c r="E21" s="2304" t="s">
        <v>1254</v>
      </c>
      <c r="F21" s="2304"/>
      <c r="G21" s="2304"/>
      <c r="H21" s="2304"/>
      <c r="I21" s="194"/>
    </row>
    <row customHeight="1" ht="20.25">
      <c r="A22" s="1723"/>
      <c r="C22" s="82"/>
      <c r="D22" s="133" t="s">
        <v>1143</v>
      </c>
      <c r="E22" s="180" t="s">
        <v>1255</v>
      </c>
      <c r="F22" s="184"/>
      <c r="G22" s="12892">
        <v>45063</v>
      </c>
      <c r="H22" s="184" t="s">
        <v>519</v>
      </c>
      <c r="I22" s="137" t="s">
        <v>1256</v>
      </c>
    </row>
    <row customHeight="1" ht="45">
      <c r="A23" s="1723"/>
      <c r="C23" s="82"/>
      <c r="D23" s="133" t="s">
        <v>1145</v>
      </c>
      <c r="E23" s="180" t="s">
        <v>1257</v>
      </c>
      <c r="F23" s="184"/>
      <c r="G23" s="243" t="s">
        <v>1258</v>
      </c>
      <c r="H23" s="199" t="s">
        <v>1259</v>
      </c>
      <c r="I23" s="244" t="s">
        <v>1260</v>
      </c>
    </row>
    <row customHeight="1" ht="14.25">
      <c r="A24" s="1723"/>
      <c r="B24" s="132">
        <v>3</v>
      </c>
      <c r="C24" s="82"/>
      <c r="D24" s="133">
        <v>2</v>
      </c>
      <c r="E24" s="20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84"/>
      <c r="G24" s="184" t="s">
        <v>519</v>
      </c>
      <c r="H24" s="199" t="s">
        <v>1261</v>
      </c>
      <c r="I24" s="245" t="s">
        <v>1010</v>
      </c>
    </row>
    <row customHeight="1" ht="46.5">
      <c r="A25" s="1723"/>
      <c r="C25" s="82"/>
      <c r="D25" s="133">
        <v>3</v>
      </c>
      <c r="E25" s="230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03"/>
      <c r="G25" s="2303"/>
      <c r="H25" s="2303"/>
      <c r="I25" s="242"/>
    </row>
    <row customHeight="1" ht="14.25">
      <c r="A26" s="1723"/>
      <c r="C26" s="82"/>
      <c r="D26" s="133" t="s">
        <v>539</v>
      </c>
      <c r="E26" s="185" t="s">
        <v>1262</v>
      </c>
      <c r="F26" s="184"/>
      <c r="G26" s="184" t="s">
        <v>519</v>
      </c>
      <c r="H26" s="199" t="s">
        <v>1263</v>
      </c>
      <c r="I26" s="2015" t="s">
        <v>1264</v>
      </c>
    </row>
    <row s="3431" customFormat="1" customHeight="1" ht="18.75">
      <c r="A27" s="12898"/>
      <c r="B27" s="3573"/>
      <c r="C27" s="12899" t="s">
        <v>105</v>
      </c>
      <c r="D27" s="12900" t="s">
        <v>547</v>
      </c>
      <c r="E27" s="12901" t="s">
        <v>1265</v>
      </c>
      <c r="F27" s="3596"/>
      <c r="G27" s="3596" t="s">
        <v>519</v>
      </c>
      <c r="H27" s="12902" t="s">
        <v>1263</v>
      </c>
      <c r="I27" s="3431"/>
      <c r="J27" s="3431"/>
      <c r="K27" s="3728"/>
      <c r="L27" s="3728"/>
    </row>
    <row s="3431" customFormat="1" customHeight="1" ht="18.75">
      <c r="A28" s="12898"/>
      <c r="B28" s="3573"/>
      <c r="C28" s="12899" t="s">
        <v>105</v>
      </c>
      <c r="D28" s="12900" t="s">
        <v>549</v>
      </c>
      <c r="E28" s="12901" t="s">
        <v>1266</v>
      </c>
      <c r="F28" s="3596"/>
      <c r="G28" s="3596" t="s">
        <v>519</v>
      </c>
      <c r="H28" s="12902" t="s">
        <v>1263</v>
      </c>
      <c r="I28" s="3431"/>
      <c r="J28" s="3431"/>
      <c r="K28" s="3728"/>
      <c r="L28" s="3728"/>
    </row>
    <row s="3431" customFormat="1" customHeight="1" ht="18.75">
      <c r="A29" s="12898"/>
      <c r="B29" s="3573"/>
      <c r="C29" s="12899" t="s">
        <v>105</v>
      </c>
      <c r="D29" s="12900" t="s">
        <v>551</v>
      </c>
      <c r="E29" s="12901" t="s">
        <v>1267</v>
      </c>
      <c r="F29" s="3596"/>
      <c r="G29" s="3596" t="s">
        <v>519</v>
      </c>
      <c r="H29" s="12902" t="s">
        <v>1263</v>
      </c>
      <c r="I29" s="3431"/>
      <c r="J29" s="3431"/>
      <c r="K29" s="3728"/>
      <c r="L29" s="3728"/>
    </row>
    <row s="3431" customFormat="1" customHeight="1" ht="18.75">
      <c r="A30" s="12898"/>
      <c r="B30" s="3573"/>
      <c r="C30" s="12899" t="s">
        <v>105</v>
      </c>
      <c r="D30" s="12900" t="s">
        <v>1038</v>
      </c>
      <c r="E30" s="12901" t="s">
        <v>1268</v>
      </c>
      <c r="F30" s="3596"/>
      <c r="G30" s="3596" t="s">
        <v>519</v>
      </c>
      <c r="H30" s="12902" t="s">
        <v>1263</v>
      </c>
      <c r="I30" s="3431"/>
      <c r="J30" s="3431"/>
      <c r="K30" s="3728"/>
      <c r="L30" s="3728"/>
    </row>
    <row customHeight="1" ht="15">
      <c r="A31" s="1723" t="s">
        <v>193</v>
      </c>
      <c r="C31" s="82"/>
      <c r="D31" s="95"/>
      <c r="E31" s="189" t="s">
        <v>1244</v>
      </c>
      <c r="F31" s="190"/>
      <c r="G31" s="190"/>
      <c r="H31" s="187"/>
      <c r="I31" s="2017"/>
    </row>
    <row customHeight="1" ht="38.25">
      <c r="A32" s="1723"/>
      <c r="B32" s="132">
        <v>3</v>
      </c>
      <c r="C32" s="82"/>
      <c r="D32" s="133">
        <v>4</v>
      </c>
      <c r="E32" s="230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32" s="2303"/>
      <c r="G32" s="2303"/>
      <c r="H32" s="2303"/>
      <c r="I32" s="242"/>
    </row>
    <row customHeight="1" ht="20.25">
      <c r="A33" s="1723"/>
      <c r="C33" s="82"/>
      <c r="D33" s="133" t="s">
        <v>874</v>
      </c>
      <c r="E33" s="191" t="s">
        <v>1249</v>
      </c>
      <c r="F33" s="184"/>
      <c r="G33" s="243" t="s">
        <v>1269</v>
      </c>
      <c r="H33" s="184" t="s">
        <v>519</v>
      </c>
      <c r="I33" s="2015" t="s">
        <v>1270</v>
      </c>
    </row>
    <row s="3431" customFormat="1" customHeight="1" ht="18.75">
      <c r="A34" s="12898"/>
      <c r="B34" s="3573"/>
      <c r="C34" s="12899" t="s">
        <v>105</v>
      </c>
      <c r="D34" s="12900" t="s">
        <v>917</v>
      </c>
      <c r="E34" s="12904" t="s">
        <v>1249</v>
      </c>
      <c r="F34" s="3596"/>
      <c r="G34" s="12905" t="s">
        <v>1271</v>
      </c>
      <c r="H34" s="3596" t="s">
        <v>519</v>
      </c>
      <c r="I34" s="3431"/>
      <c r="J34" s="3431"/>
      <c r="K34" s="3728"/>
      <c r="L34" s="3728"/>
    </row>
    <row customHeight="1" ht="15">
      <c r="A35" s="1723" t="s">
        <v>104</v>
      </c>
      <c r="C35" s="82"/>
      <c r="D35" s="95"/>
      <c r="E35" s="189" t="s">
        <v>1244</v>
      </c>
      <c r="F35" s="190"/>
      <c r="G35" s="190"/>
      <c r="H35" s="187"/>
      <c r="I35" s="2017"/>
    </row>
    <row customHeight="1" ht="30">
      <c r="A36" s="1723"/>
      <c r="B36" s="132">
        <v>3</v>
      </c>
      <c r="C36" s="82"/>
      <c r="D36" s="133">
        <v>5</v>
      </c>
      <c r="E36" s="230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6" s="2303"/>
      <c r="G36" s="2303"/>
      <c r="H36" s="2303"/>
      <c r="I36" s="242"/>
    </row>
    <row customHeight="1" ht="26.25">
      <c r="A37" s="1723"/>
      <c r="C37" s="82"/>
      <c r="D37" s="133" t="s">
        <v>528</v>
      </c>
      <c r="E37" s="224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7" s="2245"/>
      <c r="G37" s="2245"/>
      <c r="H37" s="2245"/>
      <c r="I37" s="242"/>
    </row>
    <row customHeight="1" ht="14.25">
      <c r="A38" s="1723"/>
      <c r="C38" s="82"/>
      <c r="D38" s="133" t="s">
        <v>1272</v>
      </c>
      <c r="E38" s="192" t="s">
        <v>1250</v>
      </c>
      <c r="F38" s="184"/>
      <c r="G38" s="243" t="s">
        <v>1273</v>
      </c>
      <c r="H38" s="184" t="s">
        <v>519</v>
      </c>
      <c r="I38" s="2015" t="s">
        <v>1274</v>
      </c>
    </row>
    <row customHeight="1" ht="15">
      <c r="A39" s="1723" t="s">
        <v>91</v>
      </c>
      <c r="C39" s="82"/>
      <c r="D39" s="95"/>
      <c r="E39" s="190" t="s">
        <v>1244</v>
      </c>
      <c r="F39" s="186"/>
      <c r="G39" s="186"/>
      <c r="H39" s="187"/>
      <c r="I39" s="2017"/>
    </row>
    <row customHeight="1" ht="24">
      <c r="A40" s="1723"/>
      <c r="C40" s="82"/>
      <c r="D40" s="133" t="s">
        <v>530</v>
      </c>
      <c r="E40" s="224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40" s="2245"/>
      <c r="G40" s="2245"/>
      <c r="H40" s="2245"/>
      <c r="I40" s="242"/>
    </row>
    <row customHeight="1" ht="14.25">
      <c r="A41" s="1723"/>
      <c r="C41" s="82"/>
      <c r="D41" s="133" t="s">
        <v>1275</v>
      </c>
      <c r="E41" s="192" t="s">
        <v>1251</v>
      </c>
      <c r="F41" s="184"/>
      <c r="G41" s="243" t="s">
        <v>1276</v>
      </c>
      <c r="H41" s="184" t="s">
        <v>519</v>
      </c>
      <c r="I41" s="1993" t="s">
        <v>1277</v>
      </c>
    </row>
    <row s="3431" customFormat="1" customHeight="1" ht="18.75">
      <c r="A42" s="12898"/>
      <c r="B42" s="3573"/>
      <c r="C42" s="12899" t="s">
        <v>105</v>
      </c>
      <c r="D42" s="12900" t="s">
        <v>1278</v>
      </c>
      <c r="E42" s="12907" t="s">
        <v>1251</v>
      </c>
      <c r="F42" s="3596"/>
      <c r="G42" s="12905" t="s">
        <v>1279</v>
      </c>
      <c r="H42" s="3596" t="s">
        <v>519</v>
      </c>
      <c r="I42" s="3431"/>
      <c r="J42" s="3431"/>
      <c r="K42" s="3728"/>
      <c r="L42" s="3728"/>
    </row>
    <row customHeight="1" ht="15">
      <c r="A43" s="1723" t="s">
        <v>92</v>
      </c>
      <c r="C43" s="82"/>
      <c r="D43" s="95"/>
      <c r="E43" s="190" t="s">
        <v>1244</v>
      </c>
      <c r="F43" s="186"/>
      <c r="G43" s="186"/>
      <c r="H43" s="187"/>
      <c r="I43" s="1993"/>
    </row>
    <row customHeight="1" ht="26.25">
      <c r="A44" s="1723"/>
      <c r="C44" s="82"/>
      <c r="D44" s="133" t="s">
        <v>533</v>
      </c>
      <c r="E44" s="224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4" s="2245"/>
      <c r="G44" s="2245"/>
      <c r="H44" s="2245"/>
      <c r="I44" s="242"/>
    </row>
    <row customHeight="1" ht="14.25">
      <c r="A45" s="1723"/>
      <c r="C45" s="82"/>
      <c r="D45" s="133" t="s">
        <v>1003</v>
      </c>
      <c r="E45" s="192" t="s">
        <v>1252</v>
      </c>
      <c r="F45" s="184"/>
      <c r="G45" s="193" t="s">
        <v>1280</v>
      </c>
      <c r="H45" s="184" t="s">
        <v>519</v>
      </c>
      <c r="I45" s="2015" t="s">
        <v>1281</v>
      </c>
      <c r="L45" s="141" t="s">
        <v>1253</v>
      </c>
    </row>
    <row customHeight="1" ht="15">
      <c r="A46" s="1723" t="s">
        <v>116</v>
      </c>
      <c r="C46" s="82"/>
      <c r="D46" s="95"/>
      <c r="E46" s="190" t="s">
        <v>1244</v>
      </c>
      <c r="F46" s="186"/>
      <c r="G46" s="186"/>
      <c r="H46" s="187"/>
      <c r="I46" s="2017"/>
    </row>
    <row s="12909" customFormat="1" customHeight="1" ht="3">
      <c r="A47" s="1723"/>
      <c r="K47" s="182"/>
      <c r="L47" s="182"/>
    </row>
    <row customHeight="1" ht="24.75">
      <c r="D48" s="1721" t="s">
        <v>925</v>
      </c>
      <c r="E48" s="210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8" s="2106"/>
      <c r="G48" s="2106"/>
      <c r="H48" s="2106"/>
      <c r="I48" s="2106"/>
    </row>
  </sheetData>
  <sheetProtection formatColumns="0" formatRows="0" autoFilter="0" sort="0" insertRows="0" insertColumns="1" deleteRows="0" deleteColumns="0"/>
  <mergeCells count="17">
    <mergeCell ref="E48:I48"/>
    <mergeCell ref="E37:H37"/>
    <mergeCell ref="E40:H40"/>
    <mergeCell ref="E44:H44"/>
    <mergeCell ref="I38:I39"/>
    <mergeCell ref="I41:I43"/>
    <mergeCell ref="I45:I46"/>
    <mergeCell ref="I33:I35"/>
    <mergeCell ref="E36:H36"/>
    <mergeCell ref="D14:H14"/>
    <mergeCell ref="D18:H18"/>
    <mergeCell ref="I18:I19"/>
    <mergeCell ref="E21:H21"/>
    <mergeCell ref="E25:H25"/>
    <mergeCell ref="I26:I31"/>
    <mergeCell ref="E32:H32"/>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5">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H30">
      <formula1>900</formula1>
    </dataValidation>
    <dataValidation type="textLength" operator="lessThanOrEqual" allowBlank="1" showInputMessage="1" showErrorMessage="1" errorTitle="Ошибка" error="Допускается ввод не более 900 символов!" sqref="I23:I24 I38 G41:G42 I45 I26:I30 E33:E34 G38 E41:E42 I33:I34 E38 I41:I42 G23 E26:E30 I10 E23 G33:G34 E10 G8 E2 I2 I4 G4 E4 E6 I6 G6 E8 I8 E45">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F95809-A80A-6213-A82B-DEDCC7D4DD91}" mc:Ignorable="x14ac xr xr2 xr3">
  <sheetPr>
    <tabColor theme="6" tint="0.4"/>
  </sheetPr>
  <dimension ref="A1:AG327"/>
  <sheetViews>
    <sheetView topLeftCell="A1" showGridLines="0" zoomScale="90" workbookViewId="0">
      <selection activeCell="A274" sqref="A274:XFD275"/>
    </sheetView>
  </sheetViews>
  <sheetFormatPr defaultColWidth="10.57421875" customHeight="1" defaultRowHeight="14.25"/>
  <cols>
    <col min="1" max="2" style="12912" width="25.140625" hidden="1" customWidth="1"/>
    <col min="3" max="3" style="12438" width="9.140625" hidden="1" customWidth="1"/>
    <col min="4" max="4" style="3411" width="3.7109375" customWidth="1"/>
    <col min="5" max="5" style="12983" width="6.28125" customWidth="1"/>
    <col min="6" max="6" style="12983" width="46.7109375" customWidth="1"/>
    <col min="7" max="7" style="12983" width="35.7109375" customWidth="1"/>
    <col min="8" max="8" style="12983" width="3.7109375" customWidth="1"/>
    <col min="9" max="10" style="12983" width="11.7109375" customWidth="1"/>
    <col min="11" max="12" style="12983" width="35.7109375" customWidth="1"/>
    <col min="13" max="13" style="12983" width="84.8515625" customWidth="1"/>
    <col min="14" max="14" style="12983" width="10.57421875"/>
    <col min="15" max="16" style="12865" width="10.57421875"/>
    <col min="17" max="33" style="12983" width="10.57421875"/>
  </cols>
  <sheetData>
    <row s="2993" customFormat="1" customHeight="1" ht="14.25" hidden="1">
      <c r="A1" s="1820"/>
      <c r="B1" s="1820"/>
      <c r="C1" s="369"/>
      <c r="D1" s="340"/>
      <c r="N1" s="1676">
        <f>_xlfn.IFERROR(MATCH("метод экономически обоснованных расходов (затрат)",OFFER_METHOD,0),0)</f>
        <v>0</v>
      </c>
      <c r="O1" s="1664"/>
      <c r="P1" s="1664"/>
      <c r="T1" s="837"/>
      <c r="AG1" s="241"/>
    </row>
    <row s="2993" customFormat="1" customHeight="1" ht="18.75" hidden="1">
      <c r="A2" s="1821" t="s">
        <v>230</v>
      </c>
      <c r="B2" s="1821" t="s">
        <v>231</v>
      </c>
      <c r="C2" s="369"/>
      <c r="D2" s="340"/>
      <c r="E2" s="1038"/>
      <c r="F2" s="1038"/>
      <c r="G2" s="2266" t="str">
        <f>INDEX(PT_DIFFERENTIATION_NTAR,MATCH(B2,PT_DIFFERENTIATION_NTAR_ID,0))</f>
        <v/>
      </c>
      <c r="H2" s="1907"/>
      <c r="I2" s="1779"/>
      <c r="J2" s="1814"/>
      <c r="K2" s="1908"/>
      <c r="L2" s="1907" t="s">
        <v>519</v>
      </c>
      <c r="M2" s="1918"/>
      <c r="N2" s="330"/>
      <c r="O2" s="1664"/>
      <c r="P2" s="1664"/>
    </row>
    <row s="2993" customFormat="1" customHeight="1" ht="18.75" hidden="1">
      <c r="A3" s="1821"/>
      <c r="B3" s="1821"/>
      <c r="C3" s="369" t="s">
        <v>1282</v>
      </c>
      <c r="D3" s="340"/>
      <c r="E3" s="1038"/>
      <c r="F3" s="1038"/>
      <c r="G3" s="2266"/>
      <c r="H3" s="1530"/>
      <c r="I3" s="657" t="s">
        <v>1283</v>
      </c>
      <c r="J3" s="577"/>
      <c r="K3" s="1530"/>
      <c r="L3" s="200"/>
      <c r="M3" s="1918"/>
      <c r="N3" s="330"/>
      <c r="O3" s="1664"/>
      <c r="P3" s="1664"/>
    </row>
    <row s="2993" customFormat="1" customHeight="1" ht="14.25" hidden="1">
      <c r="A4" s="1820"/>
      <c r="B4" s="1820"/>
      <c r="C4" s="369"/>
      <c r="D4" s="340"/>
      <c r="N4" s="1676">
        <f>_xlfn.IFERROR(MATCH("метод экономически обоснованных расходов (затрат)",OFFER_METHOD,0),0)</f>
        <v>0</v>
      </c>
      <c r="O4" s="1664"/>
      <c r="P4" s="1664"/>
      <c r="T4" s="837"/>
      <c r="AG4" s="241"/>
    </row>
    <row s="2993" customFormat="1" customHeight="1" ht="18.75" hidden="1">
      <c r="A5" s="1821" t="s">
        <v>230</v>
      </c>
      <c r="B5" s="1821" t="s">
        <v>231</v>
      </c>
      <c r="C5" s="369"/>
      <c r="D5" s="340"/>
      <c r="E5" s="1038"/>
      <c r="F5" s="1038"/>
      <c r="G5" s="2266" t="str">
        <f>INDEX(PT_DIFFERENTIATION_NTAR,MATCH(B5,PT_DIFFERENTIATION_NTAR_ID,0))</f>
        <v/>
      </c>
      <c r="H5" s="1907"/>
      <c r="I5" s="1779"/>
      <c r="J5" s="1814"/>
      <c r="K5" s="1819"/>
      <c r="L5" s="1907" t="s">
        <v>519</v>
      </c>
      <c r="M5" s="1918"/>
      <c r="N5" s="330"/>
      <c r="O5" s="1664"/>
      <c r="P5" s="1664"/>
    </row>
    <row s="2993" customFormat="1" customHeight="1" ht="18.75" hidden="1">
      <c r="A6" s="1821"/>
      <c r="B6" s="1821"/>
      <c r="C6" s="369" t="s">
        <v>1284</v>
      </c>
      <c r="D6" s="340"/>
      <c r="E6" s="1038"/>
      <c r="F6" s="1038"/>
      <c r="G6" s="2266"/>
      <c r="H6" s="1530"/>
      <c r="I6" s="657" t="s">
        <v>1283</v>
      </c>
      <c r="J6" s="577"/>
      <c r="K6" s="1530"/>
      <c r="L6" s="200"/>
      <c r="M6" s="1918"/>
      <c r="N6" s="330"/>
      <c r="O6" s="1664"/>
      <c r="P6" s="1664"/>
    </row>
    <row s="2993" customFormat="1" customHeight="1" ht="14.25" hidden="1">
      <c r="A7" s="1820"/>
      <c r="B7" s="1820"/>
      <c r="C7" s="369"/>
      <c r="D7" s="340"/>
      <c r="N7" s="1676">
        <f>_xlfn.IFERROR(MATCH("метод экономически обоснованных расходов (затрат)",OFFER_METHOD,0),0)</f>
        <v>0</v>
      </c>
      <c r="O7" s="1664"/>
      <c r="P7" s="1664"/>
      <c r="T7" s="837"/>
      <c r="AG7" s="241"/>
    </row>
    <row s="2993" customFormat="1" customHeight="1" ht="56.25" hidden="1">
      <c r="A8" s="1821"/>
      <c r="B8" s="1821"/>
      <c r="C8" s="369"/>
      <c r="D8" s="340"/>
      <c r="E8" s="1038"/>
      <c r="F8" s="1038"/>
      <c r="G8" s="1038"/>
      <c r="H8" s="1812"/>
      <c r="I8" s="1779"/>
      <c r="J8" s="1814"/>
      <c r="K8" s="1908"/>
      <c r="L8" s="1812" t="s">
        <v>519</v>
      </c>
      <c r="M8" s="1918"/>
      <c r="N8" s="330"/>
      <c r="O8" s="1664"/>
      <c r="P8" s="1664"/>
    </row>
    <row customHeight="1" ht="14.25" hidden="1">
      <c r="T9" s="403"/>
      <c r="AG9" s="241"/>
    </row>
    <row s="2993" customFormat="1" customHeight="1" ht="56.25" hidden="1">
      <c r="A10" s="1821"/>
      <c r="B10" s="1821"/>
      <c r="C10" s="369"/>
      <c r="D10" s="340"/>
      <c r="E10" s="1038"/>
      <c r="F10" s="1038"/>
      <c r="G10" s="1038"/>
      <c r="H10" s="1811"/>
      <c r="I10" s="1779"/>
      <c r="J10" s="1814"/>
      <c r="K10" s="1819"/>
      <c r="L10" s="1812" t="s">
        <v>519</v>
      </c>
      <c r="M10" s="1918"/>
      <c r="N10" s="330"/>
      <c r="O10" s="1664"/>
      <c r="P10" s="1664"/>
    </row>
    <row customHeight="1" ht="14.25" hidden="1"/>
    <row customHeight="1" ht="14.25" hidden="1"/>
    <row customHeight="1" ht="6">
      <c r="D13" s="377"/>
      <c r="E13" s="361"/>
      <c r="F13" s="361"/>
      <c r="G13" s="361"/>
      <c r="H13" s="361"/>
      <c r="I13" s="361"/>
      <c r="J13" s="361"/>
      <c r="K13" s="361"/>
      <c r="L13" s="70"/>
      <c r="M13" s="70"/>
    </row>
    <row customHeight="1" ht="14.25">
      <c r="D14" s="377"/>
      <c r="E14" s="230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05"/>
      <c r="G14" s="2305"/>
      <c r="H14" s="2305"/>
      <c r="I14" s="2305"/>
      <c r="J14" s="2305"/>
      <c r="K14" s="2305"/>
      <c r="L14" s="2305"/>
      <c r="M14" s="206"/>
    </row>
    <row customHeight="1" ht="6">
      <c r="D15" s="377"/>
      <c r="E15" s="361"/>
      <c r="F15" s="395"/>
      <c r="G15" s="395"/>
      <c r="H15" s="395"/>
      <c r="I15" s="395"/>
      <c r="J15" s="395"/>
      <c r="K15" s="395"/>
      <c r="L15" s="316"/>
      <c r="M15" s="179"/>
    </row>
    <row customHeight="1" ht="18.75">
      <c r="D16" s="377"/>
      <c r="E16" s="361"/>
      <c r="F16" s="294" t="str">
        <f>"Дата подачи заявления об "&amp;IF(TITLE_DATE_PR_CHANGE="","утверждении","изменении")&amp;" тарифов"</f>
        <v>Дата подачи заявления об изменении тарифов</v>
      </c>
      <c r="G16" s="2099" t="str">
        <f>IF(TITLE_DATE_PR_CHANGE="",IF(TITLE_DATE_PR="","",TITLE_DATE_PR),TITLE_DATE_PR_CHANGE)</f>
        <v>45205</v>
      </c>
      <c r="H16" s="2099"/>
      <c r="I16" s="2099"/>
      <c r="J16" s="2099"/>
      <c r="K16" s="2099"/>
      <c r="L16" s="2099"/>
      <c r="M16" s="404"/>
      <c r="N16" s="322"/>
    </row>
    <row customHeight="1" ht="18.75">
      <c r="D17" s="377"/>
      <c r="E17" s="361"/>
      <c r="F17" s="294" t="str">
        <f>"Номер подачи заявления об "&amp;IF(TITLE_DATE_PR_CHANGE="","утверждении","изменении")&amp;" тарифов"</f>
        <v>Номер подачи заявления об изменении тарифов</v>
      </c>
      <c r="G17" s="2100" t="str">
        <f>IF(TITLE_NUMBER_PR_CHANGE="",IF(TITLE_NUMBER_PR="","",TITLE_NUMBER_PR),TITLE_NUMBER_PR_CHANGE)</f>
        <v>36/2</v>
      </c>
      <c r="H17" s="2100"/>
      <c r="I17" s="2100"/>
      <c r="J17" s="2100"/>
      <c r="K17" s="2100"/>
      <c r="L17" s="2100"/>
      <c r="M17" s="404"/>
      <c r="N17" s="322"/>
    </row>
    <row customHeight="1" ht="14.25">
      <c r="D18" s="377"/>
      <c r="E18" s="361"/>
      <c r="F18" s="395"/>
      <c r="G18" s="395"/>
      <c r="H18" s="395"/>
      <c r="I18" s="395"/>
      <c r="J18" s="395"/>
      <c r="K18" s="395"/>
      <c r="L18" s="758"/>
      <c r="M18" s="179"/>
    </row>
    <row customHeight="1" ht="21">
      <c r="D19" s="377"/>
      <c r="E19" s="2062" t="s">
        <v>513</v>
      </c>
      <c r="F19" s="2062"/>
      <c r="G19" s="2062"/>
      <c r="H19" s="2062"/>
      <c r="I19" s="2062"/>
      <c r="J19" s="2062"/>
      <c r="K19" s="2062"/>
      <c r="L19" s="2062"/>
      <c r="M19" s="2302" t="s">
        <v>514</v>
      </c>
    </row>
    <row customHeight="1" ht="21">
      <c r="D20" s="377"/>
      <c r="E20" s="2129" t="s">
        <v>89</v>
      </c>
      <c r="F20" s="2073" t="s">
        <v>203</v>
      </c>
      <c r="G20" s="2073" t="s">
        <v>204</v>
      </c>
      <c r="H20" s="2270" t="s">
        <v>1285</v>
      </c>
      <c r="I20" s="2274"/>
      <c r="J20" s="2271"/>
      <c r="K20" s="2073" t="s">
        <v>516</v>
      </c>
      <c r="L20" s="2073" t="s">
        <v>605</v>
      </c>
      <c r="M20" s="2302"/>
    </row>
    <row customHeight="1" ht="21">
      <c r="D21" s="377"/>
      <c r="E21" s="2131"/>
      <c r="F21" s="2074"/>
      <c r="G21" s="2074"/>
      <c r="H21" s="2068" t="s">
        <v>1286</v>
      </c>
      <c r="I21" s="2084"/>
      <c r="J21" s="94" t="s">
        <v>1287</v>
      </c>
      <c r="K21" s="2074"/>
      <c r="L21" s="2074"/>
      <c r="M21" s="2302"/>
    </row>
    <row customHeight="1" ht="12">
      <c r="D22" s="377"/>
      <c r="E22" s="269"/>
      <c r="F22" s="269"/>
      <c r="G22" s="269"/>
      <c r="H22" s="2307"/>
      <c r="I22" s="2307"/>
      <c r="J22" s="269"/>
      <c r="K22" s="269"/>
      <c r="L22" s="269"/>
      <c r="M22" s="269"/>
    </row>
    <row customHeight="1" ht="18.75">
      <c r="A23" s="1821"/>
      <c r="B23" s="1821"/>
      <c r="D23" s="377"/>
      <c r="E23" s="1909" t="s">
        <v>193</v>
      </c>
      <c r="F23" s="2308" t="str">
        <f>"Предлагаемый метод регулирования"&amp;IF(TEMPLATE_SPHERE="HEAT"," в сфере "&amp;TEMPLATE_SPHERE_RUS,"")</f>
        <v>Предлагаемый метод регулирования в сфере теплоснабжения</v>
      </c>
      <c r="G23" s="2309"/>
      <c r="H23" s="2304"/>
      <c r="I23" s="2304"/>
      <c r="J23" s="2304"/>
      <c r="K23" s="2309" t="s">
        <v>519</v>
      </c>
      <c r="L23" s="2304"/>
      <c r="M23" s="1810"/>
      <c r="N23" s="330"/>
    </row>
    <row customHeight="1" ht="60.75" hidden="1">
      <c r="A24" s="1821" t="s">
        <v>230</v>
      </c>
      <c r="B24" s="1821" t="s">
        <v>231</v>
      </c>
      <c r="D24" s="2306"/>
      <c r="E24" s="2056"/>
      <c r="F24" s="231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266" t="str">
        <f>INDEX(PT_DIFFERENTIATION_NTAR,MATCH(B24,PT_DIFFERENTIATION_NTAR_ID,0))</f>
        <v/>
      </c>
      <c r="H24" s="1905"/>
      <c r="I24" s="1779"/>
      <c r="J24" s="1814"/>
      <c r="K24" s="1908"/>
      <c r="L24" s="1809" t="s">
        <v>519</v>
      </c>
      <c r="M24" s="20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0"/>
    </row>
    <row s="2993" customFormat="1" customHeight="1" ht="18.75" hidden="1">
      <c r="A25" s="1821"/>
      <c r="B25" s="1821"/>
      <c r="C25" s="369" t="s">
        <v>1282</v>
      </c>
      <c r="D25" s="2306"/>
      <c r="E25" s="2056"/>
      <c r="F25" s="2310"/>
      <c r="G25" s="2266"/>
      <c r="H25" s="1530"/>
      <c r="I25" s="657" t="s">
        <v>1283</v>
      </c>
      <c r="J25" s="577"/>
      <c r="K25" s="1530"/>
      <c r="L25" s="200"/>
      <c r="M25" s="2016"/>
      <c r="N25" s="330"/>
      <c r="O25" s="1664"/>
      <c r="P25" s="1664"/>
    </row>
    <row customHeight="1" ht="0.75" hidden="1">
      <c r="A26" s="1821"/>
      <c r="B26" s="1821"/>
      <c r="C26" s="369" t="s">
        <v>1288</v>
      </c>
      <c r="D26" s="2306"/>
      <c r="E26" s="2056"/>
      <c r="F26" s="2220"/>
      <c r="G26" s="406"/>
      <c r="H26" s="1530"/>
      <c r="I26" s="401"/>
      <c r="J26" s="345"/>
      <c r="K26" s="1530"/>
      <c r="L26" s="187"/>
      <c r="M26" s="2016"/>
      <c r="N26" s="330"/>
    </row>
    <row s="2993" customFormat="1" customHeight="1" ht="45" hidden="1">
      <c r="A27" s="1821" t="s">
        <v>236</v>
      </c>
      <c r="B27" s="1821" t="s">
        <v>237</v>
      </c>
      <c r="C27" s="369"/>
      <c r="D27" s="2311"/>
      <c r="E27" s="2312"/>
      <c r="F27" s="2313"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266" t="str">
        <f>INDEX(PT_DIFFERENTIATION_NTAR,MATCH(B27,PT_DIFFERENTIATION_NTAR_ID,0))</f>
        <v/>
      </c>
      <c r="H27" s="1905"/>
      <c r="I27" s="1779"/>
      <c r="J27" s="1814"/>
      <c r="K27" s="1908"/>
      <c r="L27" s="1905" t="s">
        <v>519</v>
      </c>
      <c r="M27" s="2016"/>
      <c r="N27" s="330"/>
      <c r="O27" s="1664"/>
      <c r="P27" s="1664"/>
    </row>
    <row s="2993" customFormat="1" customHeight="1" ht="18.75" hidden="1">
      <c r="A28" s="1821"/>
      <c r="B28" s="1821"/>
      <c r="C28" s="369" t="s">
        <v>1282</v>
      </c>
      <c r="D28" s="2311"/>
      <c r="E28" s="2312"/>
      <c r="F28" s="2313"/>
      <c r="G28" s="2266"/>
      <c r="H28" s="1530"/>
      <c r="I28" s="657" t="s">
        <v>1283</v>
      </c>
      <c r="J28" s="577"/>
      <c r="K28" s="1530"/>
      <c r="L28" s="200"/>
      <c r="M28" s="2016"/>
      <c r="N28" s="330"/>
      <c r="O28" s="1664"/>
      <c r="P28" s="1664"/>
    </row>
    <row s="2993" customFormat="1" customHeight="1" ht="0.75" hidden="1">
      <c r="A29" s="1821"/>
      <c r="B29" s="1821"/>
      <c r="C29" s="369" t="s">
        <v>1288</v>
      </c>
      <c r="D29" s="2311"/>
      <c r="E29" s="2056"/>
      <c r="F29" s="2220"/>
      <c r="G29" s="406"/>
      <c r="H29" s="1530"/>
      <c r="I29" s="657"/>
      <c r="J29" s="577"/>
      <c r="K29" s="1530"/>
      <c r="L29" s="200"/>
      <c r="M29" s="2016"/>
      <c r="N29" s="330"/>
      <c r="O29" s="1664"/>
      <c r="P29" s="1664"/>
    </row>
    <row s="2993" customFormat="1" customHeight="1" ht="45" hidden="1">
      <c r="A30" s="1821" t="s">
        <v>245</v>
      </c>
      <c r="B30" s="1821" t="s">
        <v>246</v>
      </c>
      <c r="C30" s="369"/>
      <c r="D30" s="2311"/>
      <c r="E30" s="2056"/>
      <c r="F30" s="222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266" t="str">
        <f>INDEX(PT_DIFFERENTIATION_NTAR,MATCH(B30,PT_DIFFERENTIATION_NTAR_ID,0))</f>
        <v>Тариф на теплоноситель, поставляемый потребителям</v>
      </c>
      <c r="H30" s="1905"/>
      <c r="I30" s="1779"/>
      <c r="J30" s="1814"/>
      <c r="K30" s="1908"/>
      <c r="L30" s="1905" t="s">
        <v>519</v>
      </c>
      <c r="M30" s="2016"/>
      <c r="N30" s="330"/>
      <c r="O30" s="1664"/>
      <c r="P30" s="1664"/>
    </row>
    <row s="2993" customFormat="1" customHeight="1" ht="18.75" hidden="1">
      <c r="A31" s="1821"/>
      <c r="B31" s="1821"/>
      <c r="C31" s="369" t="s">
        <v>1282</v>
      </c>
      <c r="D31" s="2311"/>
      <c r="E31" s="2056"/>
      <c r="F31" s="2220"/>
      <c r="G31" s="2266"/>
      <c r="H31" s="1530"/>
      <c r="I31" s="657" t="s">
        <v>1283</v>
      </c>
      <c r="J31" s="577"/>
      <c r="K31" s="1530"/>
      <c r="L31" s="200"/>
      <c r="M31" s="2016"/>
      <c r="N31" s="330"/>
      <c r="O31" s="1664"/>
      <c r="P31" s="1664"/>
    </row>
    <row s="3431" customFormat="1" customHeight="1" ht="18.75">
      <c r="A32" s="3905" t="s">
        <v>245</v>
      </c>
      <c r="B32" s="3905" t="s">
        <v>331</v>
      </c>
      <c r="C32" s="12942"/>
      <c r="D32" s="12943"/>
      <c r="E32" s="12944"/>
      <c r="F32" s="12944"/>
      <c r="G32" s="12945" t="str">
        <f>INDEX(PT_DIFFERENTIATION_NTAR,MATCH(B32,PT_DIFFERENTIATION_NTAR_ID,0))</f>
        <v>Тариф на теплоноситель, поставляемый населению</v>
      </c>
      <c r="H32" s="3598"/>
      <c r="I32" s="12946"/>
      <c r="J32" s="12947"/>
      <c r="K32" s="12948"/>
      <c r="L32" s="3598" t="s">
        <v>519</v>
      </c>
      <c r="M32" s="12949"/>
      <c r="N32" s="12950"/>
      <c r="O32" s="3728"/>
      <c r="P32" s="3728"/>
      <c r="Q32" s="3431"/>
      <c r="R32" s="3431"/>
      <c r="S32" s="3431"/>
      <c r="T32" s="3431"/>
      <c r="U32" s="3431"/>
      <c r="V32" s="3431"/>
      <c r="W32" s="3431"/>
      <c r="X32" s="3431"/>
      <c r="Y32" s="3431"/>
      <c r="Z32" s="3431"/>
      <c r="AA32" s="3431"/>
      <c r="AB32" s="3431"/>
      <c r="AC32" s="3431"/>
      <c r="AD32" s="3431"/>
      <c r="AE32" s="3431"/>
      <c r="AF32" s="3431"/>
      <c r="AG32" s="3431"/>
    </row>
    <row s="3431" customFormat="1" customHeight="1" ht="18.75">
      <c r="A33" s="3905"/>
      <c r="B33" s="3905"/>
      <c r="C33" s="12942" t="s">
        <v>1282</v>
      </c>
      <c r="D33" s="12943"/>
      <c r="E33" s="12944"/>
      <c r="F33" s="12944"/>
      <c r="G33" s="12945"/>
      <c r="H33" s="12951"/>
      <c r="I33" s="12952" t="s">
        <v>1283</v>
      </c>
      <c r="J33" s="12953"/>
      <c r="K33" s="12954"/>
      <c r="L33" s="12955"/>
      <c r="M33" s="12949"/>
      <c r="N33" s="12950"/>
      <c r="O33" s="3728"/>
      <c r="P33" s="3728"/>
      <c r="Q33" s="3431"/>
      <c r="R33" s="3431"/>
      <c r="S33" s="3431"/>
      <c r="T33" s="3431"/>
      <c r="U33" s="3431"/>
      <c r="V33" s="3431"/>
      <c r="W33" s="3431"/>
      <c r="X33" s="3431"/>
      <c r="Y33" s="3431"/>
      <c r="Z33" s="3431"/>
      <c r="AA33" s="3431"/>
      <c r="AB33" s="3431"/>
      <c r="AC33" s="3431"/>
      <c r="AD33" s="3431"/>
      <c r="AE33" s="3431"/>
      <c r="AF33" s="3431"/>
      <c r="AG33" s="3431"/>
    </row>
    <row s="2993" customFormat="1" customHeight="1" ht="0.75" hidden="1">
      <c r="A34" s="1821"/>
      <c r="B34" s="1821"/>
      <c r="C34" s="369" t="s">
        <v>1288</v>
      </c>
      <c r="D34" s="2311"/>
      <c r="E34" s="2056"/>
      <c r="F34" s="2220"/>
      <c r="G34" s="406"/>
      <c r="H34" s="1530"/>
      <c r="I34" s="657"/>
      <c r="J34" s="577"/>
      <c r="K34" s="1530"/>
      <c r="L34" s="200"/>
      <c r="M34" s="2016"/>
      <c r="N34" s="330"/>
      <c r="O34" s="1664"/>
      <c r="P34" s="1664"/>
    </row>
    <row s="2993" customFormat="1" customHeight="1" ht="45" hidden="1">
      <c r="A35" s="1821" t="s">
        <v>400</v>
      </c>
      <c r="B35" s="1821" t="s">
        <v>401</v>
      </c>
      <c r="C35" s="369"/>
      <c r="D35" s="2311"/>
      <c r="E35" s="2056"/>
      <c r="F35" s="2220" t="str">
        <f>INDEX(PT_DIFFERENTIATION_VTAR,MATCH(A35,PT_DIFFERENTIATION_VTAR_ID,0))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5" s="2266" t="str">
        <f>INDEX(PT_DIFFERENTIATION_NTAR,MATCH(B35,PT_DIFFERENTIATION_NTAR_ID,0))</f>
        <v/>
      </c>
      <c r="H35" s="1905"/>
      <c r="I35" s="1779"/>
      <c r="J35" s="1814"/>
      <c r="K35" s="1908"/>
      <c r="L35" s="1905" t="s">
        <v>519</v>
      </c>
      <c r="M35" s="2016"/>
      <c r="N35" s="330"/>
      <c r="O35" s="1664"/>
      <c r="P35" s="1664"/>
    </row>
    <row s="2993" customFormat="1" customHeight="1" ht="18.75" hidden="1">
      <c r="A36" s="1821"/>
      <c r="B36" s="1821"/>
      <c r="C36" s="369" t="s">
        <v>1282</v>
      </c>
      <c r="D36" s="2311"/>
      <c r="E36" s="2056"/>
      <c r="F36" s="2220"/>
      <c r="G36" s="2266"/>
      <c r="H36" s="1530"/>
      <c r="I36" s="657" t="s">
        <v>1283</v>
      </c>
      <c r="J36" s="577"/>
      <c r="K36" s="1530"/>
      <c r="L36" s="200"/>
      <c r="M36" s="2016"/>
      <c r="N36" s="330"/>
      <c r="O36" s="1664"/>
      <c r="P36" s="1664"/>
    </row>
    <row s="2993" customFormat="1" customHeight="1" ht="0.75" hidden="1">
      <c r="A37" s="1821"/>
      <c r="B37" s="1821"/>
      <c r="C37" s="369" t="s">
        <v>1288</v>
      </c>
      <c r="D37" s="2311"/>
      <c r="E37" s="2056"/>
      <c r="F37" s="2220"/>
      <c r="G37" s="406"/>
      <c r="H37" s="1530"/>
      <c r="I37" s="657"/>
      <c r="J37" s="577"/>
      <c r="K37" s="1530"/>
      <c r="L37" s="200"/>
      <c r="M37" s="2016"/>
      <c r="N37" s="330"/>
      <c r="O37" s="1664"/>
      <c r="P37" s="1664"/>
    </row>
    <row s="2993" customFormat="1" customHeight="1" ht="18.75" hidden="1">
      <c r="A38" s="1821" t="s">
        <v>406</v>
      </c>
      <c r="B38" s="1821" t="s">
        <v>407</v>
      </c>
      <c r="C38" s="369"/>
      <c r="D38" s="2311"/>
      <c r="E38" s="2056"/>
      <c r="F38" s="2220" t="str">
        <f>INDEX(PT_DIFFERENTIATION_VTAR,MATCH(A38,PT_DIFFERENTIATION_VTAR_ID,0))</f>
        <v>Тарифы на услуги по передаче тепловой энергии</v>
      </c>
      <c r="G38" s="2266" t="str">
        <f>INDEX(PT_DIFFERENTIATION_NTAR,MATCH(B38,PT_DIFFERENTIATION_NTAR_ID,0))</f>
        <v/>
      </c>
      <c r="H38" s="1905"/>
      <c r="I38" s="1779"/>
      <c r="J38" s="1814"/>
      <c r="K38" s="1908"/>
      <c r="L38" s="1905" t="s">
        <v>519</v>
      </c>
      <c r="M38" s="2016"/>
      <c r="N38" s="330"/>
      <c r="O38" s="1664"/>
      <c r="P38" s="1664"/>
    </row>
    <row s="2993" customFormat="1" customHeight="1" ht="18.75" hidden="1">
      <c r="A39" s="1821"/>
      <c r="B39" s="1821"/>
      <c r="C39" s="369" t="s">
        <v>1282</v>
      </c>
      <c r="D39" s="2311"/>
      <c r="E39" s="2056"/>
      <c r="F39" s="2220"/>
      <c r="G39" s="2266"/>
      <c r="H39" s="1530"/>
      <c r="I39" s="657" t="s">
        <v>1283</v>
      </c>
      <c r="J39" s="577"/>
      <c r="K39" s="1530"/>
      <c r="L39" s="200"/>
      <c r="M39" s="2016"/>
      <c r="N39" s="330"/>
      <c r="O39" s="1664"/>
      <c r="P39" s="1664"/>
    </row>
    <row s="2993" customFormat="1" customHeight="1" ht="0.75" hidden="1">
      <c r="A40" s="1821"/>
      <c r="B40" s="1821"/>
      <c r="C40" s="369" t="s">
        <v>1288</v>
      </c>
      <c r="D40" s="2311"/>
      <c r="E40" s="2056"/>
      <c r="F40" s="2220"/>
      <c r="G40" s="406"/>
      <c r="H40" s="1530"/>
      <c r="I40" s="657"/>
      <c r="J40" s="577"/>
      <c r="K40" s="1530"/>
      <c r="L40" s="200"/>
      <c r="M40" s="2016"/>
      <c r="N40" s="330"/>
      <c r="O40" s="1664"/>
      <c r="P40" s="1664"/>
    </row>
    <row s="2993" customFormat="1" customHeight="1" ht="18.75" hidden="1">
      <c r="A41" s="1821" t="s">
        <v>412</v>
      </c>
      <c r="B41" s="1821" t="s">
        <v>413</v>
      </c>
      <c r="C41" s="369"/>
      <c r="D41" s="2311"/>
      <c r="E41" s="2056"/>
      <c r="F41" s="2220" t="str">
        <f>INDEX(PT_DIFFERENTIATION_VTAR,MATCH(A41,PT_DIFFERENTIATION_VTAR_ID,0))</f>
        <v>Тарифы на услуги по передаче теплоносителя</v>
      </c>
      <c r="G41" s="2266" t="str">
        <f>INDEX(PT_DIFFERENTIATION_NTAR,MATCH(B41,PT_DIFFERENTIATION_NTAR_ID,0))</f>
        <v/>
      </c>
      <c r="H41" s="1905"/>
      <c r="I41" s="1779"/>
      <c r="J41" s="1814"/>
      <c r="K41" s="1908"/>
      <c r="L41" s="1905" t="s">
        <v>519</v>
      </c>
      <c r="M41" s="2016"/>
      <c r="N41" s="330"/>
      <c r="O41" s="1664"/>
      <c r="P41" s="1664"/>
    </row>
    <row s="2993" customFormat="1" customHeight="1" ht="18.75" hidden="1">
      <c r="A42" s="1821"/>
      <c r="B42" s="1821"/>
      <c r="C42" s="369" t="s">
        <v>1282</v>
      </c>
      <c r="D42" s="2311"/>
      <c r="E42" s="2056"/>
      <c r="F42" s="2220"/>
      <c r="G42" s="2266"/>
      <c r="H42" s="1530"/>
      <c r="I42" s="657" t="s">
        <v>1283</v>
      </c>
      <c r="J42" s="577"/>
      <c r="K42" s="1530"/>
      <c r="L42" s="200"/>
      <c r="M42" s="2016"/>
      <c r="N42" s="330"/>
      <c r="O42" s="1664"/>
      <c r="P42" s="1664"/>
    </row>
    <row s="2993" customFormat="1" customHeight="1" ht="0.75" hidden="1">
      <c r="A43" s="1821"/>
      <c r="B43" s="1821"/>
      <c r="C43" s="369" t="s">
        <v>1288</v>
      </c>
      <c r="D43" s="2311"/>
      <c r="E43" s="2056"/>
      <c r="F43" s="2220"/>
      <c r="G43" s="406"/>
      <c r="H43" s="1530"/>
      <c r="I43" s="657"/>
      <c r="J43" s="577"/>
      <c r="K43" s="1530"/>
      <c r="L43" s="200"/>
      <c r="M43" s="2016"/>
      <c r="N43" s="330"/>
      <c r="O43" s="1664"/>
      <c r="P43" s="1664"/>
    </row>
    <row s="2993" customFormat="1" customHeight="1" ht="18.75" hidden="1">
      <c r="A44" s="1821" t="s">
        <v>418</v>
      </c>
      <c r="B44" s="1821" t="s">
        <v>419</v>
      </c>
      <c r="C44" s="369"/>
      <c r="D44" s="2311"/>
      <c r="E44" s="2056"/>
      <c r="F44" s="2220" t="str">
        <f>INDEX(PT_DIFFERENTIATION_VTAR,MATCH(A44,PT_DIFFERENTIATION_VTAR_ID,0))</f>
        <v>Плата за услуги по поддержанию резервной тепловой мощности при отсутствии потребления тепловой энергии</v>
      </c>
      <c r="G44" s="2266" t="str">
        <f>INDEX(PT_DIFFERENTIATION_NTAR,MATCH(B44,PT_DIFFERENTIATION_NTAR_ID,0))</f>
        <v/>
      </c>
      <c r="H44" s="1905"/>
      <c r="I44" s="1779"/>
      <c r="J44" s="1814"/>
      <c r="K44" s="1908"/>
      <c r="L44" s="1905" t="s">
        <v>519</v>
      </c>
      <c r="M44" s="2016"/>
      <c r="N44" s="330"/>
      <c r="O44" s="1664"/>
      <c r="P44" s="1664"/>
    </row>
    <row s="2993" customFormat="1" customHeight="1" ht="18.75" hidden="1">
      <c r="A45" s="1821"/>
      <c r="B45" s="1821"/>
      <c r="C45" s="369" t="s">
        <v>1282</v>
      </c>
      <c r="D45" s="2311"/>
      <c r="E45" s="2056"/>
      <c r="F45" s="2220"/>
      <c r="G45" s="2266"/>
      <c r="H45" s="1530"/>
      <c r="I45" s="657" t="s">
        <v>1283</v>
      </c>
      <c r="J45" s="577"/>
      <c r="K45" s="1530"/>
      <c r="L45" s="200"/>
      <c r="M45" s="2016"/>
      <c r="N45" s="330"/>
      <c r="O45" s="1664"/>
      <c r="P45" s="1664"/>
    </row>
    <row s="2993" customFormat="1" customHeight="1" ht="0.75" hidden="1">
      <c r="A46" s="1821"/>
      <c r="B46" s="1821"/>
      <c r="C46" s="369" t="s">
        <v>1288</v>
      </c>
      <c r="D46" s="2311"/>
      <c r="E46" s="2056"/>
      <c r="F46" s="2220"/>
      <c r="G46" s="406"/>
      <c r="H46" s="1530"/>
      <c r="I46" s="657"/>
      <c r="J46" s="577"/>
      <c r="K46" s="1530"/>
      <c r="L46" s="200"/>
      <c r="M46" s="2016"/>
      <c r="N46" s="330"/>
      <c r="O46" s="1664"/>
      <c r="P46" s="1664"/>
    </row>
    <row s="2993" customFormat="1" customHeight="1" ht="18.75" hidden="1">
      <c r="A47" s="1821" t="s">
        <v>424</v>
      </c>
      <c r="B47" s="1821" t="s">
        <v>425</v>
      </c>
      <c r="C47" s="369"/>
      <c r="D47" s="2311"/>
      <c r="E47" s="2056"/>
      <c r="F47" s="2220" t="str">
        <f>INDEX(PT_DIFFERENTIATION_VTAR,MATCH(A47,PT_DIFFERENTIATION_VTAR_ID,0))</f>
        <v>Плата за подключение (технологическое присоединение) к системе теплоснабжения</v>
      </c>
      <c r="G47" s="2266" t="str">
        <f>INDEX(PT_DIFFERENTIATION_NTAR,MATCH(B47,PT_DIFFERENTIATION_NTAR_ID,0))</f>
        <v/>
      </c>
      <c r="H47" s="1905"/>
      <c r="I47" s="1779"/>
      <c r="J47" s="1814"/>
      <c r="K47" s="1908"/>
      <c r="L47" s="1905" t="s">
        <v>519</v>
      </c>
      <c r="M47" s="2016"/>
      <c r="N47" s="330"/>
      <c r="O47" s="1664"/>
      <c r="P47" s="1664"/>
    </row>
    <row s="2993" customFormat="1" customHeight="1" ht="18.75" hidden="1">
      <c r="A48" s="1821"/>
      <c r="B48" s="1821"/>
      <c r="C48" s="369" t="s">
        <v>1282</v>
      </c>
      <c r="D48" s="2311"/>
      <c r="E48" s="2056"/>
      <c r="F48" s="2220"/>
      <c r="G48" s="2266"/>
      <c r="H48" s="1530"/>
      <c r="I48" s="657" t="s">
        <v>1283</v>
      </c>
      <c r="J48" s="577"/>
      <c r="K48" s="1530"/>
      <c r="L48" s="200"/>
      <c r="M48" s="2016"/>
      <c r="N48" s="330"/>
      <c r="O48" s="1664"/>
      <c r="P48" s="1664"/>
    </row>
    <row s="2993" customFormat="1" customHeight="1" ht="0.75" hidden="1">
      <c r="A49" s="1821"/>
      <c r="B49" s="1821"/>
      <c r="C49" s="369" t="s">
        <v>1288</v>
      </c>
      <c r="D49" s="2311"/>
      <c r="E49" s="2056"/>
      <c r="F49" s="2220"/>
      <c r="G49" s="406"/>
      <c r="H49" s="1530"/>
      <c r="I49" s="657"/>
      <c r="J49" s="577"/>
      <c r="K49" s="1530"/>
      <c r="L49" s="200"/>
      <c r="M49" s="2016"/>
      <c r="N49" s="330"/>
      <c r="O49" s="1664"/>
      <c r="P49" s="1664"/>
    </row>
    <row s="2993" customFormat="1" customHeight="1" ht="18.75" hidden="1">
      <c r="A50" s="1821" t="s">
        <v>438</v>
      </c>
      <c r="B50" s="1821" t="s">
        <v>439</v>
      </c>
      <c r="C50" s="369"/>
      <c r="D50" s="2311"/>
      <c r="E50" s="2056"/>
      <c r="F50" s="2220" t="str">
        <f>INDEX(PT_DIFFERENTIATION_VTAR,MATCH(A50,PT_DIFFERENTIATION_VTAR_ID,0))</f>
        <v>Тариф на питьевую воду (питьевое водоснабжение)</v>
      </c>
      <c r="G50" s="2266" t="str">
        <f>INDEX(PT_DIFFERENTIATION_NTAR,MATCH(B50,PT_DIFFERENTIATION_NTAR_ID,0))</f>
        <v/>
      </c>
      <c r="H50" s="1905"/>
      <c r="I50" s="1779"/>
      <c r="J50" s="1814"/>
      <c r="K50" s="1908"/>
      <c r="L50" s="1905" t="s">
        <v>519</v>
      </c>
      <c r="M50" s="2016"/>
      <c r="N50" s="330"/>
      <c r="O50" s="1664"/>
      <c r="P50" s="1664"/>
    </row>
    <row s="2993" customFormat="1" customHeight="1" ht="18.75" hidden="1">
      <c r="A51" s="1821"/>
      <c r="B51" s="1821"/>
      <c r="C51" s="369" t="s">
        <v>1282</v>
      </c>
      <c r="D51" s="2311"/>
      <c r="E51" s="2056"/>
      <c r="F51" s="2220"/>
      <c r="G51" s="2266"/>
      <c r="H51" s="1530"/>
      <c r="I51" s="657" t="s">
        <v>1283</v>
      </c>
      <c r="J51" s="577"/>
      <c r="K51" s="1530"/>
      <c r="L51" s="200"/>
      <c r="M51" s="2016"/>
      <c r="N51" s="330"/>
      <c r="O51" s="1664"/>
      <c r="P51" s="1664"/>
    </row>
    <row s="2993" customFormat="1" customHeight="1" ht="0.75" hidden="1">
      <c r="A52" s="1821"/>
      <c r="B52" s="1821"/>
      <c r="C52" s="369" t="s">
        <v>1288</v>
      </c>
      <c r="D52" s="2311"/>
      <c r="E52" s="2056"/>
      <c r="F52" s="2220"/>
      <c r="G52" s="406"/>
      <c r="H52" s="1530"/>
      <c r="I52" s="657"/>
      <c r="J52" s="577"/>
      <c r="K52" s="1530"/>
      <c r="L52" s="200"/>
      <c r="M52" s="2016"/>
      <c r="N52" s="330"/>
      <c r="O52" s="1664"/>
      <c r="P52" s="1664"/>
    </row>
    <row s="2993" customFormat="1" customHeight="1" ht="18.75" hidden="1">
      <c r="A53" s="1821" t="s">
        <v>443</v>
      </c>
      <c r="B53" s="1821" t="s">
        <v>444</v>
      </c>
      <c r="C53" s="369"/>
      <c r="D53" s="2311"/>
      <c r="E53" s="2056"/>
      <c r="F53" s="2220" t="str">
        <f>INDEX(PT_DIFFERENTIATION_VTAR,MATCH(A53,PT_DIFFERENTIATION_VTAR_ID,0))</f>
        <v>Тариф на техническую воду</v>
      </c>
      <c r="G53" s="2266" t="str">
        <f>INDEX(PT_DIFFERENTIATION_NTAR,MATCH(B53,PT_DIFFERENTIATION_NTAR_ID,0))</f>
        <v/>
      </c>
      <c r="H53" s="1905"/>
      <c r="I53" s="1779"/>
      <c r="J53" s="1814"/>
      <c r="K53" s="1908"/>
      <c r="L53" s="1905" t="s">
        <v>519</v>
      </c>
      <c r="M53" s="2016"/>
      <c r="N53" s="330"/>
      <c r="O53" s="1664"/>
      <c r="P53" s="1664"/>
    </row>
    <row s="2993" customFormat="1" customHeight="1" ht="18.75" hidden="1">
      <c r="A54" s="1821"/>
      <c r="B54" s="1821"/>
      <c r="C54" s="369" t="s">
        <v>1282</v>
      </c>
      <c r="D54" s="2311"/>
      <c r="E54" s="2056"/>
      <c r="F54" s="2220"/>
      <c r="G54" s="2266"/>
      <c r="H54" s="1530"/>
      <c r="I54" s="657" t="s">
        <v>1283</v>
      </c>
      <c r="J54" s="577"/>
      <c r="K54" s="1530"/>
      <c r="L54" s="200"/>
      <c r="M54" s="2016"/>
      <c r="N54" s="330"/>
      <c r="O54" s="1664"/>
      <c r="P54" s="1664"/>
    </row>
    <row s="2993" customFormat="1" customHeight="1" ht="0.75" hidden="1">
      <c r="A55" s="1821"/>
      <c r="B55" s="1821"/>
      <c r="C55" s="369" t="s">
        <v>1288</v>
      </c>
      <c r="D55" s="2311"/>
      <c r="E55" s="2056"/>
      <c r="F55" s="2220"/>
      <c r="G55" s="406"/>
      <c r="H55" s="1530"/>
      <c r="I55" s="657"/>
      <c r="J55" s="577"/>
      <c r="K55" s="1530"/>
      <c r="L55" s="200"/>
      <c r="M55" s="2016"/>
      <c r="N55" s="330"/>
      <c r="O55" s="1664"/>
      <c r="P55" s="1664"/>
    </row>
    <row s="2993" customFormat="1" customHeight="1" ht="18.75" hidden="1">
      <c r="A56" s="1821" t="s">
        <v>448</v>
      </c>
      <c r="B56" s="1821" t="s">
        <v>449</v>
      </c>
      <c r="C56" s="369"/>
      <c r="D56" s="2311"/>
      <c r="E56" s="2056"/>
      <c r="F56" s="2220" t="str">
        <f>INDEX(PT_DIFFERENTIATION_VTAR,MATCH(A56,PT_DIFFERENTIATION_VTAR_ID,0))</f>
        <v>Тариф на транспортировку воды</v>
      </c>
      <c r="G56" s="2266" t="str">
        <f>INDEX(PT_DIFFERENTIATION_NTAR,MATCH(B56,PT_DIFFERENTIATION_NTAR_ID,0))</f>
        <v/>
      </c>
      <c r="H56" s="1905"/>
      <c r="I56" s="1779"/>
      <c r="J56" s="1814"/>
      <c r="K56" s="1908"/>
      <c r="L56" s="1905" t="s">
        <v>519</v>
      </c>
      <c r="M56" s="2016"/>
      <c r="N56" s="330"/>
      <c r="O56" s="1664"/>
      <c r="P56" s="1664"/>
    </row>
    <row s="2993" customFormat="1" customHeight="1" ht="18.75" hidden="1">
      <c r="A57" s="1821"/>
      <c r="B57" s="1821"/>
      <c r="C57" s="369" t="s">
        <v>1282</v>
      </c>
      <c r="D57" s="2311"/>
      <c r="E57" s="2056"/>
      <c r="F57" s="2220"/>
      <c r="G57" s="2266"/>
      <c r="H57" s="1530"/>
      <c r="I57" s="657" t="s">
        <v>1283</v>
      </c>
      <c r="J57" s="577"/>
      <c r="K57" s="1530"/>
      <c r="L57" s="200"/>
      <c r="M57" s="2016"/>
      <c r="N57" s="330"/>
      <c r="O57" s="1664"/>
      <c r="P57" s="1664"/>
    </row>
    <row s="2993" customFormat="1" customHeight="1" ht="0.75" hidden="1">
      <c r="A58" s="1821"/>
      <c r="B58" s="1821"/>
      <c r="C58" s="369" t="s">
        <v>1288</v>
      </c>
      <c r="D58" s="2311"/>
      <c r="E58" s="2056"/>
      <c r="F58" s="2220"/>
      <c r="G58" s="406"/>
      <c r="H58" s="1530"/>
      <c r="I58" s="657"/>
      <c r="J58" s="577"/>
      <c r="K58" s="1530"/>
      <c r="L58" s="200"/>
      <c r="M58" s="2016"/>
      <c r="N58" s="330"/>
      <c r="O58" s="1664"/>
      <c r="P58" s="1664"/>
    </row>
    <row s="2993" customFormat="1" customHeight="1" ht="18.75" hidden="1">
      <c r="A59" s="1821" t="s">
        <v>453</v>
      </c>
      <c r="B59" s="1821" t="s">
        <v>454</v>
      </c>
      <c r="C59" s="369"/>
      <c r="D59" s="2311"/>
      <c r="E59" s="2056"/>
      <c r="F59" s="2220" t="str">
        <f>INDEX(PT_DIFFERENTIATION_VTAR,MATCH(A59,PT_DIFFERENTIATION_VTAR_ID,0))</f>
        <v>Тариф на подвоз воды</v>
      </c>
      <c r="G59" s="2266" t="str">
        <f>INDEX(PT_DIFFERENTIATION_NTAR,MATCH(B59,PT_DIFFERENTIATION_NTAR_ID,0))</f>
        <v/>
      </c>
      <c r="H59" s="1905"/>
      <c r="I59" s="1779"/>
      <c r="J59" s="1814"/>
      <c r="K59" s="1908"/>
      <c r="L59" s="1905" t="s">
        <v>519</v>
      </c>
      <c r="M59" s="2016"/>
      <c r="N59" s="330"/>
      <c r="O59" s="1664"/>
      <c r="P59" s="1664"/>
    </row>
    <row s="2993" customFormat="1" customHeight="1" ht="18.75" hidden="1">
      <c r="A60" s="1821"/>
      <c r="B60" s="1821"/>
      <c r="C60" s="369" t="s">
        <v>1282</v>
      </c>
      <c r="D60" s="2311"/>
      <c r="E60" s="2056"/>
      <c r="F60" s="2220"/>
      <c r="G60" s="2266"/>
      <c r="H60" s="1530"/>
      <c r="I60" s="657" t="s">
        <v>1283</v>
      </c>
      <c r="J60" s="577"/>
      <c r="K60" s="1530"/>
      <c r="L60" s="200"/>
      <c r="M60" s="2016"/>
      <c r="N60" s="330"/>
      <c r="O60" s="1664"/>
      <c r="P60" s="1664"/>
    </row>
    <row s="2993" customFormat="1" customHeight="1" ht="0.75" hidden="1">
      <c r="A61" s="1821"/>
      <c r="B61" s="1821"/>
      <c r="C61" s="369" t="s">
        <v>1288</v>
      </c>
      <c r="D61" s="2311"/>
      <c r="E61" s="2056"/>
      <c r="F61" s="2220"/>
      <c r="G61" s="406"/>
      <c r="H61" s="1530"/>
      <c r="I61" s="657"/>
      <c r="J61" s="577"/>
      <c r="K61" s="1530"/>
      <c r="L61" s="200"/>
      <c r="M61" s="2016"/>
      <c r="N61" s="330"/>
      <c r="O61" s="1664"/>
      <c r="P61" s="1664"/>
    </row>
    <row s="2993" customFormat="1" customHeight="1" ht="18.75" hidden="1">
      <c r="A62" s="1821" t="s">
        <v>458</v>
      </c>
      <c r="B62" s="1821" t="s">
        <v>459</v>
      </c>
      <c r="C62" s="369"/>
      <c r="D62" s="2311"/>
      <c r="E62" s="2056"/>
      <c r="F62" s="2220" t="str">
        <f>INDEX(PT_DIFFERENTIATION_VTAR,MATCH(A62,PT_DIFFERENTIATION_VTAR_ID,0))</f>
        <v>Тариф на подключение (технологическое присоединение) к централизованной системе холодного водоснабжения</v>
      </c>
      <c r="G62" s="2266" t="str">
        <f>INDEX(PT_DIFFERENTIATION_NTAR,MATCH(B62,PT_DIFFERENTIATION_NTAR_ID,0))</f>
        <v/>
      </c>
      <c r="H62" s="1905"/>
      <c r="I62" s="1779"/>
      <c r="J62" s="1814"/>
      <c r="K62" s="1908"/>
      <c r="L62" s="1905" t="s">
        <v>519</v>
      </c>
      <c r="M62" s="2016"/>
      <c r="N62" s="330"/>
      <c r="O62" s="1664"/>
      <c r="P62" s="1664"/>
    </row>
    <row s="2993" customFormat="1" customHeight="1" ht="18.75" hidden="1">
      <c r="A63" s="1821"/>
      <c r="B63" s="1821"/>
      <c r="C63" s="369" t="s">
        <v>1282</v>
      </c>
      <c r="D63" s="2311"/>
      <c r="E63" s="2056"/>
      <c r="F63" s="2220"/>
      <c r="G63" s="2266"/>
      <c r="H63" s="1530"/>
      <c r="I63" s="657" t="s">
        <v>1283</v>
      </c>
      <c r="J63" s="577"/>
      <c r="K63" s="1530"/>
      <c r="L63" s="200"/>
      <c r="M63" s="2016"/>
      <c r="N63" s="330"/>
      <c r="O63" s="1664"/>
      <c r="P63" s="1664"/>
    </row>
    <row s="2993" customFormat="1" customHeight="1" ht="0.75" hidden="1">
      <c r="A64" s="1821"/>
      <c r="B64" s="1821"/>
      <c r="C64" s="369" t="s">
        <v>1288</v>
      </c>
      <c r="D64" s="2311"/>
      <c r="E64" s="2056"/>
      <c r="F64" s="2220"/>
      <c r="G64" s="406"/>
      <c r="H64" s="1530"/>
      <c r="I64" s="657"/>
      <c r="J64" s="577"/>
      <c r="K64" s="1530"/>
      <c r="L64" s="200"/>
      <c r="M64" s="2016"/>
      <c r="N64" s="330"/>
      <c r="O64" s="1664"/>
      <c r="P64" s="1664"/>
    </row>
    <row s="2993" customFormat="1" customHeight="1" ht="18.75" hidden="1">
      <c r="A65" s="1821" t="s">
        <v>463</v>
      </c>
      <c r="B65" s="1821" t="s">
        <v>464</v>
      </c>
      <c r="C65" s="369"/>
      <c r="D65" s="2311"/>
      <c r="E65" s="2056"/>
      <c r="F65" s="2220" t="str">
        <f>INDEX(PT_DIFFERENTIATION_VTAR,MATCH(A65,PT_DIFFERENTIATION_VTAR_ID,0))</f>
        <v>Тариф на горячую воду (горячее водоснабжение)</v>
      </c>
      <c r="G65" s="2266" t="str">
        <f>INDEX(PT_DIFFERENTIATION_NTAR,MATCH(B65,PT_DIFFERENTIATION_NTAR_ID,0))</f>
        <v/>
      </c>
      <c r="H65" s="1905"/>
      <c r="I65" s="1779"/>
      <c r="J65" s="1814"/>
      <c r="K65" s="1908"/>
      <c r="L65" s="1905" t="s">
        <v>519</v>
      </c>
      <c r="M65" s="2016"/>
      <c r="N65" s="330"/>
      <c r="O65" s="1664"/>
      <c r="P65" s="1664"/>
    </row>
    <row s="2993" customFormat="1" customHeight="1" ht="18.75" hidden="1">
      <c r="A66" s="1821"/>
      <c r="B66" s="1821"/>
      <c r="C66" s="369" t="s">
        <v>1282</v>
      </c>
      <c r="D66" s="2311"/>
      <c r="E66" s="2056"/>
      <c r="F66" s="2220"/>
      <c r="G66" s="2266"/>
      <c r="H66" s="1530"/>
      <c r="I66" s="657" t="s">
        <v>1283</v>
      </c>
      <c r="J66" s="577"/>
      <c r="K66" s="1530"/>
      <c r="L66" s="200"/>
      <c r="M66" s="2016"/>
      <c r="N66" s="330"/>
      <c r="O66" s="1664"/>
      <c r="P66" s="1664"/>
    </row>
    <row s="2993" customFormat="1" customHeight="1" ht="0.75" hidden="1">
      <c r="A67" s="1821"/>
      <c r="B67" s="1821"/>
      <c r="C67" s="369" t="s">
        <v>1288</v>
      </c>
      <c r="D67" s="2311"/>
      <c r="E67" s="2056"/>
      <c r="F67" s="2220"/>
      <c r="G67" s="406"/>
      <c r="H67" s="1530"/>
      <c r="I67" s="657"/>
      <c r="J67" s="577"/>
      <c r="K67" s="1530"/>
      <c r="L67" s="200"/>
      <c r="M67" s="2016"/>
      <c r="N67" s="330"/>
      <c r="O67" s="1664"/>
      <c r="P67" s="1664"/>
    </row>
    <row s="2993" customFormat="1" customHeight="1" ht="18.75" hidden="1">
      <c r="A68" s="1821" t="s">
        <v>468</v>
      </c>
      <c r="B68" s="1821" t="s">
        <v>469</v>
      </c>
      <c r="C68" s="369"/>
      <c r="D68" s="2311"/>
      <c r="E68" s="2056"/>
      <c r="F68" s="2220" t="str">
        <f>INDEX(PT_DIFFERENTIATION_VTAR,MATCH(A68,PT_DIFFERENTIATION_VTAR_ID,0))</f>
        <v>Тариф на транспортировку горячей воды</v>
      </c>
      <c r="G68" s="2266" t="str">
        <f>INDEX(PT_DIFFERENTIATION_NTAR,MATCH(B68,PT_DIFFERENTIATION_NTAR_ID,0))</f>
        <v/>
      </c>
      <c r="H68" s="1905"/>
      <c r="I68" s="1779"/>
      <c r="J68" s="1814"/>
      <c r="K68" s="1908"/>
      <c r="L68" s="1905" t="s">
        <v>519</v>
      </c>
      <c r="M68" s="2016"/>
      <c r="N68" s="330"/>
      <c r="O68" s="1664"/>
      <c r="P68" s="1664"/>
    </row>
    <row s="2993" customFormat="1" customHeight="1" ht="18.75" hidden="1">
      <c r="A69" s="1821"/>
      <c r="B69" s="1821"/>
      <c r="C69" s="369" t="s">
        <v>1282</v>
      </c>
      <c r="D69" s="2311"/>
      <c r="E69" s="2056"/>
      <c r="F69" s="2220"/>
      <c r="G69" s="2266"/>
      <c r="H69" s="1530"/>
      <c r="I69" s="657" t="s">
        <v>1283</v>
      </c>
      <c r="J69" s="577"/>
      <c r="K69" s="1530"/>
      <c r="L69" s="200"/>
      <c r="M69" s="2016"/>
      <c r="N69" s="330"/>
      <c r="O69" s="1664"/>
      <c r="P69" s="1664"/>
    </row>
    <row s="2993" customFormat="1" customHeight="1" ht="0.75" hidden="1">
      <c r="A70" s="1821"/>
      <c r="B70" s="1821"/>
      <c r="C70" s="369" t="s">
        <v>1288</v>
      </c>
      <c r="D70" s="2311"/>
      <c r="E70" s="2056"/>
      <c r="F70" s="2220"/>
      <c r="G70" s="406"/>
      <c r="H70" s="1530"/>
      <c r="I70" s="657"/>
      <c r="J70" s="577"/>
      <c r="K70" s="1530"/>
      <c r="L70" s="200"/>
      <c r="M70" s="2016"/>
      <c r="N70" s="330"/>
      <c r="O70" s="1664"/>
      <c r="P70" s="1664"/>
    </row>
    <row s="2993" customFormat="1" customHeight="1" ht="18.75" hidden="1">
      <c r="A71" s="1821" t="s">
        <v>473</v>
      </c>
      <c r="B71" s="1821" t="s">
        <v>474</v>
      </c>
      <c r="C71" s="369"/>
      <c r="D71" s="2311"/>
      <c r="E71" s="2056"/>
      <c r="F71" s="2220" t="str">
        <f>INDEX(PT_DIFFERENTIATION_VTAR,MATCH(A71,PT_DIFFERENTIATION_VTAR_ID,0))</f>
        <v>Тариф на подключение (технологическое присоединение) к централизованной системе горячего водоснабжения</v>
      </c>
      <c r="G71" s="2266" t="str">
        <f>INDEX(PT_DIFFERENTIATION_NTAR,MATCH(B71,PT_DIFFERENTIATION_NTAR_ID,0))</f>
        <v/>
      </c>
      <c r="H71" s="1905"/>
      <c r="I71" s="1779"/>
      <c r="J71" s="1814"/>
      <c r="K71" s="1908"/>
      <c r="L71" s="1905" t="s">
        <v>519</v>
      </c>
      <c r="M71" s="2016"/>
      <c r="N71" s="330"/>
      <c r="O71" s="1664"/>
      <c r="P71" s="1664"/>
    </row>
    <row s="2993" customFormat="1" customHeight="1" ht="18.75" hidden="1">
      <c r="A72" s="1821"/>
      <c r="B72" s="1821"/>
      <c r="C72" s="369" t="s">
        <v>1282</v>
      </c>
      <c r="D72" s="2311"/>
      <c r="E72" s="2056"/>
      <c r="F72" s="2220"/>
      <c r="G72" s="2266"/>
      <c r="H72" s="1530"/>
      <c r="I72" s="657" t="s">
        <v>1283</v>
      </c>
      <c r="J72" s="577"/>
      <c r="K72" s="1530"/>
      <c r="L72" s="200"/>
      <c r="M72" s="2016"/>
      <c r="N72" s="330"/>
      <c r="O72" s="1664"/>
      <c r="P72" s="1664"/>
    </row>
    <row s="2993" customFormat="1" customHeight="1" ht="0.75" hidden="1">
      <c r="A73" s="1821"/>
      <c r="B73" s="1821"/>
      <c r="C73" s="369" t="s">
        <v>1288</v>
      </c>
      <c r="D73" s="2311"/>
      <c r="E73" s="2056"/>
      <c r="F73" s="2220"/>
      <c r="G73" s="406"/>
      <c r="H73" s="1530"/>
      <c r="I73" s="657"/>
      <c r="J73" s="577"/>
      <c r="K73" s="1530"/>
      <c r="L73" s="200"/>
      <c r="M73" s="2016"/>
      <c r="N73" s="330"/>
      <c r="O73" s="1664"/>
      <c r="P73" s="1664"/>
    </row>
    <row s="2993" customFormat="1" customHeight="1" ht="18.75" hidden="1">
      <c r="A74" s="1821" t="s">
        <v>478</v>
      </c>
      <c r="B74" s="1821" t="s">
        <v>479</v>
      </c>
      <c r="C74" s="369"/>
      <c r="D74" s="2311"/>
      <c r="E74" s="2056"/>
      <c r="F74" s="2220" t="str">
        <f>INDEX(PT_DIFFERENTIATION_VTAR,MATCH(A74,PT_DIFFERENTIATION_VTAR_ID,0))</f>
        <v>Тариф на водоотведение</v>
      </c>
      <c r="G74" s="2266" t="str">
        <f>INDEX(PT_DIFFERENTIATION_NTAR,MATCH(B74,PT_DIFFERENTIATION_NTAR_ID,0))</f>
        <v/>
      </c>
      <c r="H74" s="1905"/>
      <c r="I74" s="1779"/>
      <c r="J74" s="1814"/>
      <c r="K74" s="1908"/>
      <c r="L74" s="1905" t="s">
        <v>519</v>
      </c>
      <c r="M74" s="2016"/>
      <c r="N74" s="330"/>
      <c r="O74" s="1664"/>
      <c r="P74" s="1664"/>
    </row>
    <row s="2993" customFormat="1" customHeight="1" ht="18.75" hidden="1">
      <c r="A75" s="1821"/>
      <c r="B75" s="1821"/>
      <c r="C75" s="369" t="s">
        <v>1282</v>
      </c>
      <c r="D75" s="2311"/>
      <c r="E75" s="2056"/>
      <c r="F75" s="2220"/>
      <c r="G75" s="2266"/>
      <c r="H75" s="1530"/>
      <c r="I75" s="657" t="s">
        <v>1283</v>
      </c>
      <c r="J75" s="577"/>
      <c r="K75" s="1530"/>
      <c r="L75" s="200"/>
      <c r="M75" s="2016"/>
      <c r="N75" s="330"/>
      <c r="O75" s="1664"/>
      <c r="P75" s="1664"/>
    </row>
    <row s="2993" customFormat="1" customHeight="1" ht="0.75" hidden="1">
      <c r="A76" s="1821"/>
      <c r="B76" s="1821"/>
      <c r="C76" s="369" t="s">
        <v>1288</v>
      </c>
      <c r="D76" s="2311"/>
      <c r="E76" s="2056"/>
      <c r="F76" s="2220"/>
      <c r="G76" s="406"/>
      <c r="H76" s="1530"/>
      <c r="I76" s="657"/>
      <c r="J76" s="577"/>
      <c r="K76" s="1530"/>
      <c r="L76" s="200"/>
      <c r="M76" s="2016"/>
      <c r="N76" s="330"/>
      <c r="O76" s="1664"/>
      <c r="P76" s="1664"/>
    </row>
    <row s="2993" customFormat="1" customHeight="1" ht="18.75" hidden="1">
      <c r="A77" s="1821" t="s">
        <v>483</v>
      </c>
      <c r="B77" s="1821" t="s">
        <v>484</v>
      </c>
      <c r="C77" s="369"/>
      <c r="D77" s="2311"/>
      <c r="E77" s="2056"/>
      <c r="F77" s="2220" t="str">
        <f>INDEX(PT_DIFFERENTIATION_VTAR,MATCH(A77,PT_DIFFERENTIATION_VTAR_ID,0))</f>
        <v>Тариф на транспортировку сточных вод</v>
      </c>
      <c r="G77" s="2266" t="str">
        <f>INDEX(PT_DIFFERENTIATION_NTAR,MATCH(B77,PT_DIFFERENTIATION_NTAR_ID,0))</f>
        <v/>
      </c>
      <c r="H77" s="1905"/>
      <c r="I77" s="1779"/>
      <c r="J77" s="1814"/>
      <c r="K77" s="1908"/>
      <c r="L77" s="1905" t="s">
        <v>519</v>
      </c>
      <c r="M77" s="2016"/>
      <c r="N77" s="330"/>
      <c r="O77" s="1664"/>
      <c r="P77" s="1664"/>
    </row>
    <row s="2993" customFormat="1" customHeight="1" ht="18.75" hidden="1">
      <c r="A78" s="1821"/>
      <c r="B78" s="1821"/>
      <c r="C78" s="369" t="s">
        <v>1282</v>
      </c>
      <c r="D78" s="2311"/>
      <c r="E78" s="2056"/>
      <c r="F78" s="2220"/>
      <c r="G78" s="2266"/>
      <c r="H78" s="1530"/>
      <c r="I78" s="657" t="s">
        <v>1283</v>
      </c>
      <c r="J78" s="577"/>
      <c r="K78" s="1530"/>
      <c r="L78" s="200"/>
      <c r="M78" s="2016"/>
      <c r="N78" s="330"/>
      <c r="O78" s="1664"/>
      <c r="P78" s="1664"/>
    </row>
    <row s="2993" customFormat="1" customHeight="1" ht="0.75" hidden="1">
      <c r="A79" s="1821"/>
      <c r="B79" s="1821"/>
      <c r="C79" s="369" t="s">
        <v>1288</v>
      </c>
      <c r="D79" s="2311"/>
      <c r="E79" s="2056"/>
      <c r="F79" s="2220"/>
      <c r="G79" s="406"/>
      <c r="H79" s="1530"/>
      <c r="I79" s="657"/>
      <c r="J79" s="577"/>
      <c r="K79" s="1530"/>
      <c r="L79" s="200"/>
      <c r="M79" s="2016"/>
      <c r="N79" s="330"/>
      <c r="O79" s="1664"/>
      <c r="P79" s="1664"/>
    </row>
    <row s="2993" customFormat="1" customHeight="1" ht="18.75" hidden="1">
      <c r="A80" s="1821" t="s">
        <v>488</v>
      </c>
      <c r="B80" s="1821" t="s">
        <v>489</v>
      </c>
      <c r="C80" s="369"/>
      <c r="D80" s="2311"/>
      <c r="E80" s="2056"/>
      <c r="F80" s="2220" t="str">
        <f>INDEX(PT_DIFFERENTIATION_VTAR,MATCH(A80,PT_DIFFERENTIATION_VTAR_ID,0))</f>
        <v>Тариф на подключение (технологическое присоединение) к централизованной системе водоотведения</v>
      </c>
      <c r="G80" s="2266" t="str">
        <f>INDEX(PT_DIFFERENTIATION_NTAR,MATCH(B80,PT_DIFFERENTIATION_NTAR_ID,0))</f>
        <v/>
      </c>
      <c r="H80" s="1905"/>
      <c r="I80" s="1779"/>
      <c r="J80" s="1814"/>
      <c r="K80" s="1908"/>
      <c r="L80" s="1905" t="s">
        <v>519</v>
      </c>
      <c r="M80" s="2016"/>
      <c r="N80" s="330"/>
      <c r="O80" s="1664"/>
      <c r="P80" s="1664"/>
    </row>
    <row s="2993" customFormat="1" customHeight="1" ht="18.75" hidden="1">
      <c r="A81" s="1821"/>
      <c r="B81" s="1821"/>
      <c r="C81" s="369" t="s">
        <v>1282</v>
      </c>
      <c r="D81" s="2311"/>
      <c r="E81" s="2056"/>
      <c r="F81" s="2220"/>
      <c r="G81" s="2266"/>
      <c r="H81" s="1530"/>
      <c r="I81" s="657" t="s">
        <v>1283</v>
      </c>
      <c r="J81" s="577"/>
      <c r="K81" s="1530"/>
      <c r="L81" s="200"/>
      <c r="M81" s="2016"/>
      <c r="N81" s="330"/>
      <c r="O81" s="1664"/>
      <c r="P81" s="1664"/>
    </row>
    <row s="2993" customFormat="1" customHeight="1" ht="0.75">
      <c r="A82" s="1821"/>
      <c r="B82" s="1821"/>
      <c r="C82" s="369" t="s">
        <v>1288</v>
      </c>
      <c r="D82" s="2311"/>
      <c r="E82" s="2056"/>
      <c r="F82" s="2220"/>
      <c r="G82" s="406"/>
      <c r="H82" s="1530"/>
      <c r="I82" s="657"/>
      <c r="J82" s="577"/>
      <c r="K82" s="1530"/>
      <c r="L82" s="200"/>
      <c r="M82" s="2016"/>
      <c r="N82" s="330"/>
      <c r="O82" s="1664"/>
      <c r="P82" s="1664"/>
    </row>
    <row customHeight="1" ht="18.75">
      <c r="A83" s="1821"/>
      <c r="B83" s="1821"/>
      <c r="D83" s="377"/>
      <c r="E83" s="133" t="s">
        <v>104</v>
      </c>
      <c r="F83" s="230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3" s="2303"/>
      <c r="H83" s="2303"/>
      <c r="I83" s="2303"/>
      <c r="J83" s="2303"/>
      <c r="K83" s="2303"/>
      <c r="L83" s="2303"/>
      <c r="M83" s="285"/>
      <c r="N83" s="330"/>
    </row>
    <row customHeight="1" ht="33.75">
      <c r="A84" s="1821"/>
      <c r="B84" s="1821"/>
      <c r="D84" s="377"/>
      <c r="E84" s="405"/>
      <c r="F84" s="184" t="s">
        <v>519</v>
      </c>
      <c r="G84" s="184" t="s">
        <v>519</v>
      </c>
      <c r="H84" s="2068" t="s">
        <v>519</v>
      </c>
      <c r="I84" s="2084"/>
      <c r="J84" s="184" t="s">
        <v>519</v>
      </c>
      <c r="K84" s="184" t="s">
        <v>519</v>
      </c>
      <c r="L84" s="407"/>
      <c r="M84" s="341" t="s">
        <v>1289</v>
      </c>
      <c r="N84" s="330"/>
    </row>
    <row customHeight="1" ht="18.75">
      <c r="A85" s="1821"/>
      <c r="B85" s="1821"/>
      <c r="D85" s="377"/>
      <c r="E85" s="133" t="s">
        <v>91</v>
      </c>
      <c r="F85" s="2303" t="s">
        <v>1290</v>
      </c>
      <c r="G85" s="2303"/>
      <c r="H85" s="2303"/>
      <c r="I85" s="2303"/>
      <c r="J85" s="2303"/>
      <c r="K85" s="2303"/>
      <c r="L85" s="2303"/>
      <c r="M85" s="285"/>
      <c r="N85" s="330"/>
    </row>
    <row s="2993" customFormat="1" customHeight="1" ht="60.75" hidden="1">
      <c r="A86" s="1821" t="s">
        <v>230</v>
      </c>
      <c r="B86" s="1821" t="s">
        <v>231</v>
      </c>
      <c r="C86" s="369"/>
      <c r="D86" s="2311"/>
      <c r="E86" s="2056"/>
      <c r="F86" s="2220" t="str">
        <f>INDEX(PT_DIFFERENTIATION_VTAR,MATCH(A86,PT_DIFFERENTIATION_VTAR_ID,0))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6" s="2266" t="str">
        <f>INDEX(PT_DIFFERENTIATION_NTAR,MATCH(B86,PT_DIFFERENTIATION_NTAR_ID,0))</f>
        <v/>
      </c>
      <c r="H86" s="1905"/>
      <c r="I86" s="1779"/>
      <c r="J86" s="1814"/>
      <c r="K86" s="1819"/>
      <c r="L86" s="1905" t="s">
        <v>519</v>
      </c>
      <c r="M86" s="20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6" s="330"/>
      <c r="O86" s="1664"/>
      <c r="P86" s="1664"/>
    </row>
    <row s="2993" customFormat="1" customHeight="1" ht="18.75" hidden="1">
      <c r="A87" s="1821"/>
      <c r="B87" s="1821"/>
      <c r="C87" s="369" t="s">
        <v>1284</v>
      </c>
      <c r="D87" s="2311"/>
      <c r="E87" s="2056"/>
      <c r="F87" s="2220"/>
      <c r="G87" s="2266"/>
      <c r="H87" s="1530"/>
      <c r="I87" s="657" t="s">
        <v>1283</v>
      </c>
      <c r="J87" s="577"/>
      <c r="K87" s="1530"/>
      <c r="L87" s="200"/>
      <c r="M87" s="2016"/>
      <c r="N87" s="330"/>
      <c r="O87" s="1664"/>
      <c r="P87" s="1664"/>
    </row>
    <row s="2993" customFormat="1" customHeight="1" ht="0.75" hidden="1">
      <c r="A88" s="1821"/>
      <c r="B88" s="1821"/>
      <c r="C88" s="369" t="s">
        <v>1291</v>
      </c>
      <c r="D88" s="2311"/>
      <c r="E88" s="2056"/>
      <c r="F88" s="2220"/>
      <c r="G88" s="406"/>
      <c r="H88" s="1530"/>
      <c r="I88" s="657"/>
      <c r="J88" s="577"/>
      <c r="K88" s="1530"/>
      <c r="L88" s="200"/>
      <c r="M88" s="2016"/>
      <c r="N88" s="330"/>
      <c r="O88" s="1664"/>
      <c r="P88" s="1664"/>
    </row>
    <row s="2993" customFormat="1" customHeight="1" ht="45" hidden="1">
      <c r="A89" s="1821" t="s">
        <v>236</v>
      </c>
      <c r="B89" s="1821" t="s">
        <v>237</v>
      </c>
      <c r="C89" s="369"/>
      <c r="D89" s="2311"/>
      <c r="E89" s="2056"/>
      <c r="F89" s="2220" t="str">
        <f>INDEX(PT_DIFFERENTIATION_VTAR,MATCH(A89,PT_DIFFERENTIATION_VTAR_ID,0))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9" s="2266" t="str">
        <f>INDEX(PT_DIFFERENTIATION_NTAR,MATCH(B89,PT_DIFFERENTIATION_NTAR_ID,0))</f>
        <v/>
      </c>
      <c r="H89" s="1905"/>
      <c r="I89" s="1779"/>
      <c r="J89" s="1814"/>
      <c r="K89" s="1819"/>
      <c r="L89" s="1905" t="s">
        <v>519</v>
      </c>
      <c r="M89" s="2017"/>
      <c r="N89" s="330"/>
      <c r="O89" s="1664"/>
      <c r="P89" s="1664"/>
    </row>
    <row s="2993" customFormat="1" customHeight="1" ht="18.75" hidden="1">
      <c r="A90" s="1821"/>
      <c r="B90" s="1821"/>
      <c r="C90" s="369" t="s">
        <v>1284</v>
      </c>
      <c r="D90" s="2311"/>
      <c r="E90" s="2056"/>
      <c r="F90" s="2220"/>
      <c r="G90" s="2266"/>
      <c r="H90" s="1530"/>
      <c r="I90" s="657" t="s">
        <v>1283</v>
      </c>
      <c r="J90" s="577"/>
      <c r="K90" s="1530"/>
      <c r="L90" s="200"/>
      <c r="M90" s="1904"/>
      <c r="N90" s="330"/>
      <c r="O90" s="1664"/>
      <c r="P90" s="1664"/>
    </row>
    <row s="2993" customFormat="1" customHeight="1" ht="0.75" hidden="1">
      <c r="A91" s="1821"/>
      <c r="B91" s="1821"/>
      <c r="C91" s="369" t="s">
        <v>1291</v>
      </c>
      <c r="D91" s="2311"/>
      <c r="E91" s="2056"/>
      <c r="F91" s="2220"/>
      <c r="G91" s="406"/>
      <c r="H91" s="1530"/>
      <c r="I91" s="657"/>
      <c r="J91" s="577"/>
      <c r="K91" s="1530"/>
      <c r="L91" s="200"/>
      <c r="M91" s="337"/>
      <c r="N91" s="330"/>
      <c r="O91" s="1664"/>
      <c r="P91" s="1664"/>
    </row>
    <row s="2993" customFormat="1" customHeight="1" ht="45" hidden="1">
      <c r="A92" s="1821" t="s">
        <v>245</v>
      </c>
      <c r="B92" s="1821" t="s">
        <v>246</v>
      </c>
      <c r="C92" s="369"/>
      <c r="D92" s="2311"/>
      <c r="E92" s="2056"/>
      <c r="F92" s="2220" t="str">
        <f>INDEX(PT_DIFFERENTIATION_VTAR,MATCH(A92,PT_DIFFERENTIATION_VTAR_ID,0))</f>
        <v>Тарифы на теплоноситель, поставляемый теплоснабжающими организациями потребителям, другим теплоснабжающим организациям</v>
      </c>
      <c r="G92" s="2266" t="str">
        <f>INDEX(PT_DIFFERENTIATION_NTAR,MATCH(B92,PT_DIFFERENTIATION_NTAR_ID,0))</f>
        <v>Тариф на теплоноситель, поставляемый потребителям</v>
      </c>
      <c r="H92" s="1905"/>
      <c r="I92" s="1779"/>
      <c r="J92" s="1814"/>
      <c r="K92" s="1819"/>
      <c r="L92" s="1905" t="s">
        <v>519</v>
      </c>
      <c r="M92" s="337"/>
      <c r="N92" s="330"/>
      <c r="O92" s="1664"/>
      <c r="P92" s="1664"/>
    </row>
    <row s="2993" customFormat="1" customHeight="1" ht="18.75" hidden="1">
      <c r="A93" s="1821"/>
      <c r="B93" s="1821"/>
      <c r="C93" s="369" t="s">
        <v>1284</v>
      </c>
      <c r="D93" s="2311"/>
      <c r="E93" s="2056"/>
      <c r="F93" s="2220"/>
      <c r="G93" s="2266"/>
      <c r="H93" s="1530"/>
      <c r="I93" s="657" t="s">
        <v>1283</v>
      </c>
      <c r="J93" s="577"/>
      <c r="K93" s="1530"/>
      <c r="L93" s="200"/>
      <c r="M93" s="337"/>
      <c r="N93" s="330"/>
      <c r="O93" s="1664"/>
      <c r="P93" s="1664"/>
    </row>
    <row s="3431" customFormat="1" customHeight="1" ht="18.75">
      <c r="A94" s="3905" t="s">
        <v>245</v>
      </c>
      <c r="B94" s="3905" t="s">
        <v>331</v>
      </c>
      <c r="C94" s="12942"/>
      <c r="D94" s="12943"/>
      <c r="E94" s="12944"/>
      <c r="F94" s="12944"/>
      <c r="G94" s="12945" t="str">
        <f>INDEX(PT_DIFFERENTIATION_NTAR,MATCH(B94,PT_DIFFERENTIATION_NTAR_ID,0))</f>
        <v>Тариф на теплоноситель, поставляемый населению</v>
      </c>
      <c r="H94" s="3598"/>
      <c r="I94" s="12946"/>
      <c r="J94" s="12947"/>
      <c r="K94" s="12959"/>
      <c r="L94" s="3598" t="s">
        <v>519</v>
      </c>
      <c r="M94" s="12949"/>
      <c r="N94" s="12950"/>
      <c r="O94" s="3728"/>
      <c r="P94" s="3728"/>
      <c r="Q94" s="3431"/>
      <c r="R94" s="3431"/>
      <c r="S94" s="3431"/>
      <c r="T94" s="3431"/>
      <c r="U94" s="3431"/>
      <c r="V94" s="3431"/>
      <c r="W94" s="3431"/>
      <c r="X94" s="3431"/>
      <c r="Y94" s="3431"/>
      <c r="Z94" s="3431"/>
      <c r="AA94" s="3431"/>
      <c r="AB94" s="3431"/>
      <c r="AC94" s="3431"/>
      <c r="AD94" s="3431"/>
      <c r="AE94" s="3431"/>
      <c r="AF94" s="3431"/>
      <c r="AG94" s="3431"/>
    </row>
    <row s="3431" customFormat="1" customHeight="1" ht="18.75">
      <c r="A95" s="3905"/>
      <c r="B95" s="3905"/>
      <c r="C95" s="12942" t="s">
        <v>1284</v>
      </c>
      <c r="D95" s="12943"/>
      <c r="E95" s="12944"/>
      <c r="F95" s="12944"/>
      <c r="G95" s="12945"/>
      <c r="H95" s="12960"/>
      <c r="I95" s="12961" t="s">
        <v>1283</v>
      </c>
      <c r="J95" s="12962"/>
      <c r="K95" s="12963"/>
      <c r="L95" s="12964"/>
      <c r="M95" s="12949"/>
      <c r="N95" s="12950"/>
      <c r="O95" s="3728"/>
      <c r="P95" s="3728"/>
      <c r="Q95" s="3431"/>
      <c r="R95" s="3431"/>
      <c r="S95" s="3431"/>
      <c r="T95" s="3431"/>
      <c r="U95" s="3431"/>
      <c r="V95" s="3431"/>
      <c r="W95" s="3431"/>
      <c r="X95" s="3431"/>
      <c r="Y95" s="3431"/>
      <c r="Z95" s="3431"/>
      <c r="AA95" s="3431"/>
      <c r="AB95" s="3431"/>
      <c r="AC95" s="3431"/>
      <c r="AD95" s="3431"/>
      <c r="AE95" s="3431"/>
      <c r="AF95" s="3431"/>
      <c r="AG95" s="3431"/>
    </row>
    <row s="2993" customFormat="1" customHeight="1" ht="0.75" hidden="1">
      <c r="A96" s="1821"/>
      <c r="B96" s="1821"/>
      <c r="C96" s="369" t="s">
        <v>1291</v>
      </c>
      <c r="D96" s="2311"/>
      <c r="E96" s="2056"/>
      <c r="F96" s="2220"/>
      <c r="G96" s="406"/>
      <c r="H96" s="1530"/>
      <c r="I96" s="657"/>
      <c r="J96" s="577"/>
      <c r="K96" s="1530"/>
      <c r="L96" s="200"/>
      <c r="M96" s="337"/>
      <c r="N96" s="330"/>
      <c r="O96" s="1664"/>
      <c r="P96" s="1664"/>
    </row>
    <row s="2993" customFormat="1" customHeight="1" ht="45" hidden="1">
      <c r="A97" s="1821" t="s">
        <v>400</v>
      </c>
      <c r="B97" s="1821" t="s">
        <v>401</v>
      </c>
      <c r="C97" s="369"/>
      <c r="D97" s="2311"/>
      <c r="E97" s="2056"/>
      <c r="F97" s="2220" t="str">
        <f>INDEX(PT_DIFFERENTIATION_VTAR,MATCH(A97,PT_DIFFERENTIATION_VTAR_ID,0))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7" s="2266" t="str">
        <f>INDEX(PT_DIFFERENTIATION_NTAR,MATCH(B97,PT_DIFFERENTIATION_NTAR_ID,0))</f>
        <v/>
      </c>
      <c r="H97" s="1905"/>
      <c r="I97" s="1779"/>
      <c r="J97" s="1814"/>
      <c r="K97" s="1819"/>
      <c r="L97" s="1905" t="s">
        <v>519</v>
      </c>
      <c r="M97" s="337"/>
      <c r="N97" s="330"/>
      <c r="O97" s="1664"/>
      <c r="P97" s="1664"/>
    </row>
    <row s="2993" customFormat="1" customHeight="1" ht="18.75" hidden="1">
      <c r="A98" s="1821"/>
      <c r="B98" s="1821"/>
      <c r="C98" s="369" t="s">
        <v>1284</v>
      </c>
      <c r="D98" s="2311"/>
      <c r="E98" s="2056"/>
      <c r="F98" s="2220"/>
      <c r="G98" s="2266"/>
      <c r="H98" s="1530"/>
      <c r="I98" s="657" t="s">
        <v>1283</v>
      </c>
      <c r="J98" s="577"/>
      <c r="K98" s="1530"/>
      <c r="L98" s="200"/>
      <c r="M98" s="337"/>
      <c r="N98" s="330"/>
      <c r="O98" s="1664"/>
      <c r="P98" s="1664"/>
    </row>
    <row s="2993" customFormat="1" customHeight="1" ht="0.75" hidden="1">
      <c r="A99" s="1821"/>
      <c r="B99" s="1821"/>
      <c r="C99" s="369" t="s">
        <v>1291</v>
      </c>
      <c r="D99" s="2311"/>
      <c r="E99" s="2056"/>
      <c r="F99" s="2220"/>
      <c r="G99" s="406"/>
      <c r="H99" s="1530"/>
      <c r="I99" s="657"/>
      <c r="J99" s="577"/>
      <c r="K99" s="1530"/>
      <c r="L99" s="200"/>
      <c r="M99" s="337"/>
      <c r="N99" s="330"/>
      <c r="O99" s="1664"/>
      <c r="P99" s="1664"/>
    </row>
    <row s="2993" customFormat="1" customHeight="1" ht="18.75" hidden="1">
      <c r="A100" s="1821" t="s">
        <v>406</v>
      </c>
      <c r="B100" s="1821" t="s">
        <v>407</v>
      </c>
      <c r="C100" s="369"/>
      <c r="D100" s="2311"/>
      <c r="E100" s="2056"/>
      <c r="F100" s="2220" t="str">
        <f>INDEX(PT_DIFFERENTIATION_VTAR,MATCH(A100,PT_DIFFERENTIATION_VTAR_ID,0))</f>
        <v>Тарифы на услуги по передаче тепловой энергии</v>
      </c>
      <c r="G100" s="2266" t="str">
        <f>INDEX(PT_DIFFERENTIATION_NTAR,MATCH(B100,PT_DIFFERENTIATION_NTAR_ID,0))</f>
        <v/>
      </c>
      <c r="H100" s="1905"/>
      <c r="I100" s="1779"/>
      <c r="J100" s="1814"/>
      <c r="K100" s="1819"/>
      <c r="L100" s="1905" t="s">
        <v>519</v>
      </c>
      <c r="M100" s="337"/>
      <c r="N100" s="330"/>
      <c r="O100" s="1664"/>
      <c r="P100" s="1664"/>
    </row>
    <row s="2993" customFormat="1" customHeight="1" ht="18.75" hidden="1">
      <c r="A101" s="1821"/>
      <c r="B101" s="1821"/>
      <c r="C101" s="369" t="s">
        <v>1284</v>
      </c>
      <c r="D101" s="2311"/>
      <c r="E101" s="2056"/>
      <c r="F101" s="2220"/>
      <c r="G101" s="2266"/>
      <c r="H101" s="1530"/>
      <c r="I101" s="657" t="s">
        <v>1283</v>
      </c>
      <c r="J101" s="577"/>
      <c r="K101" s="1530"/>
      <c r="L101" s="200"/>
      <c r="M101" s="337"/>
      <c r="N101" s="330"/>
      <c r="O101" s="1664"/>
      <c r="P101" s="1664"/>
    </row>
    <row s="2993" customFormat="1" customHeight="1" ht="0.75" hidden="1">
      <c r="A102" s="1821"/>
      <c r="B102" s="1821"/>
      <c r="C102" s="369" t="s">
        <v>1291</v>
      </c>
      <c r="D102" s="2311"/>
      <c r="E102" s="2056"/>
      <c r="F102" s="2220"/>
      <c r="G102" s="406"/>
      <c r="H102" s="1530"/>
      <c r="I102" s="657"/>
      <c r="J102" s="577"/>
      <c r="K102" s="1530"/>
      <c r="L102" s="200"/>
      <c r="M102" s="337"/>
      <c r="N102" s="330"/>
      <c r="O102" s="1664"/>
      <c r="P102" s="1664"/>
    </row>
    <row s="2993" customFormat="1" customHeight="1" ht="18.75" hidden="1">
      <c r="A103" s="1821" t="s">
        <v>412</v>
      </c>
      <c r="B103" s="1821" t="s">
        <v>413</v>
      </c>
      <c r="C103" s="369"/>
      <c r="D103" s="2311"/>
      <c r="E103" s="2056"/>
      <c r="F103" s="2220" t="str">
        <f>INDEX(PT_DIFFERENTIATION_VTAR,MATCH(A103,PT_DIFFERENTIATION_VTAR_ID,0))</f>
        <v>Тарифы на услуги по передаче теплоносителя</v>
      </c>
      <c r="G103" s="2266" t="str">
        <f>INDEX(PT_DIFFERENTIATION_NTAR,MATCH(B103,PT_DIFFERENTIATION_NTAR_ID,0))</f>
        <v/>
      </c>
      <c r="H103" s="1905"/>
      <c r="I103" s="1779"/>
      <c r="J103" s="1814"/>
      <c r="K103" s="1819"/>
      <c r="L103" s="1905" t="s">
        <v>519</v>
      </c>
      <c r="M103" s="337"/>
      <c r="N103" s="330"/>
      <c r="O103" s="1664"/>
      <c r="P103" s="1664"/>
    </row>
    <row s="2993" customFormat="1" customHeight="1" ht="18.75" hidden="1">
      <c r="A104" s="1821"/>
      <c r="B104" s="1821"/>
      <c r="C104" s="369" t="s">
        <v>1284</v>
      </c>
      <c r="D104" s="2311"/>
      <c r="E104" s="2056"/>
      <c r="F104" s="2220"/>
      <c r="G104" s="2266"/>
      <c r="H104" s="1530"/>
      <c r="I104" s="657" t="s">
        <v>1283</v>
      </c>
      <c r="J104" s="577"/>
      <c r="K104" s="1530"/>
      <c r="L104" s="200"/>
      <c r="M104" s="337"/>
      <c r="N104" s="330"/>
      <c r="O104" s="1664"/>
      <c r="P104" s="1664"/>
    </row>
    <row s="2993" customFormat="1" customHeight="1" ht="0.75" hidden="1">
      <c r="A105" s="1821"/>
      <c r="B105" s="1821"/>
      <c r="C105" s="369" t="s">
        <v>1291</v>
      </c>
      <c r="D105" s="2311"/>
      <c r="E105" s="2056"/>
      <c r="F105" s="2220"/>
      <c r="G105" s="406"/>
      <c r="H105" s="1530"/>
      <c r="I105" s="657"/>
      <c r="J105" s="577"/>
      <c r="K105" s="1530"/>
      <c r="L105" s="200"/>
      <c r="M105" s="337"/>
      <c r="N105" s="330"/>
      <c r="O105" s="1664"/>
      <c r="P105" s="1664"/>
    </row>
    <row s="2993" customFormat="1" customHeight="1" ht="18.75" hidden="1">
      <c r="A106" s="1821" t="s">
        <v>418</v>
      </c>
      <c r="B106" s="1821" t="s">
        <v>419</v>
      </c>
      <c r="C106" s="369"/>
      <c r="D106" s="2311"/>
      <c r="E106" s="2056"/>
      <c r="F106" s="2220" t="str">
        <f>INDEX(PT_DIFFERENTIATION_VTAR,MATCH(A106,PT_DIFFERENTIATION_VTAR_ID,0))</f>
        <v>Плата за услуги по поддержанию резервной тепловой мощности при отсутствии потребления тепловой энергии</v>
      </c>
      <c r="G106" s="2266" t="str">
        <f>INDEX(PT_DIFFERENTIATION_NTAR,MATCH(B106,PT_DIFFERENTIATION_NTAR_ID,0))</f>
        <v/>
      </c>
      <c r="H106" s="1905"/>
      <c r="I106" s="1779"/>
      <c r="J106" s="1814"/>
      <c r="K106" s="1819"/>
      <c r="L106" s="1905" t="s">
        <v>519</v>
      </c>
      <c r="M106" s="337"/>
      <c r="N106" s="330"/>
      <c r="O106" s="1664"/>
      <c r="P106" s="1664"/>
    </row>
    <row s="2993" customFormat="1" customHeight="1" ht="18.75" hidden="1">
      <c r="A107" s="1821"/>
      <c r="B107" s="1821"/>
      <c r="C107" s="369" t="s">
        <v>1284</v>
      </c>
      <c r="D107" s="2311"/>
      <c r="E107" s="2056"/>
      <c r="F107" s="2220"/>
      <c r="G107" s="2266"/>
      <c r="H107" s="1530"/>
      <c r="I107" s="657" t="s">
        <v>1283</v>
      </c>
      <c r="J107" s="577"/>
      <c r="K107" s="1530"/>
      <c r="L107" s="200"/>
      <c r="M107" s="337"/>
      <c r="N107" s="330"/>
      <c r="O107" s="1664"/>
      <c r="P107" s="1664"/>
    </row>
    <row s="2993" customFormat="1" customHeight="1" ht="0.75" hidden="1">
      <c r="A108" s="1821"/>
      <c r="B108" s="1821"/>
      <c r="C108" s="369" t="s">
        <v>1291</v>
      </c>
      <c r="D108" s="2311"/>
      <c r="E108" s="2056"/>
      <c r="F108" s="2220"/>
      <c r="G108" s="406"/>
      <c r="H108" s="1530"/>
      <c r="I108" s="657"/>
      <c r="J108" s="577"/>
      <c r="K108" s="1530"/>
      <c r="L108" s="200"/>
      <c r="M108" s="337"/>
      <c r="N108" s="330"/>
      <c r="O108" s="1664"/>
      <c r="P108" s="1664"/>
    </row>
    <row s="2993" customFormat="1" customHeight="1" ht="18.75" hidden="1">
      <c r="A109" s="1821" t="s">
        <v>424</v>
      </c>
      <c r="B109" s="1821" t="s">
        <v>425</v>
      </c>
      <c r="C109" s="369"/>
      <c r="D109" s="2311"/>
      <c r="E109" s="2056"/>
      <c r="F109" s="2220" t="str">
        <f>INDEX(PT_DIFFERENTIATION_VTAR,MATCH(A109,PT_DIFFERENTIATION_VTAR_ID,0))</f>
        <v>Плата за подключение (технологическое присоединение) к системе теплоснабжения</v>
      </c>
      <c r="G109" s="2266" t="str">
        <f>INDEX(PT_DIFFERENTIATION_NTAR,MATCH(B109,PT_DIFFERENTIATION_NTAR_ID,0))</f>
        <v/>
      </c>
      <c r="H109" s="1905"/>
      <c r="I109" s="1779"/>
      <c r="J109" s="1814"/>
      <c r="K109" s="1819"/>
      <c r="L109" s="1905" t="s">
        <v>519</v>
      </c>
      <c r="M109" s="337"/>
      <c r="N109" s="330"/>
      <c r="O109" s="1664"/>
      <c r="P109" s="1664"/>
    </row>
    <row s="2993" customFormat="1" customHeight="1" ht="18.75" hidden="1">
      <c r="A110" s="1821"/>
      <c r="B110" s="1821"/>
      <c r="C110" s="369" t="s">
        <v>1284</v>
      </c>
      <c r="D110" s="2311"/>
      <c r="E110" s="2056"/>
      <c r="F110" s="2220"/>
      <c r="G110" s="2266"/>
      <c r="H110" s="1530"/>
      <c r="I110" s="657" t="s">
        <v>1283</v>
      </c>
      <c r="J110" s="577"/>
      <c r="K110" s="1530"/>
      <c r="L110" s="200"/>
      <c r="M110" s="337"/>
      <c r="N110" s="330"/>
      <c r="O110" s="1664"/>
      <c r="P110" s="1664"/>
    </row>
    <row s="2993" customFormat="1" customHeight="1" ht="0.75" hidden="1">
      <c r="A111" s="1821"/>
      <c r="B111" s="1821"/>
      <c r="C111" s="369" t="s">
        <v>1291</v>
      </c>
      <c r="D111" s="2311"/>
      <c r="E111" s="2056"/>
      <c r="F111" s="2220"/>
      <c r="G111" s="406"/>
      <c r="H111" s="1530"/>
      <c r="I111" s="657"/>
      <c r="J111" s="577"/>
      <c r="K111" s="1530"/>
      <c r="L111" s="200"/>
      <c r="M111" s="337"/>
      <c r="N111" s="330"/>
      <c r="O111" s="1664"/>
      <c r="P111" s="1664"/>
    </row>
    <row s="2993" customFormat="1" customHeight="1" ht="18.75" hidden="1">
      <c r="A112" s="1821" t="s">
        <v>438</v>
      </c>
      <c r="B112" s="1821" t="s">
        <v>439</v>
      </c>
      <c r="C112" s="369"/>
      <c r="D112" s="2311"/>
      <c r="E112" s="2056"/>
      <c r="F112" s="2220" t="str">
        <f>INDEX(PT_DIFFERENTIATION_VTAR,MATCH(A112,PT_DIFFERENTIATION_VTAR_ID,0))</f>
        <v>Тариф на питьевую воду (питьевое водоснабжение)</v>
      </c>
      <c r="G112" s="2266" t="str">
        <f>INDEX(PT_DIFFERENTIATION_NTAR,MATCH(B112,PT_DIFFERENTIATION_NTAR_ID,0))</f>
        <v/>
      </c>
      <c r="H112" s="1905"/>
      <c r="I112" s="1779"/>
      <c r="J112" s="1814"/>
      <c r="K112" s="1819"/>
      <c r="L112" s="1905" t="s">
        <v>519</v>
      </c>
      <c r="M112" s="337"/>
      <c r="N112" s="330"/>
      <c r="O112" s="1664"/>
      <c r="P112" s="1664"/>
    </row>
    <row s="2993" customFormat="1" customHeight="1" ht="18.75" hidden="1">
      <c r="A113" s="1821"/>
      <c r="B113" s="1821"/>
      <c r="C113" s="369" t="s">
        <v>1284</v>
      </c>
      <c r="D113" s="2311"/>
      <c r="E113" s="2056"/>
      <c r="F113" s="2220"/>
      <c r="G113" s="2266"/>
      <c r="H113" s="1530"/>
      <c r="I113" s="657" t="s">
        <v>1283</v>
      </c>
      <c r="J113" s="577"/>
      <c r="K113" s="1530"/>
      <c r="L113" s="200"/>
      <c r="M113" s="337"/>
      <c r="N113" s="330"/>
      <c r="O113" s="1664"/>
      <c r="P113" s="1664"/>
    </row>
    <row s="2993" customFormat="1" customHeight="1" ht="0.75" hidden="1">
      <c r="A114" s="1821"/>
      <c r="B114" s="1821"/>
      <c r="C114" s="369" t="s">
        <v>1291</v>
      </c>
      <c r="D114" s="2311"/>
      <c r="E114" s="2056"/>
      <c r="F114" s="2220"/>
      <c r="G114" s="406"/>
      <c r="H114" s="1530"/>
      <c r="I114" s="657"/>
      <c r="J114" s="577"/>
      <c r="K114" s="1530"/>
      <c r="L114" s="200"/>
      <c r="M114" s="337"/>
      <c r="N114" s="330"/>
      <c r="O114" s="1664"/>
      <c r="P114" s="1664"/>
    </row>
    <row s="2993" customFormat="1" customHeight="1" ht="18.75" hidden="1">
      <c r="A115" s="1821" t="s">
        <v>443</v>
      </c>
      <c r="B115" s="1821" t="s">
        <v>444</v>
      </c>
      <c r="C115" s="369"/>
      <c r="D115" s="2311"/>
      <c r="E115" s="2056"/>
      <c r="F115" s="2220" t="str">
        <f>INDEX(PT_DIFFERENTIATION_VTAR,MATCH(A115,PT_DIFFERENTIATION_VTAR_ID,0))</f>
        <v>Тариф на техническую воду</v>
      </c>
      <c r="G115" s="2266" t="str">
        <f>INDEX(PT_DIFFERENTIATION_NTAR,MATCH(B115,PT_DIFFERENTIATION_NTAR_ID,0))</f>
        <v/>
      </c>
      <c r="H115" s="1905"/>
      <c r="I115" s="1779"/>
      <c r="J115" s="1814"/>
      <c r="K115" s="1819"/>
      <c r="L115" s="1905" t="s">
        <v>519</v>
      </c>
      <c r="M115" s="337"/>
      <c r="N115" s="330"/>
      <c r="O115" s="1664"/>
      <c r="P115" s="1664"/>
    </row>
    <row s="2993" customFormat="1" customHeight="1" ht="18.75" hidden="1">
      <c r="A116" s="1821"/>
      <c r="B116" s="1821"/>
      <c r="C116" s="369" t="s">
        <v>1284</v>
      </c>
      <c r="D116" s="2311"/>
      <c r="E116" s="2056"/>
      <c r="F116" s="2220"/>
      <c r="G116" s="2266"/>
      <c r="H116" s="1530"/>
      <c r="I116" s="657" t="s">
        <v>1283</v>
      </c>
      <c r="J116" s="577"/>
      <c r="K116" s="1530"/>
      <c r="L116" s="200"/>
      <c r="M116" s="337"/>
      <c r="N116" s="330"/>
      <c r="O116" s="1664"/>
      <c r="P116" s="1664"/>
    </row>
    <row s="2993" customFormat="1" customHeight="1" ht="0.75" hidden="1">
      <c r="A117" s="1821"/>
      <c r="B117" s="1821"/>
      <c r="C117" s="369" t="s">
        <v>1291</v>
      </c>
      <c r="D117" s="2311"/>
      <c r="E117" s="2056"/>
      <c r="F117" s="2220"/>
      <c r="G117" s="406"/>
      <c r="H117" s="1530"/>
      <c r="I117" s="657"/>
      <c r="J117" s="577"/>
      <c r="K117" s="1530"/>
      <c r="L117" s="200"/>
      <c r="M117" s="337"/>
      <c r="N117" s="330"/>
      <c r="O117" s="1664"/>
      <c r="P117" s="1664"/>
    </row>
    <row s="2993" customFormat="1" customHeight="1" ht="18.75" hidden="1">
      <c r="A118" s="1821" t="s">
        <v>448</v>
      </c>
      <c r="B118" s="1821" t="s">
        <v>449</v>
      </c>
      <c r="C118" s="369"/>
      <c r="D118" s="2311"/>
      <c r="E118" s="2056"/>
      <c r="F118" s="2220" t="str">
        <f>INDEX(PT_DIFFERENTIATION_VTAR,MATCH(A118,PT_DIFFERENTIATION_VTAR_ID,0))</f>
        <v>Тариф на транспортировку воды</v>
      </c>
      <c r="G118" s="2266" t="str">
        <f>INDEX(PT_DIFFERENTIATION_NTAR,MATCH(B118,PT_DIFFERENTIATION_NTAR_ID,0))</f>
        <v/>
      </c>
      <c r="H118" s="1905"/>
      <c r="I118" s="1779"/>
      <c r="J118" s="1814"/>
      <c r="K118" s="1819"/>
      <c r="L118" s="1905" t="s">
        <v>519</v>
      </c>
      <c r="M118" s="337"/>
      <c r="N118" s="330"/>
      <c r="O118" s="1664"/>
      <c r="P118" s="1664"/>
    </row>
    <row s="2993" customFormat="1" customHeight="1" ht="18.75" hidden="1">
      <c r="A119" s="1821"/>
      <c r="B119" s="1821"/>
      <c r="C119" s="369" t="s">
        <v>1284</v>
      </c>
      <c r="D119" s="2311"/>
      <c r="E119" s="2056"/>
      <c r="F119" s="2220"/>
      <c r="G119" s="2266"/>
      <c r="H119" s="1530"/>
      <c r="I119" s="657" t="s">
        <v>1283</v>
      </c>
      <c r="J119" s="577"/>
      <c r="K119" s="1530"/>
      <c r="L119" s="200"/>
      <c r="M119" s="337"/>
      <c r="N119" s="330"/>
      <c r="O119" s="1664"/>
      <c r="P119" s="1664"/>
    </row>
    <row s="2993" customFormat="1" customHeight="1" ht="0.75" hidden="1">
      <c r="A120" s="1821"/>
      <c r="B120" s="1821"/>
      <c r="C120" s="369" t="s">
        <v>1291</v>
      </c>
      <c r="D120" s="2311"/>
      <c r="E120" s="2056"/>
      <c r="F120" s="2220"/>
      <c r="G120" s="406"/>
      <c r="H120" s="1530"/>
      <c r="I120" s="657"/>
      <c r="J120" s="577"/>
      <c r="K120" s="1530"/>
      <c r="L120" s="200"/>
      <c r="M120" s="337"/>
      <c r="N120" s="330"/>
      <c r="O120" s="1664"/>
      <c r="P120" s="1664"/>
    </row>
    <row s="2993" customFormat="1" customHeight="1" ht="18.75" hidden="1">
      <c r="A121" s="1821" t="s">
        <v>453</v>
      </c>
      <c r="B121" s="1821" t="s">
        <v>454</v>
      </c>
      <c r="C121" s="369"/>
      <c r="D121" s="2311"/>
      <c r="E121" s="2056"/>
      <c r="F121" s="2220" t="str">
        <f>INDEX(PT_DIFFERENTIATION_VTAR,MATCH(A121,PT_DIFFERENTIATION_VTAR_ID,0))</f>
        <v>Тариф на подвоз воды</v>
      </c>
      <c r="G121" s="2266" t="str">
        <f>INDEX(PT_DIFFERENTIATION_NTAR,MATCH(B121,PT_DIFFERENTIATION_NTAR_ID,0))</f>
        <v/>
      </c>
      <c r="H121" s="1905"/>
      <c r="I121" s="1779"/>
      <c r="J121" s="1814"/>
      <c r="K121" s="1819"/>
      <c r="L121" s="1905" t="s">
        <v>519</v>
      </c>
      <c r="M121" s="337"/>
      <c r="N121" s="330"/>
      <c r="O121" s="1664"/>
      <c r="P121" s="1664"/>
    </row>
    <row s="2993" customFormat="1" customHeight="1" ht="18.75" hidden="1">
      <c r="A122" s="1821"/>
      <c r="B122" s="1821"/>
      <c r="C122" s="369" t="s">
        <v>1284</v>
      </c>
      <c r="D122" s="2311"/>
      <c r="E122" s="2056"/>
      <c r="F122" s="2220"/>
      <c r="G122" s="2266"/>
      <c r="H122" s="1530"/>
      <c r="I122" s="657" t="s">
        <v>1283</v>
      </c>
      <c r="J122" s="577"/>
      <c r="K122" s="1530"/>
      <c r="L122" s="200"/>
      <c r="M122" s="337"/>
      <c r="N122" s="330"/>
      <c r="O122" s="1664"/>
      <c r="P122" s="1664"/>
    </row>
    <row s="2993" customFormat="1" customHeight="1" ht="0.75" hidden="1">
      <c r="A123" s="1821"/>
      <c r="B123" s="1821"/>
      <c r="C123" s="369" t="s">
        <v>1291</v>
      </c>
      <c r="D123" s="2311"/>
      <c r="E123" s="2056"/>
      <c r="F123" s="2220"/>
      <c r="G123" s="406"/>
      <c r="H123" s="1530"/>
      <c r="I123" s="657"/>
      <c r="J123" s="577"/>
      <c r="K123" s="1530"/>
      <c r="L123" s="200"/>
      <c r="M123" s="337"/>
      <c r="N123" s="330"/>
      <c r="O123" s="1664"/>
      <c r="P123" s="1664"/>
    </row>
    <row s="2993" customFormat="1" customHeight="1" ht="18.75" hidden="1">
      <c r="A124" s="1821" t="s">
        <v>458</v>
      </c>
      <c r="B124" s="1821" t="s">
        <v>459</v>
      </c>
      <c r="C124" s="369"/>
      <c r="D124" s="2311"/>
      <c r="E124" s="2056"/>
      <c r="F124" s="2220" t="str">
        <f>INDEX(PT_DIFFERENTIATION_VTAR,MATCH(A124,PT_DIFFERENTIATION_VTAR_ID,0))</f>
        <v>Тариф на подключение (технологическое присоединение) к централизованной системе холодного водоснабжения</v>
      </c>
      <c r="G124" s="2266" t="str">
        <f>INDEX(PT_DIFFERENTIATION_NTAR,MATCH(B124,PT_DIFFERENTIATION_NTAR_ID,0))</f>
        <v/>
      </c>
      <c r="H124" s="1905"/>
      <c r="I124" s="1779"/>
      <c r="J124" s="1814"/>
      <c r="K124" s="1819"/>
      <c r="L124" s="1905" t="s">
        <v>519</v>
      </c>
      <c r="M124" s="337"/>
      <c r="N124" s="330"/>
      <c r="O124" s="1664"/>
      <c r="P124" s="1664"/>
    </row>
    <row s="2993" customFormat="1" customHeight="1" ht="18.75" hidden="1">
      <c r="A125" s="1821"/>
      <c r="B125" s="1821"/>
      <c r="C125" s="369" t="s">
        <v>1284</v>
      </c>
      <c r="D125" s="2311"/>
      <c r="E125" s="2056"/>
      <c r="F125" s="2220"/>
      <c r="G125" s="2266"/>
      <c r="H125" s="1530"/>
      <c r="I125" s="657" t="s">
        <v>1283</v>
      </c>
      <c r="J125" s="577"/>
      <c r="K125" s="1530"/>
      <c r="L125" s="200"/>
      <c r="M125" s="337"/>
      <c r="N125" s="330"/>
      <c r="O125" s="1664"/>
      <c r="P125" s="1664"/>
    </row>
    <row s="2993" customFormat="1" customHeight="1" ht="0.75" hidden="1">
      <c r="A126" s="1821"/>
      <c r="B126" s="1821"/>
      <c r="C126" s="369" t="s">
        <v>1291</v>
      </c>
      <c r="D126" s="2311"/>
      <c r="E126" s="2056"/>
      <c r="F126" s="2220"/>
      <c r="G126" s="406"/>
      <c r="H126" s="1530"/>
      <c r="I126" s="657"/>
      <c r="J126" s="577"/>
      <c r="K126" s="1530"/>
      <c r="L126" s="200"/>
      <c r="M126" s="337"/>
      <c r="N126" s="330"/>
      <c r="O126" s="1664"/>
      <c r="P126" s="1664"/>
    </row>
    <row s="2993" customFormat="1" customHeight="1" ht="18.75" hidden="1">
      <c r="A127" s="1821" t="s">
        <v>463</v>
      </c>
      <c r="B127" s="1821" t="s">
        <v>464</v>
      </c>
      <c r="C127" s="369"/>
      <c r="D127" s="2311"/>
      <c r="E127" s="2056"/>
      <c r="F127" s="2220" t="str">
        <f>INDEX(PT_DIFFERENTIATION_VTAR,MATCH(A127,PT_DIFFERENTIATION_VTAR_ID,0))</f>
        <v>Тариф на горячую воду (горячее водоснабжение)</v>
      </c>
      <c r="G127" s="2266" t="str">
        <f>INDEX(PT_DIFFERENTIATION_NTAR,MATCH(B127,PT_DIFFERENTIATION_NTAR_ID,0))</f>
        <v/>
      </c>
      <c r="H127" s="1905"/>
      <c r="I127" s="1779"/>
      <c r="J127" s="1814"/>
      <c r="K127" s="1819"/>
      <c r="L127" s="1905" t="s">
        <v>519</v>
      </c>
      <c r="M127" s="337"/>
      <c r="N127" s="330"/>
      <c r="O127" s="1664"/>
      <c r="P127" s="1664"/>
    </row>
    <row s="2993" customFormat="1" customHeight="1" ht="18.75" hidden="1">
      <c r="A128" s="1821"/>
      <c r="B128" s="1821"/>
      <c r="C128" s="369" t="s">
        <v>1284</v>
      </c>
      <c r="D128" s="2311"/>
      <c r="E128" s="2056"/>
      <c r="F128" s="2220"/>
      <c r="G128" s="2266"/>
      <c r="H128" s="1530"/>
      <c r="I128" s="657" t="s">
        <v>1283</v>
      </c>
      <c r="J128" s="577"/>
      <c r="K128" s="1530"/>
      <c r="L128" s="200"/>
      <c r="M128" s="337"/>
      <c r="N128" s="330"/>
      <c r="O128" s="1664"/>
      <c r="P128" s="1664"/>
    </row>
    <row s="2993" customFormat="1" customHeight="1" ht="0.75" hidden="1">
      <c r="A129" s="1821"/>
      <c r="B129" s="1821"/>
      <c r="C129" s="369" t="s">
        <v>1291</v>
      </c>
      <c r="D129" s="2311"/>
      <c r="E129" s="2056"/>
      <c r="F129" s="2220"/>
      <c r="G129" s="406"/>
      <c r="H129" s="1530"/>
      <c r="I129" s="657"/>
      <c r="J129" s="577"/>
      <c r="K129" s="1530"/>
      <c r="L129" s="200"/>
      <c r="M129" s="337"/>
      <c r="N129" s="330"/>
      <c r="O129" s="1664"/>
      <c r="P129" s="1664"/>
    </row>
    <row s="2993" customFormat="1" customHeight="1" ht="18.75" hidden="1">
      <c r="A130" s="1821" t="s">
        <v>468</v>
      </c>
      <c r="B130" s="1821" t="s">
        <v>469</v>
      </c>
      <c r="C130" s="369"/>
      <c r="D130" s="2311"/>
      <c r="E130" s="2056"/>
      <c r="F130" s="2220" t="str">
        <f>INDEX(PT_DIFFERENTIATION_VTAR,MATCH(A130,PT_DIFFERENTIATION_VTAR_ID,0))</f>
        <v>Тариф на транспортировку горячей воды</v>
      </c>
      <c r="G130" s="2266" t="str">
        <f>INDEX(PT_DIFFERENTIATION_NTAR,MATCH(B130,PT_DIFFERENTIATION_NTAR_ID,0))</f>
        <v/>
      </c>
      <c r="H130" s="1905"/>
      <c r="I130" s="1779"/>
      <c r="J130" s="1814"/>
      <c r="K130" s="1819"/>
      <c r="L130" s="1905" t="s">
        <v>519</v>
      </c>
      <c r="M130" s="337"/>
      <c r="N130" s="330"/>
      <c r="O130" s="1664"/>
      <c r="P130" s="1664"/>
    </row>
    <row s="2993" customFormat="1" customHeight="1" ht="18.75" hidden="1">
      <c r="A131" s="1821"/>
      <c r="B131" s="1821"/>
      <c r="C131" s="369" t="s">
        <v>1284</v>
      </c>
      <c r="D131" s="2311"/>
      <c r="E131" s="2056"/>
      <c r="F131" s="2220"/>
      <c r="G131" s="2266"/>
      <c r="H131" s="1530"/>
      <c r="I131" s="657" t="s">
        <v>1283</v>
      </c>
      <c r="J131" s="577"/>
      <c r="K131" s="1530"/>
      <c r="L131" s="200"/>
      <c r="M131" s="337"/>
      <c r="N131" s="330"/>
      <c r="O131" s="1664"/>
      <c r="P131" s="1664"/>
    </row>
    <row s="2993" customFormat="1" customHeight="1" ht="0.75" hidden="1">
      <c r="A132" s="1821"/>
      <c r="B132" s="1821"/>
      <c r="C132" s="369" t="s">
        <v>1291</v>
      </c>
      <c r="D132" s="2311"/>
      <c r="E132" s="2056"/>
      <c r="F132" s="2220"/>
      <c r="G132" s="406"/>
      <c r="H132" s="1530"/>
      <c r="I132" s="657"/>
      <c r="J132" s="577"/>
      <c r="K132" s="1530"/>
      <c r="L132" s="200"/>
      <c r="M132" s="337"/>
      <c r="N132" s="330"/>
      <c r="O132" s="1664"/>
      <c r="P132" s="1664"/>
    </row>
    <row s="2993" customFormat="1" customHeight="1" ht="18.75" hidden="1">
      <c r="A133" s="1821" t="s">
        <v>473</v>
      </c>
      <c r="B133" s="1821" t="s">
        <v>474</v>
      </c>
      <c r="C133" s="369"/>
      <c r="D133" s="2311"/>
      <c r="E133" s="2056"/>
      <c r="F133" s="2220" t="str">
        <f>INDEX(PT_DIFFERENTIATION_VTAR,MATCH(A133,PT_DIFFERENTIATION_VTAR_ID,0))</f>
        <v>Тариф на подключение (технологическое присоединение) к централизованной системе горячего водоснабжения</v>
      </c>
      <c r="G133" s="2266" t="str">
        <f>INDEX(PT_DIFFERENTIATION_NTAR,MATCH(B133,PT_DIFFERENTIATION_NTAR_ID,0))</f>
        <v/>
      </c>
      <c r="H133" s="1905"/>
      <c r="I133" s="1779"/>
      <c r="J133" s="1814"/>
      <c r="K133" s="1819"/>
      <c r="L133" s="1905" t="s">
        <v>519</v>
      </c>
      <c r="M133" s="337"/>
      <c r="N133" s="330"/>
      <c r="O133" s="1664"/>
      <c r="P133" s="1664"/>
    </row>
    <row s="2993" customFormat="1" customHeight="1" ht="18.75" hidden="1">
      <c r="A134" s="1821"/>
      <c r="B134" s="1821"/>
      <c r="C134" s="369" t="s">
        <v>1284</v>
      </c>
      <c r="D134" s="2311"/>
      <c r="E134" s="2056"/>
      <c r="F134" s="2220"/>
      <c r="G134" s="2266"/>
      <c r="H134" s="1530"/>
      <c r="I134" s="657" t="s">
        <v>1283</v>
      </c>
      <c r="J134" s="577"/>
      <c r="K134" s="1530"/>
      <c r="L134" s="200"/>
      <c r="M134" s="337"/>
      <c r="N134" s="330"/>
      <c r="O134" s="1664"/>
      <c r="P134" s="1664"/>
    </row>
    <row s="2993" customFormat="1" customHeight="1" ht="0.75" hidden="1">
      <c r="A135" s="1821"/>
      <c r="B135" s="1821"/>
      <c r="C135" s="369" t="s">
        <v>1291</v>
      </c>
      <c r="D135" s="2311"/>
      <c r="E135" s="2056"/>
      <c r="F135" s="2220"/>
      <c r="G135" s="406"/>
      <c r="H135" s="1530"/>
      <c r="I135" s="657"/>
      <c r="J135" s="577"/>
      <c r="K135" s="1530"/>
      <c r="L135" s="200"/>
      <c r="M135" s="337"/>
      <c r="N135" s="330"/>
      <c r="O135" s="1664"/>
      <c r="P135" s="1664"/>
    </row>
    <row s="2993" customFormat="1" customHeight="1" ht="18.75" hidden="1">
      <c r="A136" s="1821" t="s">
        <v>478</v>
      </c>
      <c r="B136" s="1821" t="s">
        <v>479</v>
      </c>
      <c r="C136" s="369"/>
      <c r="D136" s="2311"/>
      <c r="E136" s="2056"/>
      <c r="F136" s="2220" t="str">
        <f>INDEX(PT_DIFFERENTIATION_VTAR,MATCH(A136,PT_DIFFERENTIATION_VTAR_ID,0))</f>
        <v>Тариф на водоотведение</v>
      </c>
      <c r="G136" s="2266" t="str">
        <f>INDEX(PT_DIFFERENTIATION_NTAR,MATCH(B136,PT_DIFFERENTIATION_NTAR_ID,0))</f>
        <v/>
      </c>
      <c r="H136" s="1905"/>
      <c r="I136" s="1779"/>
      <c r="J136" s="1814"/>
      <c r="K136" s="1819"/>
      <c r="L136" s="1905" t="s">
        <v>519</v>
      </c>
      <c r="M136" s="337"/>
      <c r="N136" s="330"/>
      <c r="O136" s="1664"/>
      <c r="P136" s="1664"/>
    </row>
    <row s="2993" customFormat="1" customHeight="1" ht="18.75" hidden="1">
      <c r="A137" s="1821"/>
      <c r="B137" s="1821"/>
      <c r="C137" s="369" t="s">
        <v>1284</v>
      </c>
      <c r="D137" s="2311"/>
      <c r="E137" s="2056"/>
      <c r="F137" s="2220"/>
      <c r="G137" s="2266"/>
      <c r="H137" s="1530"/>
      <c r="I137" s="657" t="s">
        <v>1283</v>
      </c>
      <c r="J137" s="577"/>
      <c r="K137" s="1530"/>
      <c r="L137" s="200"/>
      <c r="M137" s="337"/>
      <c r="N137" s="330"/>
      <c r="O137" s="1664"/>
      <c r="P137" s="1664"/>
    </row>
    <row s="2993" customFormat="1" customHeight="1" ht="0.75" hidden="1">
      <c r="A138" s="1821"/>
      <c r="B138" s="1821"/>
      <c r="C138" s="369" t="s">
        <v>1291</v>
      </c>
      <c r="D138" s="2311"/>
      <c r="E138" s="2056"/>
      <c r="F138" s="2220"/>
      <c r="G138" s="406"/>
      <c r="H138" s="1530"/>
      <c r="I138" s="657"/>
      <c r="J138" s="577"/>
      <c r="K138" s="1530"/>
      <c r="L138" s="200"/>
      <c r="M138" s="337"/>
      <c r="N138" s="330"/>
      <c r="O138" s="1664"/>
      <c r="P138" s="1664"/>
    </row>
    <row s="2993" customFormat="1" customHeight="1" ht="18.75" hidden="1">
      <c r="A139" s="1821" t="s">
        <v>483</v>
      </c>
      <c r="B139" s="1821" t="s">
        <v>484</v>
      </c>
      <c r="C139" s="369"/>
      <c r="D139" s="2311"/>
      <c r="E139" s="2056"/>
      <c r="F139" s="2220" t="str">
        <f>INDEX(PT_DIFFERENTIATION_VTAR,MATCH(A139,PT_DIFFERENTIATION_VTAR_ID,0))</f>
        <v>Тариф на транспортировку сточных вод</v>
      </c>
      <c r="G139" s="2266" t="str">
        <f>INDEX(PT_DIFFERENTIATION_NTAR,MATCH(B139,PT_DIFFERENTIATION_NTAR_ID,0))</f>
        <v/>
      </c>
      <c r="H139" s="1905"/>
      <c r="I139" s="1779"/>
      <c r="J139" s="1814"/>
      <c r="K139" s="1819"/>
      <c r="L139" s="1905" t="s">
        <v>519</v>
      </c>
      <c r="M139" s="337"/>
      <c r="N139" s="330"/>
      <c r="O139" s="1664"/>
      <c r="P139" s="1664"/>
    </row>
    <row s="2993" customFormat="1" customHeight="1" ht="18.75" hidden="1">
      <c r="A140" s="1821"/>
      <c r="B140" s="1821"/>
      <c r="C140" s="369" t="s">
        <v>1284</v>
      </c>
      <c r="D140" s="2311"/>
      <c r="E140" s="2056"/>
      <c r="F140" s="2220"/>
      <c r="G140" s="2266"/>
      <c r="H140" s="1530"/>
      <c r="I140" s="657" t="s">
        <v>1283</v>
      </c>
      <c r="J140" s="577"/>
      <c r="K140" s="1530"/>
      <c r="L140" s="200"/>
      <c r="M140" s="337"/>
      <c r="N140" s="330"/>
      <c r="O140" s="1664"/>
      <c r="P140" s="1664"/>
    </row>
    <row s="2993" customFormat="1" customHeight="1" ht="0.75" hidden="1">
      <c r="A141" s="1821"/>
      <c r="B141" s="1821"/>
      <c r="C141" s="369" t="s">
        <v>1291</v>
      </c>
      <c r="D141" s="2311"/>
      <c r="E141" s="2056"/>
      <c r="F141" s="2220"/>
      <c r="G141" s="406"/>
      <c r="H141" s="1530"/>
      <c r="I141" s="657"/>
      <c r="J141" s="577"/>
      <c r="K141" s="1530"/>
      <c r="L141" s="200"/>
      <c r="M141" s="337"/>
      <c r="N141" s="330"/>
      <c r="O141" s="1664"/>
      <c r="P141" s="1664"/>
    </row>
    <row s="2993" customFormat="1" customHeight="1" ht="18.75" hidden="1">
      <c r="A142" s="1821" t="s">
        <v>488</v>
      </c>
      <c r="B142" s="1821" t="s">
        <v>489</v>
      </c>
      <c r="C142" s="369"/>
      <c r="D142" s="2311"/>
      <c r="E142" s="2056"/>
      <c r="F142" s="2220" t="str">
        <f>INDEX(PT_DIFFERENTIATION_VTAR,MATCH(A142,PT_DIFFERENTIATION_VTAR_ID,0))</f>
        <v>Тариф на подключение (технологическое присоединение) к централизованной системе водоотведения</v>
      </c>
      <c r="G142" s="2266" t="str">
        <f>INDEX(PT_DIFFERENTIATION_NTAR,MATCH(B142,PT_DIFFERENTIATION_NTAR_ID,0))</f>
        <v/>
      </c>
      <c r="H142" s="1905"/>
      <c r="I142" s="1779"/>
      <c r="J142" s="1814"/>
      <c r="K142" s="1819"/>
      <c r="L142" s="1905" t="s">
        <v>519</v>
      </c>
      <c r="M142" s="337"/>
      <c r="N142" s="330"/>
      <c r="O142" s="1664"/>
      <c r="P142" s="1664"/>
    </row>
    <row s="2993" customFormat="1" customHeight="1" ht="18.75" hidden="1">
      <c r="A143" s="1821"/>
      <c r="B143" s="1821"/>
      <c r="C143" s="369" t="s">
        <v>1284</v>
      </c>
      <c r="D143" s="2311"/>
      <c r="E143" s="2056"/>
      <c r="F143" s="2220"/>
      <c r="G143" s="2266"/>
      <c r="H143" s="1530"/>
      <c r="I143" s="657" t="s">
        <v>1283</v>
      </c>
      <c r="J143" s="577"/>
      <c r="K143" s="1530"/>
      <c r="L143" s="200"/>
      <c r="M143" s="337"/>
      <c r="N143" s="330"/>
      <c r="O143" s="1664"/>
      <c r="P143" s="1664"/>
    </row>
    <row s="2993" customFormat="1" customHeight="1" ht="0.75">
      <c r="A144" s="1821"/>
      <c r="B144" s="1821"/>
      <c r="C144" s="369" t="s">
        <v>1291</v>
      </c>
      <c r="D144" s="2311"/>
      <c r="E144" s="2056"/>
      <c r="F144" s="2220"/>
      <c r="G144" s="406"/>
      <c r="H144" s="1530"/>
      <c r="I144" s="657"/>
      <c r="J144" s="577"/>
      <c r="K144" s="1530"/>
      <c r="L144" s="200"/>
      <c r="M144" s="337"/>
      <c r="N144" s="330"/>
      <c r="O144" s="1664"/>
      <c r="P144" s="1664"/>
    </row>
    <row customHeight="1" ht="18.75">
      <c r="A145" s="1821"/>
      <c r="B145" s="1821"/>
      <c r="D145" s="377"/>
      <c r="E145" s="133" t="s">
        <v>92</v>
      </c>
      <c r="F145" s="230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5" s="2303"/>
      <c r="H145" s="2303"/>
      <c r="I145" s="2303"/>
      <c r="J145" s="2303"/>
      <c r="K145" s="2303"/>
      <c r="L145" s="2303"/>
      <c r="M145" s="285"/>
      <c r="N145" s="330"/>
    </row>
    <row s="2993" customFormat="1" customHeight="1" ht="60.75" hidden="1">
      <c r="A146" s="1821" t="s">
        <v>230</v>
      </c>
      <c r="B146" s="1821" t="s">
        <v>231</v>
      </c>
      <c r="C146" s="369"/>
      <c r="D146" s="2311"/>
      <c r="E146" s="2056"/>
      <c r="F146" s="2220" t="str">
        <f>INDEX(PT_DIFFERENTIATION_VTAR,MATCH(A146,PT_DIFFERENTIATION_VTAR_ID,0))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6" s="2266" t="str">
        <f>INDEX(PT_DIFFERENTIATION_NTAR,MATCH(B146,PT_DIFFERENTIATION_NTAR_ID,0))</f>
        <v/>
      </c>
      <c r="H146" s="1905"/>
      <c r="I146" s="1779"/>
      <c r="J146" s="1814"/>
      <c r="K146" s="1819"/>
      <c r="L146" s="1905" t="s">
        <v>519</v>
      </c>
      <c r="M146" s="20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6" s="330"/>
      <c r="O146" s="1664"/>
      <c r="P146" s="1664"/>
    </row>
    <row s="2993" customFormat="1" customHeight="1" ht="18.75" hidden="1">
      <c r="A147" s="1821"/>
      <c r="B147" s="1821"/>
      <c r="C147" s="369" t="s">
        <v>1284</v>
      </c>
      <c r="D147" s="2311"/>
      <c r="E147" s="2056"/>
      <c r="F147" s="2220"/>
      <c r="G147" s="2266"/>
      <c r="H147" s="1530"/>
      <c r="I147" s="657" t="s">
        <v>1283</v>
      </c>
      <c r="J147" s="577"/>
      <c r="K147" s="1530"/>
      <c r="L147" s="200"/>
      <c r="M147" s="2016"/>
      <c r="N147" s="330"/>
      <c r="O147" s="1664"/>
      <c r="P147" s="1664"/>
    </row>
    <row s="2993" customFormat="1" customHeight="1" ht="0.75" hidden="1">
      <c r="A148" s="1821"/>
      <c r="B148" s="1821"/>
      <c r="C148" s="369" t="s">
        <v>1291</v>
      </c>
      <c r="D148" s="2311"/>
      <c r="E148" s="2056"/>
      <c r="F148" s="2220"/>
      <c r="G148" s="406"/>
      <c r="H148" s="1530"/>
      <c r="I148" s="657"/>
      <c r="J148" s="577"/>
      <c r="K148" s="1530"/>
      <c r="L148" s="200"/>
      <c r="M148" s="2016"/>
      <c r="N148" s="330"/>
      <c r="O148" s="1664"/>
      <c r="P148" s="1664"/>
    </row>
    <row s="2993" customFormat="1" customHeight="1" ht="45" hidden="1">
      <c r="A149" s="1821" t="s">
        <v>236</v>
      </c>
      <c r="B149" s="1821" t="s">
        <v>237</v>
      </c>
      <c r="C149" s="369"/>
      <c r="D149" s="2311"/>
      <c r="E149" s="2056"/>
      <c r="F149" s="2220" t="str">
        <f>INDEX(PT_DIFFERENTIATION_VTAR,MATCH(A149,PT_DIFFERENTIATION_VTAR_ID,0))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9" s="2266" t="str">
        <f>INDEX(PT_DIFFERENTIATION_NTAR,MATCH(B149,PT_DIFFERENTIATION_NTAR_ID,0))</f>
        <v/>
      </c>
      <c r="H149" s="1905"/>
      <c r="I149" s="1779"/>
      <c r="J149" s="1814"/>
      <c r="K149" s="1819"/>
      <c r="L149" s="1905" t="s">
        <v>519</v>
      </c>
      <c r="M149" s="2017"/>
      <c r="N149" s="330"/>
      <c r="O149" s="1664"/>
      <c r="P149" s="1664"/>
    </row>
    <row s="2993" customFormat="1" customHeight="1" ht="18.75" hidden="1">
      <c r="A150" s="1821"/>
      <c r="B150" s="1821"/>
      <c r="C150" s="369" t="s">
        <v>1284</v>
      </c>
      <c r="D150" s="2311"/>
      <c r="E150" s="2056"/>
      <c r="F150" s="2220"/>
      <c r="G150" s="2266"/>
      <c r="H150" s="1530"/>
      <c r="I150" s="657" t="s">
        <v>1283</v>
      </c>
      <c r="J150" s="577"/>
      <c r="K150" s="1530"/>
      <c r="L150" s="200"/>
      <c r="M150" s="1904"/>
      <c r="N150" s="330"/>
      <c r="O150" s="1664"/>
      <c r="P150" s="1664"/>
    </row>
    <row s="2993" customFormat="1" customHeight="1" ht="0.75" hidden="1">
      <c r="A151" s="1821"/>
      <c r="B151" s="1821"/>
      <c r="C151" s="369" t="s">
        <v>1291</v>
      </c>
      <c r="D151" s="2311"/>
      <c r="E151" s="2056"/>
      <c r="F151" s="2220"/>
      <c r="G151" s="406"/>
      <c r="H151" s="1530"/>
      <c r="I151" s="657"/>
      <c r="J151" s="577"/>
      <c r="K151" s="1530"/>
      <c r="L151" s="200"/>
      <c r="M151" s="337"/>
      <c r="N151" s="330"/>
      <c r="O151" s="1664"/>
      <c r="P151" s="1664"/>
    </row>
    <row s="2993" customFormat="1" customHeight="1" ht="45" hidden="1">
      <c r="A152" s="1821" t="s">
        <v>245</v>
      </c>
      <c r="B152" s="1821" t="s">
        <v>246</v>
      </c>
      <c r="C152" s="369"/>
      <c r="D152" s="2311"/>
      <c r="E152" s="2056"/>
      <c r="F152" s="2220" t="str">
        <f>INDEX(PT_DIFFERENTIATION_VTAR,MATCH(A152,PT_DIFFERENTIATION_VTAR_ID,0))</f>
        <v>Тарифы на теплоноситель, поставляемый теплоснабжающими организациями потребителям, другим теплоснабжающим организациям</v>
      </c>
      <c r="G152" s="2266" t="str">
        <f>INDEX(PT_DIFFERENTIATION_NTAR,MATCH(B152,PT_DIFFERENTIATION_NTAR_ID,0))</f>
        <v>Тариф на теплоноситель, поставляемый потребителям</v>
      </c>
      <c r="H152" s="1905"/>
      <c r="I152" s="1779"/>
      <c r="J152" s="1814"/>
      <c r="K152" s="1819"/>
      <c r="L152" s="1905" t="s">
        <v>519</v>
      </c>
      <c r="M152" s="337"/>
      <c r="N152" s="330"/>
      <c r="O152" s="1664"/>
      <c r="P152" s="1664"/>
    </row>
    <row s="2993" customFormat="1" customHeight="1" ht="18.75" hidden="1">
      <c r="A153" s="1821"/>
      <c r="B153" s="1821"/>
      <c r="C153" s="369" t="s">
        <v>1284</v>
      </c>
      <c r="D153" s="2311"/>
      <c r="E153" s="2056"/>
      <c r="F153" s="2220"/>
      <c r="G153" s="2266"/>
      <c r="H153" s="1530"/>
      <c r="I153" s="657" t="s">
        <v>1283</v>
      </c>
      <c r="J153" s="577"/>
      <c r="K153" s="1530"/>
      <c r="L153" s="200"/>
      <c r="M153" s="337"/>
      <c r="N153" s="330"/>
      <c r="O153" s="1664"/>
      <c r="P153" s="1664"/>
    </row>
    <row s="3431" customFormat="1" customHeight="1" ht="18.75">
      <c r="A154" s="3905" t="s">
        <v>245</v>
      </c>
      <c r="B154" s="3905" t="s">
        <v>331</v>
      </c>
      <c r="C154" s="12942"/>
      <c r="D154" s="12943"/>
      <c r="E154" s="12944"/>
      <c r="F154" s="12944"/>
      <c r="G154" s="12945" t="str">
        <f>INDEX(PT_DIFFERENTIATION_NTAR,MATCH(B154,PT_DIFFERENTIATION_NTAR_ID,0))</f>
        <v>Тариф на теплоноситель, поставляемый населению</v>
      </c>
      <c r="H154" s="3598"/>
      <c r="I154" s="12946"/>
      <c r="J154" s="12947"/>
      <c r="K154" s="12959"/>
      <c r="L154" s="3598" t="s">
        <v>519</v>
      </c>
      <c r="M154" s="12949"/>
      <c r="N154" s="12950"/>
      <c r="O154" s="3728"/>
      <c r="P154" s="3728"/>
      <c r="Q154" s="3431"/>
      <c r="R154" s="3431"/>
      <c r="S154" s="3431"/>
      <c r="T154" s="3431"/>
      <c r="U154" s="3431"/>
      <c r="V154" s="3431"/>
      <c r="W154" s="3431"/>
      <c r="X154" s="3431"/>
      <c r="Y154" s="3431"/>
      <c r="Z154" s="3431"/>
      <c r="AA154" s="3431"/>
      <c r="AB154" s="3431"/>
      <c r="AC154" s="3431"/>
      <c r="AD154" s="3431"/>
      <c r="AE154" s="3431"/>
      <c r="AF154" s="3431"/>
      <c r="AG154" s="3431"/>
    </row>
    <row s="3431" customFormat="1" customHeight="1" ht="18.75">
      <c r="A155" s="3905"/>
      <c r="B155" s="3905"/>
      <c r="C155" s="12942" t="s">
        <v>1284</v>
      </c>
      <c r="D155" s="12943"/>
      <c r="E155" s="12944"/>
      <c r="F155" s="12944"/>
      <c r="G155" s="12945"/>
      <c r="H155" s="12965"/>
      <c r="I155" s="12966" t="s">
        <v>1283</v>
      </c>
      <c r="J155" s="12967"/>
      <c r="K155" s="12968"/>
      <c r="L155" s="12969"/>
      <c r="M155" s="12949"/>
      <c r="N155" s="12950"/>
      <c r="O155" s="3728"/>
      <c r="P155" s="3728"/>
      <c r="Q155" s="3431"/>
      <c r="R155" s="3431"/>
      <c r="S155" s="3431"/>
      <c r="T155" s="3431"/>
      <c r="U155" s="3431"/>
      <c r="V155" s="3431"/>
      <c r="W155" s="3431"/>
      <c r="X155" s="3431"/>
      <c r="Y155" s="3431"/>
      <c r="Z155" s="3431"/>
      <c r="AA155" s="3431"/>
      <c r="AB155" s="3431"/>
      <c r="AC155" s="3431"/>
      <c r="AD155" s="3431"/>
      <c r="AE155" s="3431"/>
      <c r="AF155" s="3431"/>
      <c r="AG155" s="3431"/>
    </row>
    <row s="2993" customFormat="1" customHeight="1" ht="0.75" hidden="1">
      <c r="A156" s="1821"/>
      <c r="B156" s="1821"/>
      <c r="C156" s="369" t="s">
        <v>1291</v>
      </c>
      <c r="D156" s="2311"/>
      <c r="E156" s="2056"/>
      <c r="F156" s="2220"/>
      <c r="G156" s="406"/>
      <c r="H156" s="1530"/>
      <c r="I156" s="657"/>
      <c r="J156" s="577"/>
      <c r="K156" s="1530"/>
      <c r="L156" s="200"/>
      <c r="M156" s="337"/>
      <c r="N156" s="330"/>
      <c r="O156" s="1664"/>
      <c r="P156" s="1664"/>
    </row>
    <row s="2993" customFormat="1" customHeight="1" ht="45" hidden="1">
      <c r="A157" s="1821" t="s">
        <v>400</v>
      </c>
      <c r="B157" s="1821" t="s">
        <v>401</v>
      </c>
      <c r="C157" s="369"/>
      <c r="D157" s="2311"/>
      <c r="E157" s="2056"/>
      <c r="F157" s="222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266" t="str">
        <f>INDEX(PT_DIFFERENTIATION_NTAR,MATCH(B157,PT_DIFFERENTIATION_NTAR_ID,0))</f>
        <v/>
      </c>
      <c r="H157" s="1905"/>
      <c r="I157" s="1779"/>
      <c r="J157" s="1814"/>
      <c r="K157" s="1819"/>
      <c r="L157" s="1905" t="s">
        <v>519</v>
      </c>
      <c r="M157" s="337"/>
      <c r="N157" s="330"/>
      <c r="O157" s="1664"/>
      <c r="P157" s="1664"/>
    </row>
    <row s="2993" customFormat="1" customHeight="1" ht="18.75" hidden="1">
      <c r="A158" s="1821"/>
      <c r="B158" s="1821"/>
      <c r="C158" s="369" t="s">
        <v>1284</v>
      </c>
      <c r="D158" s="2311"/>
      <c r="E158" s="2056"/>
      <c r="F158" s="2220"/>
      <c r="G158" s="2266"/>
      <c r="H158" s="1530"/>
      <c r="I158" s="657" t="s">
        <v>1283</v>
      </c>
      <c r="J158" s="577"/>
      <c r="K158" s="1530"/>
      <c r="L158" s="200"/>
      <c r="M158" s="337"/>
      <c r="N158" s="330"/>
      <c r="O158" s="1664"/>
      <c r="P158" s="1664"/>
    </row>
    <row s="2993" customFormat="1" customHeight="1" ht="0.75" hidden="1">
      <c r="A159" s="1821"/>
      <c r="B159" s="1821"/>
      <c r="C159" s="369" t="s">
        <v>1291</v>
      </c>
      <c r="D159" s="2311"/>
      <c r="E159" s="2056"/>
      <c r="F159" s="2220"/>
      <c r="G159" s="406"/>
      <c r="H159" s="1530"/>
      <c r="I159" s="657"/>
      <c r="J159" s="577"/>
      <c r="K159" s="1530"/>
      <c r="L159" s="200"/>
      <c r="M159" s="337"/>
      <c r="N159" s="330"/>
      <c r="O159" s="1664"/>
      <c r="P159" s="1664"/>
    </row>
    <row s="2993" customFormat="1" customHeight="1" ht="18.75" hidden="1">
      <c r="A160" s="1821" t="s">
        <v>406</v>
      </c>
      <c r="B160" s="1821" t="s">
        <v>407</v>
      </c>
      <c r="C160" s="369"/>
      <c r="D160" s="2311"/>
      <c r="E160" s="2056"/>
      <c r="F160" s="2220" t="str">
        <f>INDEX(PT_DIFFERENTIATION_VTAR,MATCH(A160,PT_DIFFERENTIATION_VTAR_ID,0))</f>
        <v>Тарифы на услуги по передаче тепловой энергии</v>
      </c>
      <c r="G160" s="2266" t="str">
        <f>INDEX(PT_DIFFERENTIATION_NTAR,MATCH(B160,PT_DIFFERENTIATION_NTAR_ID,0))</f>
        <v/>
      </c>
      <c r="H160" s="1905"/>
      <c r="I160" s="1779"/>
      <c r="J160" s="1814"/>
      <c r="K160" s="1819"/>
      <c r="L160" s="1905" t="s">
        <v>519</v>
      </c>
      <c r="M160" s="337"/>
      <c r="N160" s="330"/>
      <c r="O160" s="1664"/>
      <c r="P160" s="1664"/>
    </row>
    <row s="2993" customFormat="1" customHeight="1" ht="18.75" hidden="1">
      <c r="A161" s="1821"/>
      <c r="B161" s="1821"/>
      <c r="C161" s="369" t="s">
        <v>1284</v>
      </c>
      <c r="D161" s="2311"/>
      <c r="E161" s="2056"/>
      <c r="F161" s="2220"/>
      <c r="G161" s="2266"/>
      <c r="H161" s="1530"/>
      <c r="I161" s="657" t="s">
        <v>1283</v>
      </c>
      <c r="J161" s="577"/>
      <c r="K161" s="1530"/>
      <c r="L161" s="200"/>
      <c r="M161" s="337"/>
      <c r="N161" s="330"/>
      <c r="O161" s="1664"/>
      <c r="P161" s="1664"/>
    </row>
    <row s="2993" customFormat="1" customHeight="1" ht="0.75" hidden="1">
      <c r="A162" s="1821"/>
      <c r="B162" s="1821"/>
      <c r="C162" s="369" t="s">
        <v>1291</v>
      </c>
      <c r="D162" s="2311"/>
      <c r="E162" s="2056"/>
      <c r="F162" s="2220"/>
      <c r="G162" s="406"/>
      <c r="H162" s="1530"/>
      <c r="I162" s="657"/>
      <c r="J162" s="577"/>
      <c r="K162" s="1530"/>
      <c r="L162" s="200"/>
      <c r="M162" s="337"/>
      <c r="N162" s="330"/>
      <c r="O162" s="1664"/>
      <c r="P162" s="1664"/>
    </row>
    <row s="2993" customFormat="1" customHeight="1" ht="18.75" hidden="1">
      <c r="A163" s="1821" t="s">
        <v>412</v>
      </c>
      <c r="B163" s="1821" t="s">
        <v>413</v>
      </c>
      <c r="C163" s="369"/>
      <c r="D163" s="2311"/>
      <c r="E163" s="2056"/>
      <c r="F163" s="2220" t="str">
        <f>INDEX(PT_DIFFERENTIATION_VTAR,MATCH(A163,PT_DIFFERENTIATION_VTAR_ID,0))</f>
        <v>Тарифы на услуги по передаче теплоносителя</v>
      </c>
      <c r="G163" s="2266" t="str">
        <f>INDEX(PT_DIFFERENTIATION_NTAR,MATCH(B163,PT_DIFFERENTIATION_NTAR_ID,0))</f>
        <v/>
      </c>
      <c r="H163" s="1905"/>
      <c r="I163" s="1779"/>
      <c r="J163" s="1814"/>
      <c r="K163" s="1819"/>
      <c r="L163" s="1905" t="s">
        <v>519</v>
      </c>
      <c r="M163" s="337"/>
      <c r="N163" s="330"/>
      <c r="O163" s="1664"/>
      <c r="P163" s="1664"/>
    </row>
    <row s="2993" customFormat="1" customHeight="1" ht="18.75" hidden="1">
      <c r="A164" s="1821"/>
      <c r="B164" s="1821"/>
      <c r="C164" s="369" t="s">
        <v>1284</v>
      </c>
      <c r="D164" s="2311"/>
      <c r="E164" s="2056"/>
      <c r="F164" s="2220"/>
      <c r="G164" s="2266"/>
      <c r="H164" s="1530"/>
      <c r="I164" s="657" t="s">
        <v>1283</v>
      </c>
      <c r="J164" s="577"/>
      <c r="K164" s="1530"/>
      <c r="L164" s="200"/>
      <c r="M164" s="337"/>
      <c r="N164" s="330"/>
      <c r="O164" s="1664"/>
      <c r="P164" s="1664"/>
    </row>
    <row s="2993" customFormat="1" customHeight="1" ht="0.75" hidden="1">
      <c r="A165" s="1821"/>
      <c r="B165" s="1821"/>
      <c r="C165" s="369" t="s">
        <v>1291</v>
      </c>
      <c r="D165" s="2311"/>
      <c r="E165" s="2056"/>
      <c r="F165" s="2220"/>
      <c r="G165" s="406"/>
      <c r="H165" s="1530"/>
      <c r="I165" s="657"/>
      <c r="J165" s="577"/>
      <c r="K165" s="1530"/>
      <c r="L165" s="200"/>
      <c r="M165" s="337"/>
      <c r="N165" s="330"/>
      <c r="O165" s="1664"/>
      <c r="P165" s="1664"/>
    </row>
    <row s="2993" customFormat="1" customHeight="1" ht="18.75" hidden="1">
      <c r="A166" s="1821" t="s">
        <v>418</v>
      </c>
      <c r="B166" s="1821" t="s">
        <v>419</v>
      </c>
      <c r="C166" s="369"/>
      <c r="D166" s="2311"/>
      <c r="E166" s="2056"/>
      <c r="F166" s="222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266" t="str">
        <f>INDEX(PT_DIFFERENTIATION_NTAR,MATCH(B166,PT_DIFFERENTIATION_NTAR_ID,0))</f>
        <v/>
      </c>
      <c r="H166" s="1905"/>
      <c r="I166" s="1779"/>
      <c r="J166" s="1814"/>
      <c r="K166" s="1819"/>
      <c r="L166" s="1905" t="s">
        <v>519</v>
      </c>
      <c r="M166" s="337"/>
      <c r="N166" s="330"/>
      <c r="O166" s="1664"/>
      <c r="P166" s="1664"/>
    </row>
    <row s="2993" customFormat="1" customHeight="1" ht="18.75" hidden="1">
      <c r="A167" s="1821"/>
      <c r="B167" s="1821"/>
      <c r="C167" s="369" t="s">
        <v>1284</v>
      </c>
      <c r="D167" s="2311"/>
      <c r="E167" s="2056"/>
      <c r="F167" s="2220"/>
      <c r="G167" s="2266"/>
      <c r="H167" s="1530"/>
      <c r="I167" s="657" t="s">
        <v>1283</v>
      </c>
      <c r="J167" s="577"/>
      <c r="K167" s="1530"/>
      <c r="L167" s="200"/>
      <c r="M167" s="337"/>
      <c r="N167" s="330"/>
      <c r="O167" s="1664"/>
      <c r="P167" s="1664"/>
    </row>
    <row s="2993" customFormat="1" customHeight="1" ht="0.75" hidden="1">
      <c r="A168" s="1821"/>
      <c r="B168" s="1821"/>
      <c r="C168" s="369" t="s">
        <v>1291</v>
      </c>
      <c r="D168" s="2311"/>
      <c r="E168" s="2056"/>
      <c r="F168" s="2220"/>
      <c r="G168" s="406"/>
      <c r="H168" s="1530"/>
      <c r="I168" s="657"/>
      <c r="J168" s="577"/>
      <c r="K168" s="1530"/>
      <c r="L168" s="200"/>
      <c r="M168" s="337"/>
      <c r="N168" s="330"/>
      <c r="O168" s="1664"/>
      <c r="P168" s="1664"/>
    </row>
    <row s="2993" customFormat="1" customHeight="1" ht="18.75" hidden="1">
      <c r="A169" s="1821" t="s">
        <v>424</v>
      </c>
      <c r="B169" s="1821" t="s">
        <v>425</v>
      </c>
      <c r="C169" s="369"/>
      <c r="D169" s="2311"/>
      <c r="E169" s="2056"/>
      <c r="F169" s="2220" t="str">
        <f>INDEX(PT_DIFFERENTIATION_VTAR,MATCH(A169,PT_DIFFERENTIATION_VTAR_ID,0))</f>
        <v>Плата за подключение (технологическое присоединение) к системе теплоснабжения</v>
      </c>
      <c r="G169" s="2266" t="str">
        <f>INDEX(PT_DIFFERENTIATION_NTAR,MATCH(B169,PT_DIFFERENTIATION_NTAR_ID,0))</f>
        <v/>
      </c>
      <c r="H169" s="1905"/>
      <c r="I169" s="1779"/>
      <c r="J169" s="1814"/>
      <c r="K169" s="1819"/>
      <c r="L169" s="1905" t="s">
        <v>519</v>
      </c>
      <c r="M169" s="337"/>
      <c r="N169" s="330"/>
      <c r="O169" s="1664"/>
      <c r="P169" s="1664"/>
    </row>
    <row s="2993" customFormat="1" customHeight="1" ht="18.75" hidden="1">
      <c r="A170" s="1821"/>
      <c r="B170" s="1821"/>
      <c r="C170" s="369" t="s">
        <v>1284</v>
      </c>
      <c r="D170" s="2311"/>
      <c r="E170" s="2056"/>
      <c r="F170" s="2220"/>
      <c r="G170" s="2266"/>
      <c r="H170" s="1530"/>
      <c r="I170" s="657" t="s">
        <v>1283</v>
      </c>
      <c r="J170" s="577"/>
      <c r="K170" s="1530"/>
      <c r="L170" s="200"/>
      <c r="M170" s="337"/>
      <c r="N170" s="330"/>
      <c r="O170" s="1664"/>
      <c r="P170" s="1664"/>
    </row>
    <row s="2993" customFormat="1" customHeight="1" ht="0.75" hidden="1">
      <c r="A171" s="1821"/>
      <c r="B171" s="1821"/>
      <c r="C171" s="369" t="s">
        <v>1291</v>
      </c>
      <c r="D171" s="2311"/>
      <c r="E171" s="2056"/>
      <c r="F171" s="2220"/>
      <c r="G171" s="406"/>
      <c r="H171" s="1530"/>
      <c r="I171" s="657"/>
      <c r="J171" s="577"/>
      <c r="K171" s="1530"/>
      <c r="L171" s="200"/>
      <c r="M171" s="337"/>
      <c r="N171" s="330"/>
      <c r="O171" s="1664"/>
      <c r="P171" s="1664"/>
    </row>
    <row s="2993" customFormat="1" customHeight="1" ht="18.75" hidden="1">
      <c r="A172" s="1821" t="s">
        <v>438</v>
      </c>
      <c r="B172" s="1821" t="s">
        <v>439</v>
      </c>
      <c r="C172" s="369"/>
      <c r="D172" s="2311"/>
      <c r="E172" s="2056"/>
      <c r="F172" s="2220" t="str">
        <f>INDEX(PT_DIFFERENTIATION_VTAR,MATCH(A172,PT_DIFFERENTIATION_VTAR_ID,0))</f>
        <v>Тариф на питьевую воду (питьевое водоснабжение)</v>
      </c>
      <c r="G172" s="2266" t="str">
        <f>INDEX(PT_DIFFERENTIATION_NTAR,MATCH(B172,PT_DIFFERENTIATION_NTAR_ID,0))</f>
        <v/>
      </c>
      <c r="H172" s="1905"/>
      <c r="I172" s="1779"/>
      <c r="J172" s="1814"/>
      <c r="K172" s="1819"/>
      <c r="L172" s="1905" t="s">
        <v>519</v>
      </c>
      <c r="M172" s="337"/>
      <c r="N172" s="330"/>
      <c r="O172" s="1664"/>
      <c r="P172" s="1664"/>
    </row>
    <row s="2993" customFormat="1" customHeight="1" ht="18.75" hidden="1">
      <c r="A173" s="1821"/>
      <c r="B173" s="1821"/>
      <c r="C173" s="369" t="s">
        <v>1284</v>
      </c>
      <c r="D173" s="2311"/>
      <c r="E173" s="2056"/>
      <c r="F173" s="2220"/>
      <c r="G173" s="2266"/>
      <c r="H173" s="1530"/>
      <c r="I173" s="657" t="s">
        <v>1283</v>
      </c>
      <c r="J173" s="577"/>
      <c r="K173" s="1530"/>
      <c r="L173" s="200"/>
      <c r="M173" s="337"/>
      <c r="N173" s="330"/>
      <c r="O173" s="1664"/>
      <c r="P173" s="1664"/>
    </row>
    <row s="2993" customFormat="1" customHeight="1" ht="0.75" hidden="1">
      <c r="A174" s="1821"/>
      <c r="B174" s="1821"/>
      <c r="C174" s="369" t="s">
        <v>1291</v>
      </c>
      <c r="D174" s="2311"/>
      <c r="E174" s="2056"/>
      <c r="F174" s="2220"/>
      <c r="G174" s="406"/>
      <c r="H174" s="1530"/>
      <c r="I174" s="657"/>
      <c r="J174" s="577"/>
      <c r="K174" s="1530"/>
      <c r="L174" s="200"/>
      <c r="M174" s="337"/>
      <c r="N174" s="330"/>
      <c r="O174" s="1664"/>
      <c r="P174" s="1664"/>
    </row>
    <row s="2993" customFormat="1" customHeight="1" ht="18.75" hidden="1">
      <c r="A175" s="1821" t="s">
        <v>443</v>
      </c>
      <c r="B175" s="1821" t="s">
        <v>444</v>
      </c>
      <c r="C175" s="369"/>
      <c r="D175" s="2311"/>
      <c r="E175" s="2056"/>
      <c r="F175" s="2220" t="str">
        <f>INDEX(PT_DIFFERENTIATION_VTAR,MATCH(A175,PT_DIFFERENTIATION_VTAR_ID,0))</f>
        <v>Тариф на техническую воду</v>
      </c>
      <c r="G175" s="2266" t="str">
        <f>INDEX(PT_DIFFERENTIATION_NTAR,MATCH(B175,PT_DIFFERENTIATION_NTAR_ID,0))</f>
        <v/>
      </c>
      <c r="H175" s="1905"/>
      <c r="I175" s="1779"/>
      <c r="J175" s="1814"/>
      <c r="K175" s="1819"/>
      <c r="L175" s="1905" t="s">
        <v>519</v>
      </c>
      <c r="M175" s="337"/>
      <c r="N175" s="330"/>
      <c r="O175" s="1664"/>
      <c r="P175" s="1664"/>
    </row>
    <row s="2993" customFormat="1" customHeight="1" ht="18.75" hidden="1">
      <c r="A176" s="1821"/>
      <c r="B176" s="1821"/>
      <c r="C176" s="369" t="s">
        <v>1284</v>
      </c>
      <c r="D176" s="2311"/>
      <c r="E176" s="2056"/>
      <c r="F176" s="2220"/>
      <c r="G176" s="2266"/>
      <c r="H176" s="1530"/>
      <c r="I176" s="657" t="s">
        <v>1283</v>
      </c>
      <c r="J176" s="577"/>
      <c r="K176" s="1530"/>
      <c r="L176" s="200"/>
      <c r="M176" s="337"/>
      <c r="N176" s="330"/>
      <c r="O176" s="1664"/>
      <c r="P176" s="1664"/>
    </row>
    <row s="2993" customFormat="1" customHeight="1" ht="0.75" hidden="1">
      <c r="A177" s="1821"/>
      <c r="B177" s="1821"/>
      <c r="C177" s="369" t="s">
        <v>1291</v>
      </c>
      <c r="D177" s="2311"/>
      <c r="E177" s="2056"/>
      <c r="F177" s="2220"/>
      <c r="G177" s="406"/>
      <c r="H177" s="1530"/>
      <c r="I177" s="657"/>
      <c r="J177" s="577"/>
      <c r="K177" s="1530"/>
      <c r="L177" s="200"/>
      <c r="M177" s="337"/>
      <c r="N177" s="330"/>
      <c r="O177" s="1664"/>
      <c r="P177" s="1664"/>
    </row>
    <row s="2993" customFormat="1" customHeight="1" ht="18.75" hidden="1">
      <c r="A178" s="1821" t="s">
        <v>448</v>
      </c>
      <c r="B178" s="1821" t="s">
        <v>449</v>
      </c>
      <c r="C178" s="369"/>
      <c r="D178" s="2311"/>
      <c r="E178" s="2056"/>
      <c r="F178" s="2220" t="str">
        <f>INDEX(PT_DIFFERENTIATION_VTAR,MATCH(A178,PT_DIFFERENTIATION_VTAR_ID,0))</f>
        <v>Тариф на транспортировку воды</v>
      </c>
      <c r="G178" s="2266" t="str">
        <f>INDEX(PT_DIFFERENTIATION_NTAR,MATCH(B178,PT_DIFFERENTIATION_NTAR_ID,0))</f>
        <v/>
      </c>
      <c r="H178" s="1905"/>
      <c r="I178" s="1779"/>
      <c r="J178" s="1814"/>
      <c r="K178" s="1819"/>
      <c r="L178" s="1905" t="s">
        <v>519</v>
      </c>
      <c r="M178" s="337"/>
      <c r="N178" s="330"/>
      <c r="O178" s="1664"/>
      <c r="P178" s="1664"/>
    </row>
    <row s="2993" customFormat="1" customHeight="1" ht="18.75" hidden="1">
      <c r="A179" s="1821"/>
      <c r="B179" s="1821"/>
      <c r="C179" s="369" t="s">
        <v>1284</v>
      </c>
      <c r="D179" s="2311"/>
      <c r="E179" s="2056"/>
      <c r="F179" s="2220"/>
      <c r="G179" s="2266"/>
      <c r="H179" s="1530"/>
      <c r="I179" s="657" t="s">
        <v>1283</v>
      </c>
      <c r="J179" s="577"/>
      <c r="K179" s="1530"/>
      <c r="L179" s="200"/>
      <c r="M179" s="337"/>
      <c r="N179" s="330"/>
      <c r="O179" s="1664"/>
      <c r="P179" s="1664"/>
    </row>
    <row s="2993" customFormat="1" customHeight="1" ht="0.75" hidden="1">
      <c r="A180" s="1821"/>
      <c r="B180" s="1821"/>
      <c r="C180" s="369" t="s">
        <v>1291</v>
      </c>
      <c r="D180" s="2311"/>
      <c r="E180" s="2056"/>
      <c r="F180" s="2220"/>
      <c r="G180" s="406"/>
      <c r="H180" s="1530"/>
      <c r="I180" s="657"/>
      <c r="J180" s="577"/>
      <c r="K180" s="1530"/>
      <c r="L180" s="200"/>
      <c r="M180" s="337"/>
      <c r="N180" s="330"/>
      <c r="O180" s="1664"/>
      <c r="P180" s="1664"/>
    </row>
    <row s="2993" customFormat="1" customHeight="1" ht="18.75" hidden="1">
      <c r="A181" s="1821" t="s">
        <v>453</v>
      </c>
      <c r="B181" s="1821" t="s">
        <v>454</v>
      </c>
      <c r="C181" s="369"/>
      <c r="D181" s="2311"/>
      <c r="E181" s="2056"/>
      <c r="F181" s="2220" t="str">
        <f>INDEX(PT_DIFFERENTIATION_VTAR,MATCH(A181,PT_DIFFERENTIATION_VTAR_ID,0))</f>
        <v>Тариф на подвоз воды</v>
      </c>
      <c r="G181" s="2266" t="str">
        <f>INDEX(PT_DIFFERENTIATION_NTAR,MATCH(B181,PT_DIFFERENTIATION_NTAR_ID,0))</f>
        <v/>
      </c>
      <c r="H181" s="1905"/>
      <c r="I181" s="1779"/>
      <c r="J181" s="1814"/>
      <c r="K181" s="1819"/>
      <c r="L181" s="1905" t="s">
        <v>519</v>
      </c>
      <c r="M181" s="337"/>
      <c r="N181" s="330"/>
      <c r="O181" s="1664"/>
      <c r="P181" s="1664"/>
    </row>
    <row s="2993" customFormat="1" customHeight="1" ht="18.75" hidden="1">
      <c r="A182" s="1821"/>
      <c r="B182" s="1821"/>
      <c r="C182" s="369" t="s">
        <v>1284</v>
      </c>
      <c r="D182" s="2311"/>
      <c r="E182" s="2056"/>
      <c r="F182" s="2220"/>
      <c r="G182" s="2266"/>
      <c r="H182" s="1530"/>
      <c r="I182" s="657" t="s">
        <v>1283</v>
      </c>
      <c r="J182" s="577"/>
      <c r="K182" s="1530"/>
      <c r="L182" s="200"/>
      <c r="M182" s="337"/>
      <c r="N182" s="330"/>
      <c r="O182" s="1664"/>
      <c r="P182" s="1664"/>
    </row>
    <row s="2993" customFormat="1" customHeight="1" ht="0.75" hidden="1">
      <c r="A183" s="1821"/>
      <c r="B183" s="1821"/>
      <c r="C183" s="369" t="s">
        <v>1291</v>
      </c>
      <c r="D183" s="2311"/>
      <c r="E183" s="2056"/>
      <c r="F183" s="2220"/>
      <c r="G183" s="406"/>
      <c r="H183" s="1530"/>
      <c r="I183" s="657"/>
      <c r="J183" s="577"/>
      <c r="K183" s="1530"/>
      <c r="L183" s="200"/>
      <c r="M183" s="337"/>
      <c r="N183" s="330"/>
      <c r="O183" s="1664"/>
      <c r="P183" s="1664"/>
    </row>
    <row s="2993" customFormat="1" customHeight="1" ht="18.75" hidden="1">
      <c r="A184" s="1821" t="s">
        <v>458</v>
      </c>
      <c r="B184" s="1821" t="s">
        <v>459</v>
      </c>
      <c r="C184" s="369"/>
      <c r="D184" s="2311"/>
      <c r="E184" s="2056"/>
      <c r="F184" s="2220" t="str">
        <f>INDEX(PT_DIFFERENTIATION_VTAR,MATCH(A184,PT_DIFFERENTIATION_VTAR_ID,0))</f>
        <v>Тариф на подключение (технологическое присоединение) к централизованной системе холодного водоснабжения</v>
      </c>
      <c r="G184" s="2266" t="str">
        <f>INDEX(PT_DIFFERENTIATION_NTAR,MATCH(B184,PT_DIFFERENTIATION_NTAR_ID,0))</f>
        <v/>
      </c>
      <c r="H184" s="1905"/>
      <c r="I184" s="1779"/>
      <c r="J184" s="1814"/>
      <c r="K184" s="1819"/>
      <c r="L184" s="1905" t="s">
        <v>519</v>
      </c>
      <c r="M184" s="337"/>
      <c r="N184" s="330"/>
      <c r="O184" s="1664"/>
      <c r="P184" s="1664"/>
    </row>
    <row s="2993" customFormat="1" customHeight="1" ht="18.75" hidden="1">
      <c r="A185" s="1821"/>
      <c r="B185" s="1821"/>
      <c r="C185" s="369" t="s">
        <v>1284</v>
      </c>
      <c r="D185" s="2311"/>
      <c r="E185" s="2056"/>
      <c r="F185" s="2220"/>
      <c r="G185" s="2266"/>
      <c r="H185" s="1530"/>
      <c r="I185" s="657" t="s">
        <v>1283</v>
      </c>
      <c r="J185" s="577"/>
      <c r="K185" s="1530"/>
      <c r="L185" s="200"/>
      <c r="M185" s="337"/>
      <c r="N185" s="330"/>
      <c r="O185" s="1664"/>
      <c r="P185" s="1664"/>
    </row>
    <row s="2993" customFormat="1" customHeight="1" ht="0.75" hidden="1">
      <c r="A186" s="1821"/>
      <c r="B186" s="1821"/>
      <c r="C186" s="369" t="s">
        <v>1291</v>
      </c>
      <c r="D186" s="2311"/>
      <c r="E186" s="2056"/>
      <c r="F186" s="2220"/>
      <c r="G186" s="406"/>
      <c r="H186" s="1530"/>
      <c r="I186" s="657"/>
      <c r="J186" s="577"/>
      <c r="K186" s="1530"/>
      <c r="L186" s="200"/>
      <c r="M186" s="337"/>
      <c r="N186" s="330"/>
      <c r="O186" s="1664"/>
      <c r="P186" s="1664"/>
    </row>
    <row s="2993" customFormat="1" customHeight="1" ht="18.75" hidden="1">
      <c r="A187" s="1821" t="s">
        <v>463</v>
      </c>
      <c r="B187" s="1821" t="s">
        <v>464</v>
      </c>
      <c r="C187" s="369"/>
      <c r="D187" s="2311"/>
      <c r="E187" s="2056"/>
      <c r="F187" s="2220" t="str">
        <f>INDEX(PT_DIFFERENTIATION_VTAR,MATCH(A187,PT_DIFFERENTIATION_VTAR_ID,0))</f>
        <v>Тариф на горячую воду (горячее водоснабжение)</v>
      </c>
      <c r="G187" s="2266" t="str">
        <f>INDEX(PT_DIFFERENTIATION_NTAR,MATCH(B187,PT_DIFFERENTIATION_NTAR_ID,0))</f>
        <v/>
      </c>
      <c r="H187" s="1905"/>
      <c r="I187" s="1779"/>
      <c r="J187" s="1814"/>
      <c r="K187" s="1819"/>
      <c r="L187" s="1905" t="s">
        <v>519</v>
      </c>
      <c r="M187" s="337"/>
      <c r="N187" s="330"/>
      <c r="O187" s="1664"/>
      <c r="P187" s="1664"/>
    </row>
    <row s="2993" customFormat="1" customHeight="1" ht="18.75" hidden="1">
      <c r="A188" s="1821"/>
      <c r="B188" s="1821"/>
      <c r="C188" s="369" t="s">
        <v>1284</v>
      </c>
      <c r="D188" s="2311"/>
      <c r="E188" s="2056"/>
      <c r="F188" s="2220"/>
      <c r="G188" s="2266"/>
      <c r="H188" s="1530"/>
      <c r="I188" s="657" t="s">
        <v>1283</v>
      </c>
      <c r="J188" s="577"/>
      <c r="K188" s="1530"/>
      <c r="L188" s="200"/>
      <c r="M188" s="337"/>
      <c r="N188" s="330"/>
      <c r="O188" s="1664"/>
      <c r="P188" s="1664"/>
    </row>
    <row s="2993" customFormat="1" customHeight="1" ht="0.75" hidden="1">
      <c r="A189" s="1821"/>
      <c r="B189" s="1821"/>
      <c r="C189" s="369" t="s">
        <v>1291</v>
      </c>
      <c r="D189" s="2311"/>
      <c r="E189" s="2056"/>
      <c r="F189" s="2220"/>
      <c r="G189" s="406"/>
      <c r="H189" s="1530"/>
      <c r="I189" s="657"/>
      <c r="J189" s="577"/>
      <c r="K189" s="1530"/>
      <c r="L189" s="200"/>
      <c r="M189" s="337"/>
      <c r="N189" s="330"/>
      <c r="O189" s="1664"/>
      <c r="P189" s="1664"/>
    </row>
    <row s="2993" customFormat="1" customHeight="1" ht="18.75" hidden="1">
      <c r="A190" s="1821" t="s">
        <v>468</v>
      </c>
      <c r="B190" s="1821" t="s">
        <v>469</v>
      </c>
      <c r="C190" s="369"/>
      <c r="D190" s="2311"/>
      <c r="E190" s="2056"/>
      <c r="F190" s="2220" t="str">
        <f>INDEX(PT_DIFFERENTIATION_VTAR,MATCH(A190,PT_DIFFERENTIATION_VTAR_ID,0))</f>
        <v>Тариф на транспортировку горячей воды</v>
      </c>
      <c r="G190" s="2266" t="str">
        <f>INDEX(PT_DIFFERENTIATION_NTAR,MATCH(B190,PT_DIFFERENTIATION_NTAR_ID,0))</f>
        <v/>
      </c>
      <c r="H190" s="1905"/>
      <c r="I190" s="1779"/>
      <c r="J190" s="1814"/>
      <c r="K190" s="1819"/>
      <c r="L190" s="1905" t="s">
        <v>519</v>
      </c>
      <c r="M190" s="337"/>
      <c r="N190" s="330"/>
      <c r="O190" s="1664"/>
      <c r="P190" s="1664"/>
    </row>
    <row s="2993" customFormat="1" customHeight="1" ht="18.75" hidden="1">
      <c r="A191" s="1821"/>
      <c r="B191" s="1821"/>
      <c r="C191" s="369" t="s">
        <v>1284</v>
      </c>
      <c r="D191" s="2311"/>
      <c r="E191" s="2056"/>
      <c r="F191" s="2220"/>
      <c r="G191" s="2266"/>
      <c r="H191" s="1530"/>
      <c r="I191" s="657" t="s">
        <v>1283</v>
      </c>
      <c r="J191" s="577"/>
      <c r="K191" s="1530"/>
      <c r="L191" s="200"/>
      <c r="M191" s="337"/>
      <c r="N191" s="330"/>
      <c r="O191" s="1664"/>
      <c r="P191" s="1664"/>
    </row>
    <row s="2993" customFormat="1" customHeight="1" ht="0.75" hidden="1">
      <c r="A192" s="1821"/>
      <c r="B192" s="1821"/>
      <c r="C192" s="369" t="s">
        <v>1291</v>
      </c>
      <c r="D192" s="2311"/>
      <c r="E192" s="2056"/>
      <c r="F192" s="2220"/>
      <c r="G192" s="406"/>
      <c r="H192" s="1530"/>
      <c r="I192" s="657"/>
      <c r="J192" s="577"/>
      <c r="K192" s="1530"/>
      <c r="L192" s="200"/>
      <c r="M192" s="337"/>
      <c r="N192" s="330"/>
      <c r="O192" s="1664"/>
      <c r="P192" s="1664"/>
    </row>
    <row s="2993" customFormat="1" customHeight="1" ht="18.75" hidden="1">
      <c r="A193" s="1821" t="s">
        <v>473</v>
      </c>
      <c r="B193" s="1821" t="s">
        <v>474</v>
      </c>
      <c r="C193" s="369"/>
      <c r="D193" s="2311"/>
      <c r="E193" s="2056"/>
      <c r="F193" s="2220" t="str">
        <f>INDEX(PT_DIFFERENTIATION_VTAR,MATCH(A193,PT_DIFFERENTIATION_VTAR_ID,0))</f>
        <v>Тариф на подключение (технологическое присоединение) к централизованной системе горячего водоснабжения</v>
      </c>
      <c r="G193" s="2266" t="str">
        <f>INDEX(PT_DIFFERENTIATION_NTAR,MATCH(B193,PT_DIFFERENTIATION_NTAR_ID,0))</f>
        <v/>
      </c>
      <c r="H193" s="1905"/>
      <c r="I193" s="1779"/>
      <c r="J193" s="1814"/>
      <c r="K193" s="1819"/>
      <c r="L193" s="1905" t="s">
        <v>519</v>
      </c>
      <c r="M193" s="337"/>
      <c r="N193" s="330"/>
      <c r="O193" s="1664"/>
      <c r="P193" s="1664"/>
    </row>
    <row s="2993" customFormat="1" customHeight="1" ht="18.75" hidden="1">
      <c r="A194" s="1821"/>
      <c r="B194" s="1821"/>
      <c r="C194" s="369" t="s">
        <v>1284</v>
      </c>
      <c r="D194" s="2311"/>
      <c r="E194" s="2056"/>
      <c r="F194" s="2220"/>
      <c r="G194" s="2266"/>
      <c r="H194" s="1530"/>
      <c r="I194" s="657" t="s">
        <v>1283</v>
      </c>
      <c r="J194" s="577"/>
      <c r="K194" s="1530"/>
      <c r="L194" s="200"/>
      <c r="M194" s="337"/>
      <c r="N194" s="330"/>
      <c r="O194" s="1664"/>
      <c r="P194" s="1664"/>
    </row>
    <row s="2993" customFormat="1" customHeight="1" ht="0.75" hidden="1">
      <c r="A195" s="1821"/>
      <c r="B195" s="1821"/>
      <c r="C195" s="369" t="s">
        <v>1291</v>
      </c>
      <c r="D195" s="2311"/>
      <c r="E195" s="2056"/>
      <c r="F195" s="2220"/>
      <c r="G195" s="406"/>
      <c r="H195" s="1530"/>
      <c r="I195" s="657"/>
      <c r="J195" s="577"/>
      <c r="K195" s="1530"/>
      <c r="L195" s="200"/>
      <c r="M195" s="337"/>
      <c r="N195" s="330"/>
      <c r="O195" s="1664"/>
      <c r="P195" s="1664"/>
    </row>
    <row s="2993" customFormat="1" customHeight="1" ht="18.75" hidden="1">
      <c r="A196" s="1821" t="s">
        <v>478</v>
      </c>
      <c r="B196" s="1821" t="s">
        <v>479</v>
      </c>
      <c r="C196" s="369"/>
      <c r="D196" s="2311"/>
      <c r="E196" s="2056"/>
      <c r="F196" s="2220" t="str">
        <f>INDEX(PT_DIFFERENTIATION_VTAR,MATCH(A196,PT_DIFFERENTIATION_VTAR_ID,0))</f>
        <v>Тариф на водоотведение</v>
      </c>
      <c r="G196" s="2266" t="str">
        <f>INDEX(PT_DIFFERENTIATION_NTAR,MATCH(B196,PT_DIFFERENTIATION_NTAR_ID,0))</f>
        <v/>
      </c>
      <c r="H196" s="1905"/>
      <c r="I196" s="1779"/>
      <c r="J196" s="1814"/>
      <c r="K196" s="1819"/>
      <c r="L196" s="1905" t="s">
        <v>519</v>
      </c>
      <c r="M196" s="337"/>
      <c r="N196" s="330"/>
      <c r="O196" s="1664"/>
      <c r="P196" s="1664"/>
    </row>
    <row s="2993" customFormat="1" customHeight="1" ht="18.75" hidden="1">
      <c r="A197" s="1821"/>
      <c r="B197" s="1821"/>
      <c r="C197" s="369" t="s">
        <v>1284</v>
      </c>
      <c r="D197" s="2311"/>
      <c r="E197" s="2056"/>
      <c r="F197" s="2220"/>
      <c r="G197" s="2266"/>
      <c r="H197" s="1530"/>
      <c r="I197" s="657" t="s">
        <v>1283</v>
      </c>
      <c r="J197" s="577"/>
      <c r="K197" s="1530"/>
      <c r="L197" s="200"/>
      <c r="M197" s="337"/>
      <c r="N197" s="330"/>
      <c r="O197" s="1664"/>
      <c r="P197" s="1664"/>
    </row>
    <row s="2993" customFormat="1" customHeight="1" ht="0.75" hidden="1">
      <c r="A198" s="1821"/>
      <c r="B198" s="1821"/>
      <c r="C198" s="369" t="s">
        <v>1291</v>
      </c>
      <c r="D198" s="2311"/>
      <c r="E198" s="2056"/>
      <c r="F198" s="2220"/>
      <c r="G198" s="406"/>
      <c r="H198" s="1530"/>
      <c r="I198" s="657"/>
      <c r="J198" s="577"/>
      <c r="K198" s="1530"/>
      <c r="L198" s="200"/>
      <c r="M198" s="337"/>
      <c r="N198" s="330"/>
      <c r="O198" s="1664"/>
      <c r="P198" s="1664"/>
    </row>
    <row s="2993" customFormat="1" customHeight="1" ht="18.75" hidden="1">
      <c r="A199" s="1821" t="s">
        <v>483</v>
      </c>
      <c r="B199" s="1821" t="s">
        <v>484</v>
      </c>
      <c r="C199" s="369"/>
      <c r="D199" s="2311"/>
      <c r="E199" s="2056"/>
      <c r="F199" s="2220" t="str">
        <f>INDEX(PT_DIFFERENTIATION_VTAR,MATCH(A199,PT_DIFFERENTIATION_VTAR_ID,0))</f>
        <v>Тариф на транспортировку сточных вод</v>
      </c>
      <c r="G199" s="2266" t="str">
        <f>INDEX(PT_DIFFERENTIATION_NTAR,MATCH(B199,PT_DIFFERENTIATION_NTAR_ID,0))</f>
        <v/>
      </c>
      <c r="H199" s="1905"/>
      <c r="I199" s="1779"/>
      <c r="J199" s="1814"/>
      <c r="K199" s="1819"/>
      <c r="L199" s="1905" t="s">
        <v>519</v>
      </c>
      <c r="M199" s="337"/>
      <c r="N199" s="330"/>
      <c r="O199" s="1664"/>
      <c r="P199" s="1664"/>
    </row>
    <row s="2993" customFormat="1" customHeight="1" ht="18.75" hidden="1">
      <c r="A200" s="1821"/>
      <c r="B200" s="1821"/>
      <c r="C200" s="369" t="s">
        <v>1284</v>
      </c>
      <c r="D200" s="2311"/>
      <c r="E200" s="2056"/>
      <c r="F200" s="2220"/>
      <c r="G200" s="2266"/>
      <c r="H200" s="1530"/>
      <c r="I200" s="657" t="s">
        <v>1283</v>
      </c>
      <c r="J200" s="577"/>
      <c r="K200" s="1530"/>
      <c r="L200" s="200"/>
      <c r="M200" s="337"/>
      <c r="N200" s="330"/>
      <c r="O200" s="1664"/>
      <c r="P200" s="1664"/>
    </row>
    <row s="2993" customFormat="1" customHeight="1" ht="0.75" hidden="1">
      <c r="A201" s="1821"/>
      <c r="B201" s="1821"/>
      <c r="C201" s="369" t="s">
        <v>1291</v>
      </c>
      <c r="D201" s="2311"/>
      <c r="E201" s="2056"/>
      <c r="F201" s="2220"/>
      <c r="G201" s="406"/>
      <c r="H201" s="1530"/>
      <c r="I201" s="657"/>
      <c r="J201" s="577"/>
      <c r="K201" s="1530"/>
      <c r="L201" s="200"/>
      <c r="M201" s="337"/>
      <c r="N201" s="330"/>
      <c r="O201" s="1664"/>
      <c r="P201" s="1664"/>
    </row>
    <row s="2993" customFormat="1" customHeight="1" ht="18.75" hidden="1">
      <c r="A202" s="1821" t="s">
        <v>488</v>
      </c>
      <c r="B202" s="1821" t="s">
        <v>489</v>
      </c>
      <c r="C202" s="369"/>
      <c r="D202" s="2311"/>
      <c r="E202" s="2056"/>
      <c r="F202" s="2220" t="str">
        <f>INDEX(PT_DIFFERENTIATION_VTAR,MATCH(A202,PT_DIFFERENTIATION_VTAR_ID,0))</f>
        <v>Тариф на подключение (технологическое присоединение) к централизованной системе водоотведения</v>
      </c>
      <c r="G202" s="2266" t="str">
        <f>INDEX(PT_DIFFERENTIATION_NTAR,MATCH(B202,PT_DIFFERENTIATION_NTAR_ID,0))</f>
        <v/>
      </c>
      <c r="H202" s="1905"/>
      <c r="I202" s="1779"/>
      <c r="J202" s="1814"/>
      <c r="K202" s="1819"/>
      <c r="L202" s="1905" t="s">
        <v>519</v>
      </c>
      <c r="M202" s="337"/>
      <c r="N202" s="330"/>
      <c r="O202" s="1664"/>
      <c r="P202" s="1664"/>
    </row>
    <row s="2993" customFormat="1" customHeight="1" ht="18.75" hidden="1">
      <c r="A203" s="1821"/>
      <c r="B203" s="1821"/>
      <c r="C203" s="369" t="s">
        <v>1284</v>
      </c>
      <c r="D203" s="2311"/>
      <c r="E203" s="2056"/>
      <c r="F203" s="2220"/>
      <c r="G203" s="2266"/>
      <c r="H203" s="1530"/>
      <c r="I203" s="657" t="s">
        <v>1283</v>
      </c>
      <c r="J203" s="577"/>
      <c r="K203" s="1530"/>
      <c r="L203" s="200"/>
      <c r="M203" s="337"/>
      <c r="N203" s="330"/>
      <c r="O203" s="1664"/>
      <c r="P203" s="1664"/>
    </row>
    <row s="2993" customFormat="1" customHeight="1" ht="0.75">
      <c r="A204" s="1821"/>
      <c r="B204" s="1821"/>
      <c r="C204" s="369" t="s">
        <v>1291</v>
      </c>
      <c r="D204" s="2311"/>
      <c r="E204" s="2056"/>
      <c r="F204" s="2220"/>
      <c r="G204" s="406"/>
      <c r="H204" s="1530"/>
      <c r="I204" s="657"/>
      <c r="J204" s="577"/>
      <c r="K204" s="1530"/>
      <c r="L204" s="200"/>
      <c r="M204" s="337"/>
      <c r="N204" s="330"/>
      <c r="O204" s="1664"/>
      <c r="P204" s="1664"/>
    </row>
    <row customHeight="1" ht="26.25">
      <c r="A205" s="1821"/>
      <c r="B205" s="1821"/>
      <c r="D205" s="377"/>
      <c r="E205" s="133" t="s">
        <v>116</v>
      </c>
      <c r="F205" s="230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5" s="2303"/>
      <c r="H205" s="2303"/>
      <c r="I205" s="2303"/>
      <c r="J205" s="2303"/>
      <c r="K205" s="2303"/>
      <c r="L205" s="2303"/>
      <c r="M205" s="285"/>
      <c r="N205" s="330"/>
    </row>
    <row s="2993" customFormat="1" customHeight="1" ht="60.75" hidden="1">
      <c r="A206" s="1821" t="s">
        <v>230</v>
      </c>
      <c r="B206" s="1821" t="s">
        <v>231</v>
      </c>
      <c r="C206" s="369"/>
      <c r="D206" s="2311"/>
      <c r="E206" s="2056"/>
      <c r="F206" s="2220" t="str">
        <f>INDEX(PT_DIFFERENTIATION_VTAR,MATCH(A206,PT_DIFFERENTIATION_VTAR_ID,0))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6" s="2266" t="str">
        <f>INDEX(PT_DIFFERENTIATION_NTAR,MATCH(B206,PT_DIFFERENTIATION_NTAR_ID,0))</f>
        <v/>
      </c>
      <c r="H206" s="1905"/>
      <c r="I206" s="1779"/>
      <c r="J206" s="1814"/>
      <c r="K206" s="1819"/>
      <c r="L206" s="1905" t="s">
        <v>519</v>
      </c>
      <c r="M206" s="20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6" s="330"/>
      <c r="O206" s="1664"/>
      <c r="P206" s="1664"/>
    </row>
    <row s="2993" customFormat="1" customHeight="1" ht="18.75" hidden="1">
      <c r="A207" s="1821"/>
      <c r="B207" s="1821"/>
      <c r="C207" s="369" t="s">
        <v>1284</v>
      </c>
      <c r="D207" s="2311"/>
      <c r="E207" s="2056"/>
      <c r="F207" s="2220"/>
      <c r="G207" s="2266"/>
      <c r="H207" s="1530"/>
      <c r="I207" s="657" t="s">
        <v>1283</v>
      </c>
      <c r="J207" s="577"/>
      <c r="K207" s="1530"/>
      <c r="L207" s="200"/>
      <c r="M207" s="2016"/>
      <c r="N207" s="330"/>
      <c r="O207" s="1664"/>
      <c r="P207" s="1664"/>
    </row>
    <row s="2993" customFormat="1" customHeight="1" ht="0.75" hidden="1">
      <c r="A208" s="1821"/>
      <c r="B208" s="1821"/>
      <c r="C208" s="369" t="s">
        <v>1291</v>
      </c>
      <c r="D208" s="2311"/>
      <c r="E208" s="2056"/>
      <c r="F208" s="2220"/>
      <c r="G208" s="406"/>
      <c r="H208" s="1530"/>
      <c r="I208" s="657"/>
      <c r="J208" s="577"/>
      <c r="K208" s="1530"/>
      <c r="L208" s="200"/>
      <c r="M208" s="2016"/>
      <c r="N208" s="330"/>
      <c r="O208" s="1664"/>
      <c r="P208" s="1664"/>
    </row>
    <row s="2993" customFormat="1" customHeight="1" ht="45" hidden="1">
      <c r="A209" s="1821" t="s">
        <v>236</v>
      </c>
      <c r="B209" s="1821" t="s">
        <v>237</v>
      </c>
      <c r="C209" s="369"/>
      <c r="D209" s="2311"/>
      <c r="E209" s="2056"/>
      <c r="F209" s="2220" t="str">
        <f>INDEX(PT_DIFFERENTIATION_VTAR,MATCH(A209,PT_DIFFERENTIATION_VTAR_ID,0))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9" s="2266" t="str">
        <f>INDEX(PT_DIFFERENTIATION_NTAR,MATCH(B209,PT_DIFFERENTIATION_NTAR_ID,0))</f>
        <v/>
      </c>
      <c r="H209" s="1905"/>
      <c r="I209" s="1779"/>
      <c r="J209" s="1814"/>
      <c r="K209" s="1819"/>
      <c r="L209" s="1905" t="s">
        <v>519</v>
      </c>
      <c r="M209" s="2017"/>
      <c r="N209" s="330"/>
      <c r="O209" s="1664"/>
      <c r="P209" s="1664"/>
    </row>
    <row s="2993" customFormat="1" customHeight="1" ht="18.75" hidden="1">
      <c r="A210" s="1821"/>
      <c r="B210" s="1821"/>
      <c r="C210" s="369" t="s">
        <v>1284</v>
      </c>
      <c r="D210" s="2311"/>
      <c r="E210" s="2056"/>
      <c r="F210" s="2220"/>
      <c r="G210" s="2266"/>
      <c r="H210" s="1530"/>
      <c r="I210" s="657" t="s">
        <v>1283</v>
      </c>
      <c r="J210" s="577"/>
      <c r="K210" s="1530"/>
      <c r="L210" s="200"/>
      <c r="M210" s="1904"/>
      <c r="N210" s="330"/>
      <c r="O210" s="1664"/>
      <c r="P210" s="1664"/>
    </row>
    <row s="2993" customFormat="1" customHeight="1" ht="0.75" hidden="1">
      <c r="A211" s="1821"/>
      <c r="B211" s="1821"/>
      <c r="C211" s="369" t="s">
        <v>1291</v>
      </c>
      <c r="D211" s="2311"/>
      <c r="E211" s="2056"/>
      <c r="F211" s="2220"/>
      <c r="G211" s="406"/>
      <c r="H211" s="1530"/>
      <c r="I211" s="657"/>
      <c r="J211" s="577"/>
      <c r="K211" s="1530"/>
      <c r="L211" s="200"/>
      <c r="M211" s="337"/>
      <c r="N211" s="330"/>
      <c r="O211" s="1664"/>
      <c r="P211" s="1664"/>
    </row>
    <row s="2993" customFormat="1" customHeight="1" ht="45" hidden="1">
      <c r="A212" s="1821" t="s">
        <v>245</v>
      </c>
      <c r="B212" s="1821" t="s">
        <v>246</v>
      </c>
      <c r="C212" s="369"/>
      <c r="D212" s="2311"/>
      <c r="E212" s="2056"/>
      <c r="F212" s="2220" t="str">
        <f>INDEX(PT_DIFFERENTIATION_VTAR,MATCH(A212,PT_DIFFERENTIATION_VTAR_ID,0))</f>
        <v>Тарифы на теплоноситель, поставляемый теплоснабжающими организациями потребителям, другим теплоснабжающим организациям</v>
      </c>
      <c r="G212" s="2266" t="str">
        <f>INDEX(PT_DIFFERENTIATION_NTAR,MATCH(B212,PT_DIFFERENTIATION_NTAR_ID,0))</f>
        <v>Тариф на теплоноситель, поставляемый потребителям</v>
      </c>
      <c r="H212" s="1905"/>
      <c r="I212" s="1779"/>
      <c r="J212" s="1814"/>
      <c r="K212" s="1819"/>
      <c r="L212" s="1905" t="s">
        <v>519</v>
      </c>
      <c r="M212" s="337"/>
      <c r="N212" s="330"/>
      <c r="O212" s="1664"/>
      <c r="P212" s="1664"/>
    </row>
    <row s="2993" customFormat="1" customHeight="1" ht="18.75" hidden="1">
      <c r="A213" s="1821"/>
      <c r="B213" s="1821"/>
      <c r="C213" s="369" t="s">
        <v>1284</v>
      </c>
      <c r="D213" s="2311"/>
      <c r="E213" s="2056"/>
      <c r="F213" s="2220"/>
      <c r="G213" s="2266"/>
      <c r="H213" s="1530"/>
      <c r="I213" s="657" t="s">
        <v>1283</v>
      </c>
      <c r="J213" s="577"/>
      <c r="K213" s="1530"/>
      <c r="L213" s="200"/>
      <c r="M213" s="337"/>
      <c r="N213" s="330"/>
      <c r="O213" s="1664"/>
      <c r="P213" s="1664"/>
    </row>
    <row s="3431" customFormat="1" customHeight="1" ht="18.75">
      <c r="A214" s="3905" t="s">
        <v>245</v>
      </c>
      <c r="B214" s="3905" t="s">
        <v>331</v>
      </c>
      <c r="C214" s="12942"/>
      <c r="D214" s="12943"/>
      <c r="E214" s="12944"/>
      <c r="F214" s="12944"/>
      <c r="G214" s="12945" t="str">
        <f>INDEX(PT_DIFFERENTIATION_NTAR,MATCH(B214,PT_DIFFERENTIATION_NTAR_ID,0))</f>
        <v>Тариф на теплоноситель, поставляемый населению</v>
      </c>
      <c r="H214" s="3598"/>
      <c r="I214" s="12946"/>
      <c r="J214" s="12947"/>
      <c r="K214" s="12959"/>
      <c r="L214" s="3598" t="s">
        <v>519</v>
      </c>
      <c r="M214" s="12949"/>
      <c r="N214" s="12950"/>
      <c r="O214" s="3728"/>
      <c r="P214" s="3728"/>
      <c r="Q214" s="3431"/>
      <c r="R214" s="3431"/>
      <c r="S214" s="3431"/>
      <c r="T214" s="3431"/>
      <c r="U214" s="3431"/>
      <c r="V214" s="3431"/>
      <c r="W214" s="3431"/>
      <c r="X214" s="3431"/>
      <c r="Y214" s="3431"/>
      <c r="Z214" s="3431"/>
      <c r="AA214" s="3431"/>
      <c r="AB214" s="3431"/>
      <c r="AC214" s="3431"/>
      <c r="AD214" s="3431"/>
      <c r="AE214" s="3431"/>
      <c r="AF214" s="3431"/>
      <c r="AG214" s="3431"/>
    </row>
    <row s="3431" customFormat="1" customHeight="1" ht="18.75">
      <c r="A215" s="3905"/>
      <c r="B215" s="3905"/>
      <c r="C215" s="12942" t="s">
        <v>1284</v>
      </c>
      <c r="D215" s="12943"/>
      <c r="E215" s="12944"/>
      <c r="F215" s="12944"/>
      <c r="G215" s="12945"/>
      <c r="H215" s="12970"/>
      <c r="I215" s="12971" t="s">
        <v>1283</v>
      </c>
      <c r="J215" s="12972"/>
      <c r="K215" s="12973"/>
      <c r="L215" s="12974"/>
      <c r="M215" s="12949"/>
      <c r="N215" s="12950"/>
      <c r="O215" s="3728"/>
      <c r="P215" s="3728"/>
      <c r="Q215" s="3431"/>
      <c r="R215" s="3431"/>
      <c r="S215" s="3431"/>
      <c r="T215" s="3431"/>
      <c r="U215" s="3431"/>
      <c r="V215" s="3431"/>
      <c r="W215" s="3431"/>
      <c r="X215" s="3431"/>
      <c r="Y215" s="3431"/>
      <c r="Z215" s="3431"/>
      <c r="AA215" s="3431"/>
      <c r="AB215" s="3431"/>
      <c r="AC215" s="3431"/>
      <c r="AD215" s="3431"/>
      <c r="AE215" s="3431"/>
      <c r="AF215" s="3431"/>
      <c r="AG215" s="3431"/>
    </row>
    <row s="2993" customFormat="1" customHeight="1" ht="0.75" hidden="1">
      <c r="A216" s="1821"/>
      <c r="B216" s="1821"/>
      <c r="C216" s="369" t="s">
        <v>1291</v>
      </c>
      <c r="D216" s="2311"/>
      <c r="E216" s="2056"/>
      <c r="F216" s="2220"/>
      <c r="G216" s="406"/>
      <c r="H216" s="1530"/>
      <c r="I216" s="657"/>
      <c r="J216" s="577"/>
      <c r="K216" s="1530"/>
      <c r="L216" s="200"/>
      <c r="M216" s="337"/>
      <c r="N216" s="330"/>
      <c r="O216" s="1664"/>
      <c r="P216" s="1664"/>
    </row>
    <row s="2993" customFormat="1" customHeight="1" ht="45" hidden="1">
      <c r="A217" s="1821" t="s">
        <v>400</v>
      </c>
      <c r="B217" s="1821" t="s">
        <v>401</v>
      </c>
      <c r="C217" s="369"/>
      <c r="D217" s="2311"/>
      <c r="E217" s="2056"/>
      <c r="F217" s="2220" t="str">
        <f>INDEX(PT_DIFFERENTIATION_VTAR,MATCH(A217,PT_DIFFERENTIATION_VTAR_ID,0))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7" s="2266" t="str">
        <f>INDEX(PT_DIFFERENTIATION_NTAR,MATCH(B217,PT_DIFFERENTIATION_NTAR_ID,0))</f>
        <v/>
      </c>
      <c r="H217" s="1905"/>
      <c r="I217" s="1779"/>
      <c r="J217" s="1814"/>
      <c r="K217" s="1819"/>
      <c r="L217" s="1905" t="s">
        <v>519</v>
      </c>
      <c r="M217" s="337"/>
      <c r="N217" s="330"/>
      <c r="O217" s="1664"/>
      <c r="P217" s="1664"/>
    </row>
    <row s="2993" customFormat="1" customHeight="1" ht="18.75" hidden="1">
      <c r="A218" s="1821"/>
      <c r="B218" s="1821"/>
      <c r="C218" s="369" t="s">
        <v>1284</v>
      </c>
      <c r="D218" s="2311"/>
      <c r="E218" s="2056"/>
      <c r="F218" s="2220"/>
      <c r="G218" s="2266"/>
      <c r="H218" s="1530"/>
      <c r="I218" s="657" t="s">
        <v>1283</v>
      </c>
      <c r="J218" s="577"/>
      <c r="K218" s="1530"/>
      <c r="L218" s="200"/>
      <c r="M218" s="337"/>
      <c r="N218" s="330"/>
      <c r="O218" s="1664"/>
      <c r="P218" s="1664"/>
    </row>
    <row s="2993" customFormat="1" customHeight="1" ht="0.75" hidden="1">
      <c r="A219" s="1821"/>
      <c r="B219" s="1821"/>
      <c r="C219" s="369" t="s">
        <v>1291</v>
      </c>
      <c r="D219" s="2311"/>
      <c r="E219" s="2056"/>
      <c r="F219" s="2220"/>
      <c r="G219" s="406"/>
      <c r="H219" s="1530"/>
      <c r="I219" s="657"/>
      <c r="J219" s="577"/>
      <c r="K219" s="1530"/>
      <c r="L219" s="200"/>
      <c r="M219" s="337"/>
      <c r="N219" s="330"/>
      <c r="O219" s="1664"/>
      <c r="P219" s="1664"/>
    </row>
    <row s="2993" customFormat="1" customHeight="1" ht="18.75" hidden="1">
      <c r="A220" s="1821" t="s">
        <v>406</v>
      </c>
      <c r="B220" s="1821" t="s">
        <v>407</v>
      </c>
      <c r="C220" s="369"/>
      <c r="D220" s="2311"/>
      <c r="E220" s="2056"/>
      <c r="F220" s="2220" t="str">
        <f>INDEX(PT_DIFFERENTIATION_VTAR,MATCH(A220,PT_DIFFERENTIATION_VTAR_ID,0))</f>
        <v>Тарифы на услуги по передаче тепловой энергии</v>
      </c>
      <c r="G220" s="2266" t="str">
        <f>INDEX(PT_DIFFERENTIATION_NTAR,MATCH(B220,PT_DIFFERENTIATION_NTAR_ID,0))</f>
        <v/>
      </c>
      <c r="H220" s="1905"/>
      <c r="I220" s="1779"/>
      <c r="J220" s="1814"/>
      <c r="K220" s="1819"/>
      <c r="L220" s="1905" t="s">
        <v>519</v>
      </c>
      <c r="M220" s="337"/>
      <c r="N220" s="330"/>
      <c r="O220" s="1664"/>
      <c r="P220" s="1664"/>
    </row>
    <row s="2993" customFormat="1" customHeight="1" ht="18.75" hidden="1">
      <c r="A221" s="1821"/>
      <c r="B221" s="1821"/>
      <c r="C221" s="369" t="s">
        <v>1284</v>
      </c>
      <c r="D221" s="2311"/>
      <c r="E221" s="2056"/>
      <c r="F221" s="2220"/>
      <c r="G221" s="2266"/>
      <c r="H221" s="1530"/>
      <c r="I221" s="657" t="s">
        <v>1283</v>
      </c>
      <c r="J221" s="577"/>
      <c r="K221" s="1530"/>
      <c r="L221" s="200"/>
      <c r="M221" s="337"/>
      <c r="N221" s="330"/>
      <c r="O221" s="1664"/>
      <c r="P221" s="1664"/>
    </row>
    <row s="2993" customFormat="1" customHeight="1" ht="0.75" hidden="1">
      <c r="A222" s="1821"/>
      <c r="B222" s="1821"/>
      <c r="C222" s="369" t="s">
        <v>1291</v>
      </c>
      <c r="D222" s="2311"/>
      <c r="E222" s="2056"/>
      <c r="F222" s="2220"/>
      <c r="G222" s="406"/>
      <c r="H222" s="1530"/>
      <c r="I222" s="657"/>
      <c r="J222" s="577"/>
      <c r="K222" s="1530"/>
      <c r="L222" s="200"/>
      <c r="M222" s="337"/>
      <c r="N222" s="330"/>
      <c r="O222" s="1664"/>
      <c r="P222" s="1664"/>
    </row>
    <row s="2993" customFormat="1" customHeight="1" ht="18.75" hidden="1">
      <c r="A223" s="1821" t="s">
        <v>412</v>
      </c>
      <c r="B223" s="1821" t="s">
        <v>413</v>
      </c>
      <c r="C223" s="369"/>
      <c r="D223" s="2311"/>
      <c r="E223" s="2056"/>
      <c r="F223" s="2220" t="str">
        <f>INDEX(PT_DIFFERENTIATION_VTAR,MATCH(A223,PT_DIFFERENTIATION_VTAR_ID,0))</f>
        <v>Тарифы на услуги по передаче теплоносителя</v>
      </c>
      <c r="G223" s="2266" t="str">
        <f>INDEX(PT_DIFFERENTIATION_NTAR,MATCH(B223,PT_DIFFERENTIATION_NTAR_ID,0))</f>
        <v/>
      </c>
      <c r="H223" s="1905"/>
      <c r="I223" s="1779"/>
      <c r="J223" s="1814"/>
      <c r="K223" s="1819"/>
      <c r="L223" s="1905" t="s">
        <v>519</v>
      </c>
      <c r="M223" s="337"/>
      <c r="N223" s="330"/>
      <c r="O223" s="1664"/>
      <c r="P223" s="1664"/>
    </row>
    <row s="2993" customFormat="1" customHeight="1" ht="18.75" hidden="1">
      <c r="A224" s="1821"/>
      <c r="B224" s="1821"/>
      <c r="C224" s="369" t="s">
        <v>1284</v>
      </c>
      <c r="D224" s="2311"/>
      <c r="E224" s="2056"/>
      <c r="F224" s="2220"/>
      <c r="G224" s="2266"/>
      <c r="H224" s="1530"/>
      <c r="I224" s="657" t="s">
        <v>1283</v>
      </c>
      <c r="J224" s="577"/>
      <c r="K224" s="1530"/>
      <c r="L224" s="200"/>
      <c r="M224" s="337"/>
      <c r="N224" s="330"/>
      <c r="O224" s="1664"/>
      <c r="P224" s="1664"/>
    </row>
    <row s="2993" customFormat="1" customHeight="1" ht="0.75" hidden="1">
      <c r="A225" s="1821"/>
      <c r="B225" s="1821"/>
      <c r="C225" s="369" t="s">
        <v>1291</v>
      </c>
      <c r="D225" s="2311"/>
      <c r="E225" s="2056"/>
      <c r="F225" s="2220"/>
      <c r="G225" s="406"/>
      <c r="H225" s="1530"/>
      <c r="I225" s="657"/>
      <c r="J225" s="577"/>
      <c r="K225" s="1530"/>
      <c r="L225" s="200"/>
      <c r="M225" s="337"/>
      <c r="N225" s="330"/>
      <c r="O225" s="1664"/>
      <c r="P225" s="1664"/>
    </row>
    <row s="2993" customFormat="1" customHeight="1" ht="18.75" hidden="1">
      <c r="A226" s="1821" t="s">
        <v>418</v>
      </c>
      <c r="B226" s="1821" t="s">
        <v>419</v>
      </c>
      <c r="C226" s="369"/>
      <c r="D226" s="2311"/>
      <c r="E226" s="2056"/>
      <c r="F226" s="2220" t="str">
        <f>INDEX(PT_DIFFERENTIATION_VTAR,MATCH(A226,PT_DIFFERENTIATION_VTAR_ID,0))</f>
        <v>Плата за услуги по поддержанию резервной тепловой мощности при отсутствии потребления тепловой энергии</v>
      </c>
      <c r="G226" s="2266" t="str">
        <f>INDEX(PT_DIFFERENTIATION_NTAR,MATCH(B226,PT_DIFFERENTIATION_NTAR_ID,0))</f>
        <v/>
      </c>
      <c r="H226" s="1905"/>
      <c r="I226" s="1779"/>
      <c r="J226" s="1814"/>
      <c r="K226" s="1819"/>
      <c r="L226" s="1905" t="s">
        <v>519</v>
      </c>
      <c r="M226" s="337"/>
      <c r="N226" s="330"/>
      <c r="O226" s="1664"/>
      <c r="P226" s="1664"/>
    </row>
    <row s="2993" customFormat="1" customHeight="1" ht="18.75" hidden="1">
      <c r="A227" s="1821"/>
      <c r="B227" s="1821"/>
      <c r="C227" s="369" t="s">
        <v>1284</v>
      </c>
      <c r="D227" s="2311"/>
      <c r="E227" s="2056"/>
      <c r="F227" s="2220"/>
      <c r="G227" s="2266"/>
      <c r="H227" s="1530"/>
      <c r="I227" s="657" t="s">
        <v>1283</v>
      </c>
      <c r="J227" s="577"/>
      <c r="K227" s="1530"/>
      <c r="L227" s="200"/>
      <c r="M227" s="337"/>
      <c r="N227" s="330"/>
      <c r="O227" s="1664"/>
      <c r="P227" s="1664"/>
    </row>
    <row s="2993" customFormat="1" customHeight="1" ht="0.75" hidden="1">
      <c r="A228" s="1821"/>
      <c r="B228" s="1821"/>
      <c r="C228" s="369" t="s">
        <v>1291</v>
      </c>
      <c r="D228" s="2311"/>
      <c r="E228" s="2056"/>
      <c r="F228" s="2220"/>
      <c r="G228" s="406"/>
      <c r="H228" s="1530"/>
      <c r="I228" s="657"/>
      <c r="J228" s="577"/>
      <c r="K228" s="1530"/>
      <c r="L228" s="200"/>
      <c r="M228" s="337"/>
      <c r="N228" s="330"/>
      <c r="O228" s="1664"/>
      <c r="P228" s="1664"/>
    </row>
    <row s="2993" customFormat="1" customHeight="1" ht="18.75" hidden="1">
      <c r="A229" s="1821" t="s">
        <v>424</v>
      </c>
      <c r="B229" s="1821" t="s">
        <v>425</v>
      </c>
      <c r="C229" s="369"/>
      <c r="D229" s="2311"/>
      <c r="E229" s="2056"/>
      <c r="F229" s="2220" t="str">
        <f>INDEX(PT_DIFFERENTIATION_VTAR,MATCH(A229,PT_DIFFERENTIATION_VTAR_ID,0))</f>
        <v>Плата за подключение (технологическое присоединение) к системе теплоснабжения</v>
      </c>
      <c r="G229" s="2266" t="str">
        <f>INDEX(PT_DIFFERENTIATION_NTAR,MATCH(B229,PT_DIFFERENTIATION_NTAR_ID,0))</f>
        <v/>
      </c>
      <c r="H229" s="1905"/>
      <c r="I229" s="1779"/>
      <c r="J229" s="1814"/>
      <c r="K229" s="1819"/>
      <c r="L229" s="1905" t="s">
        <v>519</v>
      </c>
      <c r="M229" s="337"/>
      <c r="N229" s="330"/>
      <c r="O229" s="1664"/>
      <c r="P229" s="1664"/>
    </row>
    <row s="2993" customFormat="1" customHeight="1" ht="18.75" hidden="1">
      <c r="A230" s="1821"/>
      <c r="B230" s="1821"/>
      <c r="C230" s="369" t="s">
        <v>1284</v>
      </c>
      <c r="D230" s="2311"/>
      <c r="E230" s="2056"/>
      <c r="F230" s="2220"/>
      <c r="G230" s="2266"/>
      <c r="H230" s="1530"/>
      <c r="I230" s="657" t="s">
        <v>1283</v>
      </c>
      <c r="J230" s="577"/>
      <c r="K230" s="1530"/>
      <c r="L230" s="200"/>
      <c r="M230" s="337"/>
      <c r="N230" s="330"/>
      <c r="O230" s="1664"/>
      <c r="P230" s="1664"/>
    </row>
    <row s="2993" customFormat="1" customHeight="1" ht="0.75" hidden="1">
      <c r="A231" s="1821"/>
      <c r="B231" s="1821"/>
      <c r="C231" s="369" t="s">
        <v>1291</v>
      </c>
      <c r="D231" s="2311"/>
      <c r="E231" s="2056"/>
      <c r="F231" s="2220"/>
      <c r="G231" s="406"/>
      <c r="H231" s="1530"/>
      <c r="I231" s="657"/>
      <c r="J231" s="577"/>
      <c r="K231" s="1530"/>
      <c r="L231" s="200"/>
      <c r="M231" s="337"/>
      <c r="N231" s="330"/>
      <c r="O231" s="1664"/>
      <c r="P231" s="1664"/>
    </row>
    <row s="2993" customFormat="1" customHeight="1" ht="18.75" hidden="1">
      <c r="A232" s="1821" t="s">
        <v>438</v>
      </c>
      <c r="B232" s="1821" t="s">
        <v>439</v>
      </c>
      <c r="C232" s="369"/>
      <c r="D232" s="2311"/>
      <c r="E232" s="2056"/>
      <c r="F232" s="2220" t="str">
        <f>INDEX(PT_DIFFERENTIATION_VTAR,MATCH(A232,PT_DIFFERENTIATION_VTAR_ID,0))</f>
        <v>Тариф на питьевую воду (питьевое водоснабжение)</v>
      </c>
      <c r="G232" s="2266" t="str">
        <f>INDEX(PT_DIFFERENTIATION_NTAR,MATCH(B232,PT_DIFFERENTIATION_NTAR_ID,0))</f>
        <v/>
      </c>
      <c r="H232" s="1905"/>
      <c r="I232" s="1779"/>
      <c r="J232" s="1814"/>
      <c r="K232" s="1819"/>
      <c r="L232" s="1905" t="s">
        <v>519</v>
      </c>
      <c r="M232" s="337"/>
      <c r="N232" s="330"/>
      <c r="O232" s="1664"/>
      <c r="P232" s="1664"/>
    </row>
    <row s="2993" customFormat="1" customHeight="1" ht="18.75" hidden="1">
      <c r="A233" s="1821"/>
      <c r="B233" s="1821"/>
      <c r="C233" s="369" t="s">
        <v>1284</v>
      </c>
      <c r="D233" s="2311"/>
      <c r="E233" s="2056"/>
      <c r="F233" s="2220"/>
      <c r="G233" s="2266"/>
      <c r="H233" s="1530"/>
      <c r="I233" s="657" t="s">
        <v>1283</v>
      </c>
      <c r="J233" s="577"/>
      <c r="K233" s="1530"/>
      <c r="L233" s="200"/>
      <c r="M233" s="337"/>
      <c r="N233" s="330"/>
      <c r="O233" s="1664"/>
      <c r="P233" s="1664"/>
    </row>
    <row s="2993" customFormat="1" customHeight="1" ht="0.75" hidden="1">
      <c r="A234" s="1821"/>
      <c r="B234" s="1821"/>
      <c r="C234" s="369" t="s">
        <v>1291</v>
      </c>
      <c r="D234" s="2311"/>
      <c r="E234" s="2056"/>
      <c r="F234" s="2220"/>
      <c r="G234" s="406"/>
      <c r="H234" s="1530"/>
      <c r="I234" s="657"/>
      <c r="J234" s="577"/>
      <c r="K234" s="1530"/>
      <c r="L234" s="200"/>
      <c r="M234" s="337"/>
      <c r="N234" s="330"/>
      <c r="O234" s="1664"/>
      <c r="P234" s="1664"/>
    </row>
    <row s="2993" customFormat="1" customHeight="1" ht="18.75" hidden="1">
      <c r="A235" s="1821" t="s">
        <v>443</v>
      </c>
      <c r="B235" s="1821" t="s">
        <v>444</v>
      </c>
      <c r="C235" s="369"/>
      <c r="D235" s="2311"/>
      <c r="E235" s="2056"/>
      <c r="F235" s="2220" t="str">
        <f>INDEX(PT_DIFFERENTIATION_VTAR,MATCH(A235,PT_DIFFERENTIATION_VTAR_ID,0))</f>
        <v>Тариф на техническую воду</v>
      </c>
      <c r="G235" s="2266" t="str">
        <f>INDEX(PT_DIFFERENTIATION_NTAR,MATCH(B235,PT_DIFFERENTIATION_NTAR_ID,0))</f>
        <v/>
      </c>
      <c r="H235" s="1905"/>
      <c r="I235" s="1779"/>
      <c r="J235" s="1814"/>
      <c r="K235" s="1819"/>
      <c r="L235" s="1905" t="s">
        <v>519</v>
      </c>
      <c r="M235" s="337"/>
      <c r="N235" s="330"/>
      <c r="O235" s="1664"/>
      <c r="P235" s="1664"/>
    </row>
    <row s="2993" customFormat="1" customHeight="1" ht="18.75" hidden="1">
      <c r="A236" s="1821"/>
      <c r="B236" s="1821"/>
      <c r="C236" s="369" t="s">
        <v>1284</v>
      </c>
      <c r="D236" s="2311"/>
      <c r="E236" s="2056"/>
      <c r="F236" s="2220"/>
      <c r="G236" s="2266"/>
      <c r="H236" s="1530"/>
      <c r="I236" s="657" t="s">
        <v>1283</v>
      </c>
      <c r="J236" s="577"/>
      <c r="K236" s="1530"/>
      <c r="L236" s="200"/>
      <c r="M236" s="337"/>
      <c r="N236" s="330"/>
      <c r="O236" s="1664"/>
      <c r="P236" s="1664"/>
    </row>
    <row s="2993" customFormat="1" customHeight="1" ht="0.75" hidden="1">
      <c r="A237" s="1821"/>
      <c r="B237" s="1821"/>
      <c r="C237" s="369" t="s">
        <v>1291</v>
      </c>
      <c r="D237" s="2311"/>
      <c r="E237" s="2056"/>
      <c r="F237" s="2220"/>
      <c r="G237" s="406"/>
      <c r="H237" s="1530"/>
      <c r="I237" s="657"/>
      <c r="J237" s="577"/>
      <c r="K237" s="1530"/>
      <c r="L237" s="200"/>
      <c r="M237" s="337"/>
      <c r="N237" s="330"/>
      <c r="O237" s="1664"/>
      <c r="P237" s="1664"/>
    </row>
    <row s="2993" customFormat="1" customHeight="1" ht="18.75" hidden="1">
      <c r="A238" s="1821" t="s">
        <v>448</v>
      </c>
      <c r="B238" s="1821" t="s">
        <v>449</v>
      </c>
      <c r="C238" s="369"/>
      <c r="D238" s="2311"/>
      <c r="E238" s="2056"/>
      <c r="F238" s="2220" t="str">
        <f>INDEX(PT_DIFFERENTIATION_VTAR,MATCH(A238,PT_DIFFERENTIATION_VTAR_ID,0))</f>
        <v>Тариф на транспортировку воды</v>
      </c>
      <c r="G238" s="2266" t="str">
        <f>INDEX(PT_DIFFERENTIATION_NTAR,MATCH(B238,PT_DIFFERENTIATION_NTAR_ID,0))</f>
        <v/>
      </c>
      <c r="H238" s="1905"/>
      <c r="I238" s="1779"/>
      <c r="J238" s="1814"/>
      <c r="K238" s="1819"/>
      <c r="L238" s="1905" t="s">
        <v>519</v>
      </c>
      <c r="M238" s="337"/>
      <c r="N238" s="330"/>
      <c r="O238" s="1664"/>
      <c r="P238" s="1664"/>
    </row>
    <row s="2993" customFormat="1" customHeight="1" ht="18.75" hidden="1">
      <c r="A239" s="1821"/>
      <c r="B239" s="1821"/>
      <c r="C239" s="369" t="s">
        <v>1284</v>
      </c>
      <c r="D239" s="2311"/>
      <c r="E239" s="2056"/>
      <c r="F239" s="2220"/>
      <c r="G239" s="2266"/>
      <c r="H239" s="1530"/>
      <c r="I239" s="657" t="s">
        <v>1283</v>
      </c>
      <c r="J239" s="577"/>
      <c r="K239" s="1530"/>
      <c r="L239" s="200"/>
      <c r="M239" s="337"/>
      <c r="N239" s="330"/>
      <c r="O239" s="1664"/>
      <c r="P239" s="1664"/>
    </row>
    <row s="2993" customFormat="1" customHeight="1" ht="0.75" hidden="1">
      <c r="A240" s="1821"/>
      <c r="B240" s="1821"/>
      <c r="C240" s="369" t="s">
        <v>1291</v>
      </c>
      <c r="D240" s="2311"/>
      <c r="E240" s="2056"/>
      <c r="F240" s="2220"/>
      <c r="G240" s="406"/>
      <c r="H240" s="1530"/>
      <c r="I240" s="657"/>
      <c r="J240" s="577"/>
      <c r="K240" s="1530"/>
      <c r="L240" s="200"/>
      <c r="M240" s="337"/>
      <c r="N240" s="330"/>
      <c r="O240" s="1664"/>
      <c r="P240" s="1664"/>
    </row>
    <row s="2993" customFormat="1" customHeight="1" ht="18.75" hidden="1">
      <c r="A241" s="1821" t="s">
        <v>453</v>
      </c>
      <c r="B241" s="1821" t="s">
        <v>454</v>
      </c>
      <c r="C241" s="369"/>
      <c r="D241" s="2311"/>
      <c r="E241" s="2056"/>
      <c r="F241" s="2220" t="str">
        <f>INDEX(PT_DIFFERENTIATION_VTAR,MATCH(A241,PT_DIFFERENTIATION_VTAR_ID,0))</f>
        <v>Тариф на подвоз воды</v>
      </c>
      <c r="G241" s="2266" t="str">
        <f>INDEX(PT_DIFFERENTIATION_NTAR,MATCH(B241,PT_DIFFERENTIATION_NTAR_ID,0))</f>
        <v/>
      </c>
      <c r="H241" s="1905"/>
      <c r="I241" s="1779"/>
      <c r="J241" s="1814"/>
      <c r="K241" s="1819"/>
      <c r="L241" s="1905" t="s">
        <v>519</v>
      </c>
      <c r="M241" s="337"/>
      <c r="N241" s="330"/>
      <c r="O241" s="1664"/>
      <c r="P241" s="1664"/>
    </row>
    <row s="2993" customFormat="1" customHeight="1" ht="18.75" hidden="1">
      <c r="A242" s="1821"/>
      <c r="B242" s="1821"/>
      <c r="C242" s="369" t="s">
        <v>1284</v>
      </c>
      <c r="D242" s="2311"/>
      <c r="E242" s="2056"/>
      <c r="F242" s="2220"/>
      <c r="G242" s="2266"/>
      <c r="H242" s="1530"/>
      <c r="I242" s="657" t="s">
        <v>1283</v>
      </c>
      <c r="J242" s="577"/>
      <c r="K242" s="1530"/>
      <c r="L242" s="200"/>
      <c r="M242" s="337"/>
      <c r="N242" s="330"/>
      <c r="O242" s="1664"/>
      <c r="P242" s="1664"/>
    </row>
    <row s="2993" customFormat="1" customHeight="1" ht="0.75" hidden="1">
      <c r="A243" s="1821"/>
      <c r="B243" s="1821"/>
      <c r="C243" s="369" t="s">
        <v>1291</v>
      </c>
      <c r="D243" s="2311"/>
      <c r="E243" s="2056"/>
      <c r="F243" s="2220"/>
      <c r="G243" s="406"/>
      <c r="H243" s="1530"/>
      <c r="I243" s="657"/>
      <c r="J243" s="577"/>
      <c r="K243" s="1530"/>
      <c r="L243" s="200"/>
      <c r="M243" s="337"/>
      <c r="N243" s="330"/>
      <c r="O243" s="1664"/>
      <c r="P243" s="1664"/>
    </row>
    <row s="2993" customFormat="1" customHeight="1" ht="18.75" hidden="1">
      <c r="A244" s="1821" t="s">
        <v>458</v>
      </c>
      <c r="B244" s="1821" t="s">
        <v>459</v>
      </c>
      <c r="C244" s="369"/>
      <c r="D244" s="2311"/>
      <c r="E244" s="2056"/>
      <c r="F244" s="2220" t="str">
        <f>INDEX(PT_DIFFERENTIATION_VTAR,MATCH(A244,PT_DIFFERENTIATION_VTAR_ID,0))</f>
        <v>Тариф на подключение (технологическое присоединение) к централизованной системе холодного водоснабжения</v>
      </c>
      <c r="G244" s="2266" t="str">
        <f>INDEX(PT_DIFFERENTIATION_NTAR,MATCH(B244,PT_DIFFERENTIATION_NTAR_ID,0))</f>
        <v/>
      </c>
      <c r="H244" s="1905"/>
      <c r="I244" s="1779"/>
      <c r="J244" s="1814"/>
      <c r="K244" s="1819"/>
      <c r="L244" s="1905" t="s">
        <v>519</v>
      </c>
      <c r="M244" s="337"/>
      <c r="N244" s="330"/>
      <c r="O244" s="1664"/>
      <c r="P244" s="1664"/>
    </row>
    <row s="2993" customFormat="1" customHeight="1" ht="18.75" hidden="1">
      <c r="A245" s="1821"/>
      <c r="B245" s="1821"/>
      <c r="C245" s="369" t="s">
        <v>1284</v>
      </c>
      <c r="D245" s="2311"/>
      <c r="E245" s="2056"/>
      <c r="F245" s="2220"/>
      <c r="G245" s="2266"/>
      <c r="H245" s="1530"/>
      <c r="I245" s="657" t="s">
        <v>1283</v>
      </c>
      <c r="J245" s="577"/>
      <c r="K245" s="1530"/>
      <c r="L245" s="200"/>
      <c r="M245" s="337"/>
      <c r="N245" s="330"/>
      <c r="O245" s="1664"/>
      <c r="P245" s="1664"/>
    </row>
    <row s="2993" customFormat="1" customHeight="1" ht="0.75" hidden="1">
      <c r="A246" s="1821"/>
      <c r="B246" s="1821"/>
      <c r="C246" s="369" t="s">
        <v>1291</v>
      </c>
      <c r="D246" s="2311"/>
      <c r="E246" s="2056"/>
      <c r="F246" s="2220"/>
      <c r="G246" s="406"/>
      <c r="H246" s="1530"/>
      <c r="I246" s="657"/>
      <c r="J246" s="577"/>
      <c r="K246" s="1530"/>
      <c r="L246" s="200"/>
      <c r="M246" s="337"/>
      <c r="N246" s="330"/>
      <c r="O246" s="1664"/>
      <c r="P246" s="1664"/>
    </row>
    <row s="2993" customFormat="1" customHeight="1" ht="18.75" hidden="1">
      <c r="A247" s="1821" t="s">
        <v>463</v>
      </c>
      <c r="B247" s="1821" t="s">
        <v>464</v>
      </c>
      <c r="C247" s="369"/>
      <c r="D247" s="2311"/>
      <c r="E247" s="2056"/>
      <c r="F247" s="2220" t="str">
        <f>INDEX(PT_DIFFERENTIATION_VTAR,MATCH(A247,PT_DIFFERENTIATION_VTAR_ID,0))</f>
        <v>Тариф на горячую воду (горячее водоснабжение)</v>
      </c>
      <c r="G247" s="2266" t="str">
        <f>INDEX(PT_DIFFERENTIATION_NTAR,MATCH(B247,PT_DIFFERENTIATION_NTAR_ID,0))</f>
        <v/>
      </c>
      <c r="H247" s="1905"/>
      <c r="I247" s="1779"/>
      <c r="J247" s="1814"/>
      <c r="K247" s="1819"/>
      <c r="L247" s="1905" t="s">
        <v>519</v>
      </c>
      <c r="M247" s="337"/>
      <c r="N247" s="330"/>
      <c r="O247" s="1664"/>
      <c r="P247" s="1664"/>
    </row>
    <row s="2993" customFormat="1" customHeight="1" ht="18.75" hidden="1">
      <c r="A248" s="1821"/>
      <c r="B248" s="1821"/>
      <c r="C248" s="369" t="s">
        <v>1284</v>
      </c>
      <c r="D248" s="2311"/>
      <c r="E248" s="2056"/>
      <c r="F248" s="2220"/>
      <c r="G248" s="2266"/>
      <c r="H248" s="1530"/>
      <c r="I248" s="657" t="s">
        <v>1283</v>
      </c>
      <c r="J248" s="577"/>
      <c r="K248" s="1530"/>
      <c r="L248" s="200"/>
      <c r="M248" s="337"/>
      <c r="N248" s="330"/>
      <c r="O248" s="1664"/>
      <c r="P248" s="1664"/>
    </row>
    <row s="2993" customFormat="1" customHeight="1" ht="0.75" hidden="1">
      <c r="A249" s="1821"/>
      <c r="B249" s="1821"/>
      <c r="C249" s="369" t="s">
        <v>1291</v>
      </c>
      <c r="D249" s="2311"/>
      <c r="E249" s="2056"/>
      <c r="F249" s="2220"/>
      <c r="G249" s="406"/>
      <c r="H249" s="1530"/>
      <c r="I249" s="657"/>
      <c r="J249" s="577"/>
      <c r="K249" s="1530"/>
      <c r="L249" s="200"/>
      <c r="M249" s="337"/>
      <c r="N249" s="330"/>
      <c r="O249" s="1664"/>
      <c r="P249" s="1664"/>
    </row>
    <row s="2993" customFormat="1" customHeight="1" ht="18.75" hidden="1">
      <c r="A250" s="1821" t="s">
        <v>468</v>
      </c>
      <c r="B250" s="1821" t="s">
        <v>469</v>
      </c>
      <c r="C250" s="369"/>
      <c r="D250" s="2311"/>
      <c r="E250" s="2056"/>
      <c r="F250" s="2220" t="str">
        <f>INDEX(PT_DIFFERENTIATION_VTAR,MATCH(A250,PT_DIFFERENTIATION_VTAR_ID,0))</f>
        <v>Тариф на транспортировку горячей воды</v>
      </c>
      <c r="G250" s="2266" t="str">
        <f>INDEX(PT_DIFFERENTIATION_NTAR,MATCH(B250,PT_DIFFERENTIATION_NTAR_ID,0))</f>
        <v/>
      </c>
      <c r="H250" s="1905"/>
      <c r="I250" s="1779"/>
      <c r="J250" s="1814"/>
      <c r="K250" s="1819"/>
      <c r="L250" s="1905" t="s">
        <v>519</v>
      </c>
      <c r="M250" s="337"/>
      <c r="N250" s="330"/>
      <c r="O250" s="1664"/>
      <c r="P250" s="1664"/>
    </row>
    <row s="2993" customFormat="1" customHeight="1" ht="18.75" hidden="1">
      <c r="A251" s="1821"/>
      <c r="B251" s="1821"/>
      <c r="C251" s="369" t="s">
        <v>1284</v>
      </c>
      <c r="D251" s="2311"/>
      <c r="E251" s="2056"/>
      <c r="F251" s="2220"/>
      <c r="G251" s="2266"/>
      <c r="H251" s="1530"/>
      <c r="I251" s="657" t="s">
        <v>1283</v>
      </c>
      <c r="J251" s="577"/>
      <c r="K251" s="1530"/>
      <c r="L251" s="200"/>
      <c r="M251" s="337"/>
      <c r="N251" s="330"/>
      <c r="O251" s="1664"/>
      <c r="P251" s="1664"/>
    </row>
    <row s="2993" customFormat="1" customHeight="1" ht="0.75" hidden="1">
      <c r="A252" s="1821"/>
      <c r="B252" s="1821"/>
      <c r="C252" s="369" t="s">
        <v>1291</v>
      </c>
      <c r="D252" s="2311"/>
      <c r="E252" s="2056"/>
      <c r="F252" s="2220"/>
      <c r="G252" s="406"/>
      <c r="H252" s="1530"/>
      <c r="I252" s="657"/>
      <c r="J252" s="577"/>
      <c r="K252" s="1530"/>
      <c r="L252" s="200"/>
      <c r="M252" s="337"/>
      <c r="N252" s="330"/>
      <c r="O252" s="1664"/>
      <c r="P252" s="1664"/>
    </row>
    <row s="2993" customFormat="1" customHeight="1" ht="18.75" hidden="1">
      <c r="A253" s="1821" t="s">
        <v>473</v>
      </c>
      <c r="B253" s="1821" t="s">
        <v>474</v>
      </c>
      <c r="C253" s="369"/>
      <c r="D253" s="2311"/>
      <c r="E253" s="2056"/>
      <c r="F253" s="2220" t="str">
        <f>INDEX(PT_DIFFERENTIATION_VTAR,MATCH(A253,PT_DIFFERENTIATION_VTAR_ID,0))</f>
        <v>Тариф на подключение (технологическое присоединение) к централизованной системе горячего водоснабжения</v>
      </c>
      <c r="G253" s="2266" t="str">
        <f>INDEX(PT_DIFFERENTIATION_NTAR,MATCH(B253,PT_DIFFERENTIATION_NTAR_ID,0))</f>
        <v/>
      </c>
      <c r="H253" s="1905"/>
      <c r="I253" s="1779"/>
      <c r="J253" s="1814"/>
      <c r="K253" s="1819"/>
      <c r="L253" s="1905" t="s">
        <v>519</v>
      </c>
      <c r="M253" s="337"/>
      <c r="N253" s="330"/>
      <c r="O253" s="1664"/>
      <c r="P253" s="1664"/>
    </row>
    <row s="2993" customFormat="1" customHeight="1" ht="18.75" hidden="1">
      <c r="A254" s="1821"/>
      <c r="B254" s="1821"/>
      <c r="C254" s="369" t="s">
        <v>1284</v>
      </c>
      <c r="D254" s="2311"/>
      <c r="E254" s="2056"/>
      <c r="F254" s="2220"/>
      <c r="G254" s="2266"/>
      <c r="H254" s="1530"/>
      <c r="I254" s="657" t="s">
        <v>1283</v>
      </c>
      <c r="J254" s="577"/>
      <c r="K254" s="1530"/>
      <c r="L254" s="200"/>
      <c r="M254" s="337"/>
      <c r="N254" s="330"/>
      <c r="O254" s="1664"/>
      <c r="P254" s="1664"/>
    </row>
    <row s="2993" customFormat="1" customHeight="1" ht="0.75" hidden="1">
      <c r="A255" s="1821"/>
      <c r="B255" s="1821"/>
      <c r="C255" s="369" t="s">
        <v>1291</v>
      </c>
      <c r="D255" s="2311"/>
      <c r="E255" s="2056"/>
      <c r="F255" s="2220"/>
      <c r="G255" s="406"/>
      <c r="H255" s="1530"/>
      <c r="I255" s="657"/>
      <c r="J255" s="577"/>
      <c r="K255" s="1530"/>
      <c r="L255" s="200"/>
      <c r="M255" s="337"/>
      <c r="N255" s="330"/>
      <c r="O255" s="1664"/>
      <c r="P255" s="1664"/>
    </row>
    <row s="2993" customFormat="1" customHeight="1" ht="18.75" hidden="1">
      <c r="A256" s="1821" t="s">
        <v>478</v>
      </c>
      <c r="B256" s="1821" t="s">
        <v>479</v>
      </c>
      <c r="C256" s="369"/>
      <c r="D256" s="2311"/>
      <c r="E256" s="2056"/>
      <c r="F256" s="2220" t="str">
        <f>INDEX(PT_DIFFERENTIATION_VTAR,MATCH(A256,PT_DIFFERENTIATION_VTAR_ID,0))</f>
        <v>Тариф на водоотведение</v>
      </c>
      <c r="G256" s="2266" t="str">
        <f>INDEX(PT_DIFFERENTIATION_NTAR,MATCH(B256,PT_DIFFERENTIATION_NTAR_ID,0))</f>
        <v/>
      </c>
      <c r="H256" s="1905"/>
      <c r="I256" s="1779"/>
      <c r="J256" s="1814"/>
      <c r="K256" s="1819"/>
      <c r="L256" s="1905" t="s">
        <v>519</v>
      </c>
      <c r="M256" s="337"/>
      <c r="N256" s="330"/>
      <c r="O256" s="1664"/>
      <c r="P256" s="1664"/>
    </row>
    <row s="2993" customFormat="1" customHeight="1" ht="18.75" hidden="1">
      <c r="A257" s="1821"/>
      <c r="B257" s="1821"/>
      <c r="C257" s="369" t="s">
        <v>1284</v>
      </c>
      <c r="D257" s="2311"/>
      <c r="E257" s="2056"/>
      <c r="F257" s="2220"/>
      <c r="G257" s="2266"/>
      <c r="H257" s="1530"/>
      <c r="I257" s="657" t="s">
        <v>1283</v>
      </c>
      <c r="J257" s="577"/>
      <c r="K257" s="1530"/>
      <c r="L257" s="200"/>
      <c r="M257" s="337"/>
      <c r="N257" s="330"/>
      <c r="O257" s="1664"/>
      <c r="P257" s="1664"/>
    </row>
    <row s="2993" customFormat="1" customHeight="1" ht="0.75" hidden="1">
      <c r="A258" s="1821"/>
      <c r="B258" s="1821"/>
      <c r="C258" s="369" t="s">
        <v>1291</v>
      </c>
      <c r="D258" s="2311"/>
      <c r="E258" s="2056"/>
      <c r="F258" s="2220"/>
      <c r="G258" s="406"/>
      <c r="H258" s="1530"/>
      <c r="I258" s="657"/>
      <c r="J258" s="577"/>
      <c r="K258" s="1530"/>
      <c r="L258" s="200"/>
      <c r="M258" s="337"/>
      <c r="N258" s="330"/>
      <c r="O258" s="1664"/>
      <c r="P258" s="1664"/>
    </row>
    <row s="2993" customFormat="1" customHeight="1" ht="18.75" hidden="1">
      <c r="A259" s="1821" t="s">
        <v>483</v>
      </c>
      <c r="B259" s="1821" t="s">
        <v>484</v>
      </c>
      <c r="C259" s="369"/>
      <c r="D259" s="2311"/>
      <c r="E259" s="2056"/>
      <c r="F259" s="2220" t="str">
        <f>INDEX(PT_DIFFERENTIATION_VTAR,MATCH(A259,PT_DIFFERENTIATION_VTAR_ID,0))</f>
        <v>Тариф на транспортировку сточных вод</v>
      </c>
      <c r="G259" s="2266" t="str">
        <f>INDEX(PT_DIFFERENTIATION_NTAR,MATCH(B259,PT_DIFFERENTIATION_NTAR_ID,0))</f>
        <v/>
      </c>
      <c r="H259" s="1905"/>
      <c r="I259" s="1779"/>
      <c r="J259" s="1814"/>
      <c r="K259" s="1819"/>
      <c r="L259" s="1905" t="s">
        <v>519</v>
      </c>
      <c r="M259" s="337"/>
      <c r="N259" s="330"/>
      <c r="O259" s="1664"/>
      <c r="P259" s="1664"/>
    </row>
    <row s="2993" customFormat="1" customHeight="1" ht="18.75" hidden="1">
      <c r="A260" s="1821"/>
      <c r="B260" s="1821"/>
      <c r="C260" s="369" t="s">
        <v>1284</v>
      </c>
      <c r="D260" s="2311"/>
      <c r="E260" s="2056"/>
      <c r="F260" s="2220"/>
      <c r="G260" s="2266"/>
      <c r="H260" s="1530"/>
      <c r="I260" s="657" t="s">
        <v>1283</v>
      </c>
      <c r="J260" s="577"/>
      <c r="K260" s="1530"/>
      <c r="L260" s="200"/>
      <c r="M260" s="337"/>
      <c r="N260" s="330"/>
      <c r="O260" s="1664"/>
      <c r="P260" s="1664"/>
    </row>
    <row s="2993" customFormat="1" customHeight="1" ht="0.75" hidden="1">
      <c r="A261" s="1821"/>
      <c r="B261" s="1821"/>
      <c r="C261" s="369" t="s">
        <v>1291</v>
      </c>
      <c r="D261" s="2311"/>
      <c r="E261" s="2056"/>
      <c r="F261" s="2220"/>
      <c r="G261" s="406"/>
      <c r="H261" s="1530"/>
      <c r="I261" s="657"/>
      <c r="J261" s="577"/>
      <c r="K261" s="1530"/>
      <c r="L261" s="200"/>
      <c r="M261" s="337"/>
      <c r="N261" s="330"/>
      <c r="O261" s="1664"/>
      <c r="P261" s="1664"/>
    </row>
    <row s="2993" customFormat="1" customHeight="1" ht="18.75" hidden="1">
      <c r="A262" s="1821" t="s">
        <v>488</v>
      </c>
      <c r="B262" s="1821" t="s">
        <v>489</v>
      </c>
      <c r="C262" s="369"/>
      <c r="D262" s="2311"/>
      <c r="E262" s="2056"/>
      <c r="F262" s="2220" t="str">
        <f>INDEX(PT_DIFFERENTIATION_VTAR,MATCH(A262,PT_DIFFERENTIATION_VTAR_ID,0))</f>
        <v>Тариф на подключение (технологическое присоединение) к централизованной системе водоотведения</v>
      </c>
      <c r="G262" s="2266" t="str">
        <f>INDEX(PT_DIFFERENTIATION_NTAR,MATCH(B262,PT_DIFFERENTIATION_NTAR_ID,0))</f>
        <v/>
      </c>
      <c r="H262" s="1905"/>
      <c r="I262" s="1779"/>
      <c r="J262" s="1814"/>
      <c r="K262" s="1819"/>
      <c r="L262" s="1905" t="s">
        <v>519</v>
      </c>
      <c r="M262" s="337"/>
      <c r="N262" s="330"/>
      <c r="O262" s="1664"/>
      <c r="P262" s="1664"/>
    </row>
    <row s="2993" customFormat="1" customHeight="1" ht="18.75" hidden="1">
      <c r="A263" s="1821"/>
      <c r="B263" s="1821"/>
      <c r="C263" s="369" t="s">
        <v>1284</v>
      </c>
      <c r="D263" s="2311"/>
      <c r="E263" s="2056"/>
      <c r="F263" s="2220"/>
      <c r="G263" s="2266"/>
      <c r="H263" s="1530"/>
      <c r="I263" s="657" t="s">
        <v>1283</v>
      </c>
      <c r="J263" s="577"/>
      <c r="K263" s="1530"/>
      <c r="L263" s="200"/>
      <c r="M263" s="337"/>
      <c r="N263" s="330"/>
      <c r="O263" s="1664"/>
      <c r="P263" s="1664"/>
    </row>
    <row s="2993" customFormat="1" customHeight="1" ht="0.75">
      <c r="A264" s="1821"/>
      <c r="B264" s="1821"/>
      <c r="C264" s="369" t="s">
        <v>1291</v>
      </c>
      <c r="D264" s="2311"/>
      <c r="E264" s="2056"/>
      <c r="F264" s="2220"/>
      <c r="G264" s="406"/>
      <c r="H264" s="1530"/>
      <c r="I264" s="657"/>
      <c r="J264" s="577"/>
      <c r="K264" s="1530"/>
      <c r="L264" s="200"/>
      <c r="M264" s="337"/>
      <c r="N264" s="330"/>
      <c r="O264" s="1664"/>
      <c r="P264" s="1664"/>
    </row>
    <row customHeight="1" ht="25.5">
      <c r="A265" s="1821"/>
      <c r="B265" s="1821"/>
      <c r="D265" s="377"/>
      <c r="E265" s="133" t="s">
        <v>93</v>
      </c>
      <c r="F265" s="230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5" s="2303"/>
      <c r="H265" s="2303"/>
      <c r="I265" s="2303"/>
      <c r="J265" s="2303"/>
      <c r="K265" s="2303"/>
      <c r="L265" s="2303"/>
      <c r="M265" s="285"/>
      <c r="N265" s="330"/>
    </row>
    <row s="2993" customFormat="1" customHeight="1" ht="60.75" hidden="1">
      <c r="A266" s="1821" t="s">
        <v>230</v>
      </c>
      <c r="B266" s="1821" t="s">
        <v>231</v>
      </c>
      <c r="C266" s="369"/>
      <c r="D266" s="2311"/>
      <c r="E266" s="2056"/>
      <c r="F266" s="2220" t="str">
        <f>INDEX(PT_DIFFERENTIATION_VTAR,MATCH(A266,PT_DIFFERENTIATION_VTAR_ID,0))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66" s="2266" t="str">
        <f>INDEX(PT_DIFFERENTIATION_NTAR,MATCH(B266,PT_DIFFERENTIATION_NTAR_ID,0))</f>
        <v/>
      </c>
      <c r="H266" s="1905"/>
      <c r="I266" s="1779"/>
      <c r="J266" s="1814"/>
      <c r="K266" s="1819"/>
      <c r="L266" s="1905" t="s">
        <v>519</v>
      </c>
      <c r="M266" s="20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66" s="330"/>
      <c r="O266" s="1664"/>
      <c r="P266" s="1664"/>
    </row>
    <row s="2993" customFormat="1" customHeight="1" ht="18.75" hidden="1">
      <c r="A267" s="1821"/>
      <c r="B267" s="1821"/>
      <c r="C267" s="369" t="s">
        <v>1284</v>
      </c>
      <c r="D267" s="2311"/>
      <c r="E267" s="2056"/>
      <c r="F267" s="2220"/>
      <c r="G267" s="2266"/>
      <c r="H267" s="1530"/>
      <c r="I267" s="657" t="s">
        <v>1283</v>
      </c>
      <c r="J267" s="577"/>
      <c r="K267" s="1530"/>
      <c r="L267" s="200"/>
      <c r="M267" s="2016"/>
      <c r="N267" s="330"/>
      <c r="O267" s="1664"/>
      <c r="P267" s="1664"/>
    </row>
    <row s="2993" customFormat="1" customHeight="1" ht="0.75" hidden="1">
      <c r="A268" s="1821"/>
      <c r="B268" s="1821"/>
      <c r="C268" s="369" t="s">
        <v>1291</v>
      </c>
      <c r="D268" s="2311"/>
      <c r="E268" s="2056"/>
      <c r="F268" s="2220"/>
      <c r="G268" s="406"/>
      <c r="H268" s="1530"/>
      <c r="I268" s="657"/>
      <c r="J268" s="577"/>
      <c r="K268" s="1530"/>
      <c r="L268" s="200"/>
      <c r="M268" s="2016"/>
      <c r="N268" s="330"/>
      <c r="O268" s="1664"/>
      <c r="P268" s="1664"/>
    </row>
    <row s="2993" customFormat="1" customHeight="1" ht="45" hidden="1">
      <c r="A269" s="1821" t="s">
        <v>236</v>
      </c>
      <c r="B269" s="1821" t="s">
        <v>237</v>
      </c>
      <c r="C269" s="369"/>
      <c r="D269" s="2311"/>
      <c r="E269" s="2056"/>
      <c r="F269" s="2220" t="str">
        <f>INDEX(PT_DIFFERENTIATION_VTAR,MATCH(A269,PT_DIFFERENTIATION_VTAR_ID,0))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9" s="2266" t="str">
        <f>INDEX(PT_DIFFERENTIATION_NTAR,MATCH(B269,PT_DIFFERENTIATION_NTAR_ID,0))</f>
        <v/>
      </c>
      <c r="H269" s="1905"/>
      <c r="I269" s="1779"/>
      <c r="J269" s="1814"/>
      <c r="K269" s="1819"/>
      <c r="L269" s="1905" t="s">
        <v>519</v>
      </c>
      <c r="M269" s="2017"/>
      <c r="N269" s="330"/>
      <c r="O269" s="1664"/>
      <c r="P269" s="1664"/>
    </row>
    <row s="2993" customFormat="1" customHeight="1" ht="18.75" hidden="1">
      <c r="A270" s="1821"/>
      <c r="B270" s="1821"/>
      <c r="C270" s="369" t="s">
        <v>1284</v>
      </c>
      <c r="D270" s="2311"/>
      <c r="E270" s="2056"/>
      <c r="F270" s="2220"/>
      <c r="G270" s="2266"/>
      <c r="H270" s="1530"/>
      <c r="I270" s="657" t="s">
        <v>1283</v>
      </c>
      <c r="J270" s="577"/>
      <c r="K270" s="1530"/>
      <c r="L270" s="200"/>
      <c r="M270" s="1904"/>
      <c r="N270" s="330"/>
      <c r="O270" s="1664"/>
      <c r="P270" s="1664"/>
    </row>
    <row s="2993" customFormat="1" customHeight="1" ht="0.75" hidden="1">
      <c r="A271" s="1821"/>
      <c r="B271" s="1821"/>
      <c r="C271" s="369" t="s">
        <v>1291</v>
      </c>
      <c r="D271" s="2311"/>
      <c r="E271" s="2056"/>
      <c r="F271" s="2220"/>
      <c r="G271" s="406"/>
      <c r="H271" s="1530"/>
      <c r="I271" s="657"/>
      <c r="J271" s="577"/>
      <c r="K271" s="1530"/>
      <c r="L271" s="200"/>
      <c r="M271" s="337"/>
      <c r="N271" s="330"/>
      <c r="O271" s="1664"/>
      <c r="P271" s="1664"/>
    </row>
    <row s="2993" customFormat="1" customHeight="1" ht="45" hidden="1">
      <c r="A272" s="1821" t="s">
        <v>245</v>
      </c>
      <c r="B272" s="1821" t="s">
        <v>246</v>
      </c>
      <c r="C272" s="369"/>
      <c r="D272" s="2311"/>
      <c r="E272" s="2056"/>
      <c r="F272" s="2220" t="str">
        <f>INDEX(PT_DIFFERENTIATION_VTAR,MATCH(A272,PT_DIFFERENTIATION_VTAR_ID,0))</f>
        <v>Тарифы на теплоноситель, поставляемый теплоснабжающими организациями потребителям, другим теплоснабжающим организациям</v>
      </c>
      <c r="G272" s="2266" t="str">
        <f>INDEX(PT_DIFFERENTIATION_NTAR,MATCH(B272,PT_DIFFERENTIATION_NTAR_ID,0))</f>
        <v>Тариф на теплоноситель, поставляемый потребителям</v>
      </c>
      <c r="H272" s="1905"/>
      <c r="I272" s="1779"/>
      <c r="J272" s="1814"/>
      <c r="K272" s="1819"/>
      <c r="L272" s="1905" t="s">
        <v>519</v>
      </c>
      <c r="M272" s="337"/>
      <c r="N272" s="330"/>
      <c r="O272" s="1664"/>
      <c r="P272" s="1664"/>
    </row>
    <row s="2993" customFormat="1" customHeight="1" ht="18.75" hidden="1">
      <c r="A273" s="1821"/>
      <c r="B273" s="1821"/>
      <c r="C273" s="369" t="s">
        <v>1284</v>
      </c>
      <c r="D273" s="2311"/>
      <c r="E273" s="2056"/>
      <c r="F273" s="2220"/>
      <c r="G273" s="2266"/>
      <c r="H273" s="1530"/>
      <c r="I273" s="657" t="s">
        <v>1283</v>
      </c>
      <c r="J273" s="577"/>
      <c r="K273" s="1530"/>
      <c r="L273" s="200"/>
      <c r="M273" s="337"/>
      <c r="N273" s="330"/>
      <c r="O273" s="1664"/>
      <c r="P273" s="1664"/>
    </row>
    <row s="3431" customFormat="1" customHeight="1" ht="18.75">
      <c r="A274" s="3905" t="s">
        <v>245</v>
      </c>
      <c r="B274" s="3905" t="s">
        <v>331</v>
      </c>
      <c r="C274" s="12942"/>
      <c r="D274" s="12943"/>
      <c r="E274" s="12944"/>
      <c r="F274" s="12944"/>
      <c r="G274" s="12945" t="str">
        <f>INDEX(PT_DIFFERENTIATION_NTAR,MATCH(B274,PT_DIFFERENTIATION_NTAR_ID,0))</f>
        <v>Тариф на теплоноситель, поставляемый населению</v>
      </c>
      <c r="H274" s="3598"/>
      <c r="I274" s="12946"/>
      <c r="J274" s="12947"/>
      <c r="K274" s="12959"/>
      <c r="L274" s="3598" t="s">
        <v>519</v>
      </c>
      <c r="M274" s="12949"/>
      <c r="N274" s="12950"/>
      <c r="O274" s="3728"/>
      <c r="P274" s="3728"/>
      <c r="Q274" s="3431"/>
      <c r="R274" s="3431"/>
      <c r="S274" s="3431"/>
      <c r="T274" s="3431"/>
      <c r="U274" s="3431"/>
      <c r="V274" s="3431"/>
      <c r="W274" s="3431"/>
      <c r="X274" s="3431"/>
      <c r="Y274" s="3431"/>
      <c r="Z274" s="3431"/>
      <c r="AA274" s="3431"/>
      <c r="AB274" s="3431"/>
      <c r="AC274" s="3431"/>
      <c r="AD274" s="3431"/>
      <c r="AE274" s="3431"/>
      <c r="AF274" s="3431"/>
      <c r="AG274" s="3431"/>
    </row>
    <row s="3431" customFormat="1" customHeight="1" ht="18.75">
      <c r="A275" s="3905"/>
      <c r="B275" s="3905"/>
      <c r="C275" s="12942" t="s">
        <v>1284</v>
      </c>
      <c r="D275" s="12943"/>
      <c r="E275" s="12944"/>
      <c r="F275" s="12944"/>
      <c r="G275" s="12945"/>
      <c r="H275" s="12975"/>
      <c r="I275" s="12976" t="s">
        <v>1283</v>
      </c>
      <c r="J275" s="12977"/>
      <c r="K275" s="12978"/>
      <c r="L275" s="12979"/>
      <c r="M275" s="12949"/>
      <c r="N275" s="12950"/>
      <c r="O275" s="3728"/>
      <c r="P275" s="3728"/>
      <c r="Q275" s="3431"/>
      <c r="R275" s="3431"/>
      <c r="S275" s="3431"/>
      <c r="T275" s="3431"/>
      <c r="U275" s="3431"/>
      <c r="V275" s="3431"/>
      <c r="W275" s="3431"/>
      <c r="X275" s="3431"/>
      <c r="Y275" s="3431"/>
      <c r="Z275" s="3431"/>
      <c r="AA275" s="3431"/>
      <c r="AB275" s="3431"/>
      <c r="AC275" s="3431"/>
      <c r="AD275" s="3431"/>
      <c r="AE275" s="3431"/>
      <c r="AF275" s="3431"/>
      <c r="AG275" s="3431"/>
    </row>
    <row s="2993" customFormat="1" customHeight="1" ht="0.75" hidden="1">
      <c r="A276" s="1821"/>
      <c r="B276" s="1821"/>
      <c r="C276" s="369" t="s">
        <v>1291</v>
      </c>
      <c r="D276" s="2311"/>
      <c r="E276" s="2056"/>
      <c r="F276" s="2220"/>
      <c r="G276" s="406"/>
      <c r="H276" s="1530"/>
      <c r="I276" s="657"/>
      <c r="J276" s="577"/>
      <c r="K276" s="1530"/>
      <c r="L276" s="200"/>
      <c r="M276" s="337"/>
      <c r="N276" s="330"/>
      <c r="O276" s="1664"/>
      <c r="P276" s="1664"/>
    </row>
    <row s="2993" customFormat="1" customHeight="1" ht="45" hidden="1">
      <c r="A277" s="1821" t="s">
        <v>400</v>
      </c>
      <c r="B277" s="1821" t="s">
        <v>401</v>
      </c>
      <c r="C277" s="369"/>
      <c r="D277" s="2311"/>
      <c r="E277" s="2056"/>
      <c r="F277" s="2220" t="str">
        <f>INDEX(PT_DIFFERENTIATION_VTAR,MATCH(A277,PT_DIFFERENTIATION_VTAR_ID,0))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7" s="2266" t="str">
        <f>INDEX(PT_DIFFERENTIATION_NTAR,MATCH(B277,PT_DIFFERENTIATION_NTAR_ID,0))</f>
        <v/>
      </c>
      <c r="H277" s="1905"/>
      <c r="I277" s="1779"/>
      <c r="J277" s="1814"/>
      <c r="K277" s="1819"/>
      <c r="L277" s="1905" t="s">
        <v>519</v>
      </c>
      <c r="M277" s="337"/>
      <c r="N277" s="330"/>
      <c r="O277" s="1664"/>
      <c r="P277" s="1664"/>
    </row>
    <row s="2993" customFormat="1" customHeight="1" ht="18.75" hidden="1">
      <c r="A278" s="1821"/>
      <c r="B278" s="1821"/>
      <c r="C278" s="369" t="s">
        <v>1284</v>
      </c>
      <c r="D278" s="2311"/>
      <c r="E278" s="2056"/>
      <c r="F278" s="2220"/>
      <c r="G278" s="2266"/>
      <c r="H278" s="1530"/>
      <c r="I278" s="657" t="s">
        <v>1283</v>
      </c>
      <c r="J278" s="577"/>
      <c r="K278" s="1530"/>
      <c r="L278" s="200"/>
      <c r="M278" s="337"/>
      <c r="N278" s="330"/>
      <c r="O278" s="1664"/>
      <c r="P278" s="1664"/>
    </row>
    <row s="2993" customFormat="1" customHeight="1" ht="0.75" hidden="1">
      <c r="A279" s="1821"/>
      <c r="B279" s="1821"/>
      <c r="C279" s="369" t="s">
        <v>1291</v>
      </c>
      <c r="D279" s="2311"/>
      <c r="E279" s="2056"/>
      <c r="F279" s="2220"/>
      <c r="G279" s="406"/>
      <c r="H279" s="1530"/>
      <c r="I279" s="657"/>
      <c r="J279" s="577"/>
      <c r="K279" s="1530"/>
      <c r="L279" s="200"/>
      <c r="M279" s="337"/>
      <c r="N279" s="330"/>
      <c r="O279" s="1664"/>
      <c r="P279" s="1664"/>
    </row>
    <row s="2993" customFormat="1" customHeight="1" ht="18.75" hidden="1">
      <c r="A280" s="1821" t="s">
        <v>406</v>
      </c>
      <c r="B280" s="1821" t="s">
        <v>407</v>
      </c>
      <c r="C280" s="369"/>
      <c r="D280" s="2311"/>
      <c r="E280" s="2056"/>
      <c r="F280" s="2220" t="str">
        <f>INDEX(PT_DIFFERENTIATION_VTAR,MATCH(A280,PT_DIFFERENTIATION_VTAR_ID,0))</f>
        <v>Тарифы на услуги по передаче тепловой энергии</v>
      </c>
      <c r="G280" s="2266" t="str">
        <f>INDEX(PT_DIFFERENTIATION_NTAR,MATCH(B280,PT_DIFFERENTIATION_NTAR_ID,0))</f>
        <v/>
      </c>
      <c r="H280" s="1905"/>
      <c r="I280" s="1779"/>
      <c r="J280" s="1814"/>
      <c r="K280" s="1819"/>
      <c r="L280" s="1905" t="s">
        <v>519</v>
      </c>
      <c r="M280" s="337"/>
      <c r="N280" s="330"/>
      <c r="O280" s="1664"/>
      <c r="P280" s="1664"/>
    </row>
    <row s="2993" customFormat="1" customHeight="1" ht="18.75" hidden="1">
      <c r="A281" s="1821"/>
      <c r="B281" s="1821"/>
      <c r="C281" s="369" t="s">
        <v>1284</v>
      </c>
      <c r="D281" s="2311"/>
      <c r="E281" s="2056"/>
      <c r="F281" s="2220"/>
      <c r="G281" s="2266"/>
      <c r="H281" s="1530"/>
      <c r="I281" s="657" t="s">
        <v>1283</v>
      </c>
      <c r="J281" s="577"/>
      <c r="K281" s="1530"/>
      <c r="L281" s="200"/>
      <c r="M281" s="337"/>
      <c r="N281" s="330"/>
      <c r="O281" s="1664"/>
      <c r="P281" s="1664"/>
    </row>
    <row s="2993" customFormat="1" customHeight="1" ht="0.75" hidden="1">
      <c r="A282" s="1821"/>
      <c r="B282" s="1821"/>
      <c r="C282" s="369" t="s">
        <v>1291</v>
      </c>
      <c r="D282" s="2311"/>
      <c r="E282" s="2056"/>
      <c r="F282" s="2220"/>
      <c r="G282" s="406"/>
      <c r="H282" s="1530"/>
      <c r="I282" s="657"/>
      <c r="J282" s="577"/>
      <c r="K282" s="1530"/>
      <c r="L282" s="200"/>
      <c r="M282" s="337"/>
      <c r="N282" s="330"/>
      <c r="O282" s="1664"/>
      <c r="P282" s="1664"/>
    </row>
    <row s="2993" customFormat="1" customHeight="1" ht="18.75" hidden="1">
      <c r="A283" s="1821" t="s">
        <v>412</v>
      </c>
      <c r="B283" s="1821" t="s">
        <v>413</v>
      </c>
      <c r="C283" s="369"/>
      <c r="D283" s="2311"/>
      <c r="E283" s="2056"/>
      <c r="F283" s="2220" t="str">
        <f>INDEX(PT_DIFFERENTIATION_VTAR,MATCH(A283,PT_DIFFERENTIATION_VTAR_ID,0))</f>
        <v>Тарифы на услуги по передаче теплоносителя</v>
      </c>
      <c r="G283" s="2266" t="str">
        <f>INDEX(PT_DIFFERENTIATION_NTAR,MATCH(B283,PT_DIFFERENTIATION_NTAR_ID,0))</f>
        <v/>
      </c>
      <c r="H283" s="1905"/>
      <c r="I283" s="1779"/>
      <c r="J283" s="1814"/>
      <c r="K283" s="1819"/>
      <c r="L283" s="1905" t="s">
        <v>519</v>
      </c>
      <c r="M283" s="337"/>
      <c r="N283" s="330"/>
      <c r="O283" s="1664"/>
      <c r="P283" s="1664"/>
    </row>
    <row s="2993" customFormat="1" customHeight="1" ht="18.75" hidden="1">
      <c r="A284" s="1821"/>
      <c r="B284" s="1821"/>
      <c r="C284" s="369" t="s">
        <v>1284</v>
      </c>
      <c r="D284" s="2311"/>
      <c r="E284" s="2056"/>
      <c r="F284" s="2220"/>
      <c r="G284" s="2266"/>
      <c r="H284" s="1530"/>
      <c r="I284" s="657" t="s">
        <v>1283</v>
      </c>
      <c r="J284" s="577"/>
      <c r="K284" s="1530"/>
      <c r="L284" s="200"/>
      <c r="M284" s="337"/>
      <c r="N284" s="330"/>
      <c r="O284" s="1664"/>
      <c r="P284" s="1664"/>
    </row>
    <row s="2993" customFormat="1" customHeight="1" ht="0.75" hidden="1">
      <c r="A285" s="1821"/>
      <c r="B285" s="1821"/>
      <c r="C285" s="369" t="s">
        <v>1291</v>
      </c>
      <c r="D285" s="2311"/>
      <c r="E285" s="2056"/>
      <c r="F285" s="2220"/>
      <c r="G285" s="406"/>
      <c r="H285" s="1530"/>
      <c r="I285" s="657"/>
      <c r="J285" s="577"/>
      <c r="K285" s="1530"/>
      <c r="L285" s="200"/>
      <c r="M285" s="337"/>
      <c r="N285" s="330"/>
      <c r="O285" s="1664"/>
      <c r="P285" s="1664"/>
    </row>
    <row s="2993" customFormat="1" customHeight="1" ht="18.75" hidden="1">
      <c r="A286" s="1821" t="s">
        <v>418</v>
      </c>
      <c r="B286" s="1821" t="s">
        <v>419</v>
      </c>
      <c r="C286" s="369"/>
      <c r="D286" s="2311"/>
      <c r="E286" s="2056"/>
      <c r="F286" s="2220" t="str">
        <f>INDEX(PT_DIFFERENTIATION_VTAR,MATCH(A286,PT_DIFFERENTIATION_VTAR_ID,0))</f>
        <v>Плата за услуги по поддержанию резервной тепловой мощности при отсутствии потребления тепловой энергии</v>
      </c>
      <c r="G286" s="2266" t="str">
        <f>INDEX(PT_DIFFERENTIATION_NTAR,MATCH(B286,PT_DIFFERENTIATION_NTAR_ID,0))</f>
        <v/>
      </c>
      <c r="H286" s="1905"/>
      <c r="I286" s="1779"/>
      <c r="J286" s="1814"/>
      <c r="K286" s="1819"/>
      <c r="L286" s="1905" t="s">
        <v>519</v>
      </c>
      <c r="M286" s="337"/>
      <c r="N286" s="330"/>
      <c r="O286" s="1664"/>
      <c r="P286" s="1664"/>
    </row>
    <row s="2993" customFormat="1" customHeight="1" ht="18.75" hidden="1">
      <c r="A287" s="1821"/>
      <c r="B287" s="1821"/>
      <c r="C287" s="369" t="s">
        <v>1284</v>
      </c>
      <c r="D287" s="2311"/>
      <c r="E287" s="2056"/>
      <c r="F287" s="2220"/>
      <c r="G287" s="2266"/>
      <c r="H287" s="1530"/>
      <c r="I287" s="657" t="s">
        <v>1283</v>
      </c>
      <c r="J287" s="577"/>
      <c r="K287" s="1530"/>
      <c r="L287" s="200"/>
      <c r="M287" s="337"/>
      <c r="N287" s="330"/>
      <c r="O287" s="1664"/>
      <c r="P287" s="1664"/>
    </row>
    <row s="2993" customFormat="1" customHeight="1" ht="0.75" hidden="1">
      <c r="A288" s="1821"/>
      <c r="B288" s="1821"/>
      <c r="C288" s="369" t="s">
        <v>1291</v>
      </c>
      <c r="D288" s="2311"/>
      <c r="E288" s="2056"/>
      <c r="F288" s="2220"/>
      <c r="G288" s="406"/>
      <c r="H288" s="1530"/>
      <c r="I288" s="657"/>
      <c r="J288" s="577"/>
      <c r="K288" s="1530"/>
      <c r="L288" s="200"/>
      <c r="M288" s="337"/>
      <c r="N288" s="330"/>
      <c r="O288" s="1664"/>
      <c r="P288" s="1664"/>
    </row>
    <row s="2993" customFormat="1" customHeight="1" ht="18.75" hidden="1">
      <c r="A289" s="1821" t="s">
        <v>424</v>
      </c>
      <c r="B289" s="1821" t="s">
        <v>425</v>
      </c>
      <c r="C289" s="369"/>
      <c r="D289" s="2311"/>
      <c r="E289" s="2056"/>
      <c r="F289" s="2220" t="str">
        <f>INDEX(PT_DIFFERENTIATION_VTAR,MATCH(A289,PT_DIFFERENTIATION_VTAR_ID,0))</f>
        <v>Плата за подключение (технологическое присоединение) к системе теплоснабжения</v>
      </c>
      <c r="G289" s="2266" t="str">
        <f>INDEX(PT_DIFFERENTIATION_NTAR,MATCH(B289,PT_DIFFERENTIATION_NTAR_ID,0))</f>
        <v/>
      </c>
      <c r="H289" s="1905"/>
      <c r="I289" s="1779"/>
      <c r="J289" s="1814"/>
      <c r="K289" s="1819"/>
      <c r="L289" s="1905" t="s">
        <v>519</v>
      </c>
      <c r="M289" s="337"/>
      <c r="N289" s="330"/>
      <c r="O289" s="1664"/>
      <c r="P289" s="1664"/>
    </row>
    <row s="2993" customFormat="1" customHeight="1" ht="18.75" hidden="1">
      <c r="A290" s="1821"/>
      <c r="B290" s="1821"/>
      <c r="C290" s="369" t="s">
        <v>1284</v>
      </c>
      <c r="D290" s="2311"/>
      <c r="E290" s="2056"/>
      <c r="F290" s="2220"/>
      <c r="G290" s="2266"/>
      <c r="H290" s="1530"/>
      <c r="I290" s="657" t="s">
        <v>1283</v>
      </c>
      <c r="J290" s="577"/>
      <c r="K290" s="1530"/>
      <c r="L290" s="200"/>
      <c r="M290" s="337"/>
      <c r="N290" s="330"/>
      <c r="O290" s="1664"/>
      <c r="P290" s="1664"/>
    </row>
    <row s="2993" customFormat="1" customHeight="1" ht="0.75" hidden="1">
      <c r="A291" s="1821"/>
      <c r="B291" s="1821"/>
      <c r="C291" s="369" t="s">
        <v>1291</v>
      </c>
      <c r="D291" s="2311"/>
      <c r="E291" s="2056"/>
      <c r="F291" s="2220"/>
      <c r="G291" s="406"/>
      <c r="H291" s="1530"/>
      <c r="I291" s="657"/>
      <c r="J291" s="577"/>
      <c r="K291" s="1530"/>
      <c r="L291" s="200"/>
      <c r="M291" s="337"/>
      <c r="N291" s="330"/>
      <c r="O291" s="1664"/>
      <c r="P291" s="1664"/>
    </row>
    <row s="2993" customFormat="1" customHeight="1" ht="18.75" hidden="1">
      <c r="A292" s="1821" t="s">
        <v>438</v>
      </c>
      <c r="B292" s="1821" t="s">
        <v>439</v>
      </c>
      <c r="C292" s="369"/>
      <c r="D292" s="2311"/>
      <c r="E292" s="2056"/>
      <c r="F292" s="2220" t="str">
        <f>INDEX(PT_DIFFERENTIATION_VTAR,MATCH(A292,PT_DIFFERENTIATION_VTAR_ID,0))</f>
        <v>Тариф на питьевую воду (питьевое водоснабжение)</v>
      </c>
      <c r="G292" s="2266" t="str">
        <f>INDEX(PT_DIFFERENTIATION_NTAR,MATCH(B292,PT_DIFFERENTIATION_NTAR_ID,0))</f>
        <v/>
      </c>
      <c r="H292" s="1905"/>
      <c r="I292" s="1779"/>
      <c r="J292" s="1814"/>
      <c r="K292" s="1819"/>
      <c r="L292" s="1905" t="s">
        <v>519</v>
      </c>
      <c r="M292" s="337"/>
      <c r="N292" s="330"/>
      <c r="O292" s="1664"/>
      <c r="P292" s="1664"/>
    </row>
    <row s="2993" customFormat="1" customHeight="1" ht="18.75" hidden="1">
      <c r="A293" s="1821"/>
      <c r="B293" s="1821"/>
      <c r="C293" s="369" t="s">
        <v>1284</v>
      </c>
      <c r="D293" s="2311"/>
      <c r="E293" s="2056"/>
      <c r="F293" s="2220"/>
      <c r="G293" s="2266"/>
      <c r="H293" s="1530"/>
      <c r="I293" s="657" t="s">
        <v>1283</v>
      </c>
      <c r="J293" s="577"/>
      <c r="K293" s="1530"/>
      <c r="L293" s="200"/>
      <c r="M293" s="337"/>
      <c r="N293" s="330"/>
      <c r="O293" s="1664"/>
      <c r="P293" s="1664"/>
    </row>
    <row s="2993" customFormat="1" customHeight="1" ht="0.75" hidden="1">
      <c r="A294" s="1821"/>
      <c r="B294" s="1821"/>
      <c r="C294" s="369" t="s">
        <v>1291</v>
      </c>
      <c r="D294" s="2311"/>
      <c r="E294" s="2056"/>
      <c r="F294" s="2220"/>
      <c r="G294" s="406"/>
      <c r="H294" s="1530"/>
      <c r="I294" s="657"/>
      <c r="J294" s="577"/>
      <c r="K294" s="1530"/>
      <c r="L294" s="200"/>
      <c r="M294" s="337"/>
      <c r="N294" s="330"/>
      <c r="O294" s="1664"/>
      <c r="P294" s="1664"/>
    </row>
    <row s="2993" customFormat="1" customHeight="1" ht="18.75" hidden="1">
      <c r="A295" s="1821" t="s">
        <v>443</v>
      </c>
      <c r="B295" s="1821" t="s">
        <v>444</v>
      </c>
      <c r="C295" s="369"/>
      <c r="D295" s="2311"/>
      <c r="E295" s="2056"/>
      <c r="F295" s="2220" t="str">
        <f>INDEX(PT_DIFFERENTIATION_VTAR,MATCH(A295,PT_DIFFERENTIATION_VTAR_ID,0))</f>
        <v>Тариф на техническую воду</v>
      </c>
      <c r="G295" s="2266" t="str">
        <f>INDEX(PT_DIFFERENTIATION_NTAR,MATCH(B295,PT_DIFFERENTIATION_NTAR_ID,0))</f>
        <v/>
      </c>
      <c r="H295" s="1905"/>
      <c r="I295" s="1779"/>
      <c r="J295" s="1814"/>
      <c r="K295" s="1819"/>
      <c r="L295" s="1905" t="s">
        <v>519</v>
      </c>
      <c r="M295" s="337"/>
      <c r="N295" s="330"/>
      <c r="O295" s="1664"/>
      <c r="P295" s="1664"/>
    </row>
    <row s="2993" customFormat="1" customHeight="1" ht="18.75" hidden="1">
      <c r="A296" s="1821"/>
      <c r="B296" s="1821"/>
      <c r="C296" s="369" t="s">
        <v>1284</v>
      </c>
      <c r="D296" s="2311"/>
      <c r="E296" s="2056"/>
      <c r="F296" s="2220"/>
      <c r="G296" s="2266"/>
      <c r="H296" s="1530"/>
      <c r="I296" s="657" t="s">
        <v>1283</v>
      </c>
      <c r="J296" s="577"/>
      <c r="K296" s="1530"/>
      <c r="L296" s="200"/>
      <c r="M296" s="337"/>
      <c r="N296" s="330"/>
      <c r="O296" s="1664"/>
      <c r="P296" s="1664"/>
    </row>
    <row s="2993" customFormat="1" customHeight="1" ht="0.75" hidden="1">
      <c r="A297" s="1821"/>
      <c r="B297" s="1821"/>
      <c r="C297" s="369" t="s">
        <v>1291</v>
      </c>
      <c r="D297" s="2311"/>
      <c r="E297" s="2056"/>
      <c r="F297" s="2220"/>
      <c r="G297" s="406"/>
      <c r="H297" s="1530"/>
      <c r="I297" s="657"/>
      <c r="J297" s="577"/>
      <c r="K297" s="1530"/>
      <c r="L297" s="200"/>
      <c r="M297" s="337"/>
      <c r="N297" s="330"/>
      <c r="O297" s="1664"/>
      <c r="P297" s="1664"/>
    </row>
    <row s="2993" customFormat="1" customHeight="1" ht="18.75" hidden="1">
      <c r="A298" s="1821" t="s">
        <v>448</v>
      </c>
      <c r="B298" s="1821" t="s">
        <v>449</v>
      </c>
      <c r="C298" s="369"/>
      <c r="D298" s="2311"/>
      <c r="E298" s="2056"/>
      <c r="F298" s="2220" t="str">
        <f>INDEX(PT_DIFFERENTIATION_VTAR,MATCH(A298,PT_DIFFERENTIATION_VTAR_ID,0))</f>
        <v>Тариф на транспортировку воды</v>
      </c>
      <c r="G298" s="2266" t="str">
        <f>INDEX(PT_DIFFERENTIATION_NTAR,MATCH(B298,PT_DIFFERENTIATION_NTAR_ID,0))</f>
        <v/>
      </c>
      <c r="H298" s="1905"/>
      <c r="I298" s="1779"/>
      <c r="J298" s="1814"/>
      <c r="K298" s="1819"/>
      <c r="L298" s="1905" t="s">
        <v>519</v>
      </c>
      <c r="M298" s="337"/>
      <c r="N298" s="330"/>
      <c r="O298" s="1664"/>
      <c r="P298" s="1664"/>
    </row>
    <row s="2993" customFormat="1" customHeight="1" ht="18.75" hidden="1">
      <c r="A299" s="1821"/>
      <c r="B299" s="1821"/>
      <c r="C299" s="369" t="s">
        <v>1284</v>
      </c>
      <c r="D299" s="2311"/>
      <c r="E299" s="2056"/>
      <c r="F299" s="2220"/>
      <c r="G299" s="2266"/>
      <c r="H299" s="1530"/>
      <c r="I299" s="657" t="s">
        <v>1283</v>
      </c>
      <c r="J299" s="577"/>
      <c r="K299" s="1530"/>
      <c r="L299" s="200"/>
      <c r="M299" s="337"/>
      <c r="N299" s="330"/>
      <c r="O299" s="1664"/>
      <c r="P299" s="1664"/>
    </row>
    <row s="2993" customFormat="1" customHeight="1" ht="0.75" hidden="1">
      <c r="A300" s="1821"/>
      <c r="B300" s="1821"/>
      <c r="C300" s="369" t="s">
        <v>1291</v>
      </c>
      <c r="D300" s="2311"/>
      <c r="E300" s="2056"/>
      <c r="F300" s="2220"/>
      <c r="G300" s="406"/>
      <c r="H300" s="1530"/>
      <c r="I300" s="657"/>
      <c r="J300" s="577"/>
      <c r="K300" s="1530"/>
      <c r="L300" s="200"/>
      <c r="M300" s="337"/>
      <c r="N300" s="330"/>
      <c r="O300" s="1664"/>
      <c r="P300" s="1664"/>
    </row>
    <row s="2993" customFormat="1" customHeight="1" ht="18.75" hidden="1">
      <c r="A301" s="1821" t="s">
        <v>453</v>
      </c>
      <c r="B301" s="1821" t="s">
        <v>454</v>
      </c>
      <c r="C301" s="369"/>
      <c r="D301" s="2311"/>
      <c r="E301" s="2056"/>
      <c r="F301" s="2220" t="str">
        <f>INDEX(PT_DIFFERENTIATION_VTAR,MATCH(A301,PT_DIFFERENTIATION_VTAR_ID,0))</f>
        <v>Тариф на подвоз воды</v>
      </c>
      <c r="G301" s="2266" t="str">
        <f>INDEX(PT_DIFFERENTIATION_NTAR,MATCH(B301,PT_DIFFERENTIATION_NTAR_ID,0))</f>
        <v/>
      </c>
      <c r="H301" s="1905"/>
      <c r="I301" s="1779"/>
      <c r="J301" s="1814"/>
      <c r="K301" s="1819"/>
      <c r="L301" s="1905" t="s">
        <v>519</v>
      </c>
      <c r="M301" s="337"/>
      <c r="N301" s="330"/>
      <c r="O301" s="1664"/>
      <c r="P301" s="1664"/>
    </row>
    <row s="2993" customFormat="1" customHeight="1" ht="18.75" hidden="1">
      <c r="A302" s="1821"/>
      <c r="B302" s="1821"/>
      <c r="C302" s="369" t="s">
        <v>1284</v>
      </c>
      <c r="D302" s="2311"/>
      <c r="E302" s="2056"/>
      <c r="F302" s="2220"/>
      <c r="G302" s="2266"/>
      <c r="H302" s="1530"/>
      <c r="I302" s="657" t="s">
        <v>1283</v>
      </c>
      <c r="J302" s="577"/>
      <c r="K302" s="1530"/>
      <c r="L302" s="200"/>
      <c r="M302" s="337"/>
      <c r="N302" s="330"/>
      <c r="O302" s="1664"/>
      <c r="P302" s="1664"/>
    </row>
    <row s="2993" customFormat="1" customHeight="1" ht="0.75" hidden="1">
      <c r="A303" s="1821"/>
      <c r="B303" s="1821"/>
      <c r="C303" s="369" t="s">
        <v>1291</v>
      </c>
      <c r="D303" s="2311"/>
      <c r="E303" s="2056"/>
      <c r="F303" s="2220"/>
      <c r="G303" s="406"/>
      <c r="H303" s="1530"/>
      <c r="I303" s="657"/>
      <c r="J303" s="577"/>
      <c r="K303" s="1530"/>
      <c r="L303" s="200"/>
      <c r="M303" s="337"/>
      <c r="N303" s="330"/>
      <c r="O303" s="1664"/>
      <c r="P303" s="1664"/>
    </row>
    <row s="2993" customFormat="1" customHeight="1" ht="18.75" hidden="1">
      <c r="A304" s="1821" t="s">
        <v>458</v>
      </c>
      <c r="B304" s="1821" t="s">
        <v>459</v>
      </c>
      <c r="C304" s="369"/>
      <c r="D304" s="2311"/>
      <c r="E304" s="2056"/>
      <c r="F304" s="2220" t="str">
        <f>INDEX(PT_DIFFERENTIATION_VTAR,MATCH(A304,PT_DIFFERENTIATION_VTAR_ID,0))</f>
        <v>Тариф на подключение (технологическое присоединение) к централизованной системе холодного водоснабжения</v>
      </c>
      <c r="G304" s="2266" t="str">
        <f>INDEX(PT_DIFFERENTIATION_NTAR,MATCH(B304,PT_DIFFERENTIATION_NTAR_ID,0))</f>
        <v/>
      </c>
      <c r="H304" s="1905"/>
      <c r="I304" s="1779"/>
      <c r="J304" s="1814"/>
      <c r="K304" s="1819"/>
      <c r="L304" s="1905" t="s">
        <v>519</v>
      </c>
      <c r="M304" s="337"/>
      <c r="N304" s="330"/>
      <c r="O304" s="1664"/>
      <c r="P304" s="1664"/>
    </row>
    <row s="2993" customFormat="1" customHeight="1" ht="18.75" hidden="1">
      <c r="A305" s="1821"/>
      <c r="B305" s="1821"/>
      <c r="C305" s="369" t="s">
        <v>1284</v>
      </c>
      <c r="D305" s="2311"/>
      <c r="E305" s="2056"/>
      <c r="F305" s="2220"/>
      <c r="G305" s="2266"/>
      <c r="H305" s="1530"/>
      <c r="I305" s="657" t="s">
        <v>1283</v>
      </c>
      <c r="J305" s="577"/>
      <c r="K305" s="1530"/>
      <c r="L305" s="200"/>
      <c r="M305" s="337"/>
      <c r="N305" s="330"/>
      <c r="O305" s="1664"/>
      <c r="P305" s="1664"/>
    </row>
    <row s="2993" customFormat="1" customHeight="1" ht="0.75" hidden="1">
      <c r="A306" s="1821"/>
      <c r="B306" s="1821"/>
      <c r="C306" s="369" t="s">
        <v>1291</v>
      </c>
      <c r="D306" s="2311"/>
      <c r="E306" s="2056"/>
      <c r="F306" s="2220"/>
      <c r="G306" s="406"/>
      <c r="H306" s="1530"/>
      <c r="I306" s="657"/>
      <c r="J306" s="577"/>
      <c r="K306" s="1530"/>
      <c r="L306" s="200"/>
      <c r="M306" s="337"/>
      <c r="N306" s="330"/>
      <c r="O306" s="1664"/>
      <c r="P306" s="1664"/>
    </row>
    <row s="2993" customFormat="1" customHeight="1" ht="18.75" hidden="1">
      <c r="A307" s="1821" t="s">
        <v>463</v>
      </c>
      <c r="B307" s="1821" t="s">
        <v>464</v>
      </c>
      <c r="C307" s="369"/>
      <c r="D307" s="2311"/>
      <c r="E307" s="2056"/>
      <c r="F307" s="2220" t="str">
        <f>INDEX(PT_DIFFERENTIATION_VTAR,MATCH(A307,PT_DIFFERENTIATION_VTAR_ID,0))</f>
        <v>Тариф на горячую воду (горячее водоснабжение)</v>
      </c>
      <c r="G307" s="2266" t="str">
        <f>INDEX(PT_DIFFERENTIATION_NTAR,MATCH(B307,PT_DIFFERENTIATION_NTAR_ID,0))</f>
        <v/>
      </c>
      <c r="H307" s="1905"/>
      <c r="I307" s="1779"/>
      <c r="J307" s="1814"/>
      <c r="K307" s="1819"/>
      <c r="L307" s="1905" t="s">
        <v>519</v>
      </c>
      <c r="M307" s="337"/>
      <c r="N307" s="330"/>
      <c r="O307" s="1664"/>
      <c r="P307" s="1664"/>
    </row>
    <row s="2993" customFormat="1" customHeight="1" ht="18.75" hidden="1">
      <c r="A308" s="1821"/>
      <c r="B308" s="1821"/>
      <c r="C308" s="369" t="s">
        <v>1284</v>
      </c>
      <c r="D308" s="2311"/>
      <c r="E308" s="2056"/>
      <c r="F308" s="2220"/>
      <c r="G308" s="2266"/>
      <c r="H308" s="1530"/>
      <c r="I308" s="657" t="s">
        <v>1283</v>
      </c>
      <c r="J308" s="577"/>
      <c r="K308" s="1530"/>
      <c r="L308" s="200"/>
      <c r="M308" s="337"/>
      <c r="N308" s="330"/>
      <c r="O308" s="1664"/>
      <c r="P308" s="1664"/>
    </row>
    <row s="2993" customFormat="1" customHeight="1" ht="0.75" hidden="1">
      <c r="A309" s="1821"/>
      <c r="B309" s="1821"/>
      <c r="C309" s="369" t="s">
        <v>1291</v>
      </c>
      <c r="D309" s="2311"/>
      <c r="E309" s="2056"/>
      <c r="F309" s="2220"/>
      <c r="G309" s="406"/>
      <c r="H309" s="1530"/>
      <c r="I309" s="657"/>
      <c r="J309" s="577"/>
      <c r="K309" s="1530"/>
      <c r="L309" s="200"/>
      <c r="M309" s="337"/>
      <c r="N309" s="330"/>
      <c r="O309" s="1664"/>
      <c r="P309" s="1664"/>
    </row>
    <row s="2993" customFormat="1" customHeight="1" ht="18.75" hidden="1">
      <c r="A310" s="1821" t="s">
        <v>468</v>
      </c>
      <c r="B310" s="1821" t="s">
        <v>469</v>
      </c>
      <c r="C310" s="369"/>
      <c r="D310" s="2311"/>
      <c r="E310" s="2056"/>
      <c r="F310" s="2220" t="str">
        <f>INDEX(PT_DIFFERENTIATION_VTAR,MATCH(A310,PT_DIFFERENTIATION_VTAR_ID,0))</f>
        <v>Тариф на транспортировку горячей воды</v>
      </c>
      <c r="G310" s="2266" t="str">
        <f>INDEX(PT_DIFFERENTIATION_NTAR,MATCH(B310,PT_DIFFERENTIATION_NTAR_ID,0))</f>
        <v/>
      </c>
      <c r="H310" s="1905"/>
      <c r="I310" s="1779"/>
      <c r="J310" s="1814"/>
      <c r="K310" s="1819"/>
      <c r="L310" s="1905" t="s">
        <v>519</v>
      </c>
      <c r="M310" s="337"/>
      <c r="N310" s="330"/>
      <c r="O310" s="1664"/>
      <c r="P310" s="1664"/>
    </row>
    <row s="2993" customFormat="1" customHeight="1" ht="18.75" hidden="1">
      <c r="A311" s="1821"/>
      <c r="B311" s="1821"/>
      <c r="C311" s="369" t="s">
        <v>1284</v>
      </c>
      <c r="D311" s="2311"/>
      <c r="E311" s="2056"/>
      <c r="F311" s="2220"/>
      <c r="G311" s="2266"/>
      <c r="H311" s="1530"/>
      <c r="I311" s="657" t="s">
        <v>1283</v>
      </c>
      <c r="J311" s="577"/>
      <c r="K311" s="1530"/>
      <c r="L311" s="200"/>
      <c r="M311" s="337"/>
      <c r="N311" s="330"/>
      <c r="O311" s="1664"/>
      <c r="P311" s="1664"/>
    </row>
    <row s="2993" customFormat="1" customHeight="1" ht="0.75" hidden="1">
      <c r="A312" s="1821"/>
      <c r="B312" s="1821"/>
      <c r="C312" s="369" t="s">
        <v>1291</v>
      </c>
      <c r="D312" s="2311"/>
      <c r="E312" s="2056"/>
      <c r="F312" s="2220"/>
      <c r="G312" s="406"/>
      <c r="H312" s="1530"/>
      <c r="I312" s="657"/>
      <c r="J312" s="577"/>
      <c r="K312" s="1530"/>
      <c r="L312" s="200"/>
      <c r="M312" s="337"/>
      <c r="N312" s="330"/>
      <c r="O312" s="1664"/>
      <c r="P312" s="1664"/>
    </row>
    <row s="2993" customFormat="1" customHeight="1" ht="18.75" hidden="1">
      <c r="A313" s="1821" t="s">
        <v>473</v>
      </c>
      <c r="B313" s="1821" t="s">
        <v>474</v>
      </c>
      <c r="C313" s="369"/>
      <c r="D313" s="2311"/>
      <c r="E313" s="2056"/>
      <c r="F313" s="2220" t="str">
        <f>INDEX(PT_DIFFERENTIATION_VTAR,MATCH(A313,PT_DIFFERENTIATION_VTAR_ID,0))</f>
        <v>Тариф на подключение (технологическое присоединение) к централизованной системе горячего водоснабжения</v>
      </c>
      <c r="G313" s="2266" t="str">
        <f>INDEX(PT_DIFFERENTIATION_NTAR,MATCH(B313,PT_DIFFERENTIATION_NTAR_ID,0))</f>
        <v/>
      </c>
      <c r="H313" s="1905"/>
      <c r="I313" s="1779"/>
      <c r="J313" s="1814"/>
      <c r="K313" s="1819"/>
      <c r="L313" s="1905" t="s">
        <v>519</v>
      </c>
      <c r="M313" s="337"/>
      <c r="N313" s="330"/>
      <c r="O313" s="1664"/>
      <c r="P313" s="1664"/>
    </row>
    <row s="2993" customFormat="1" customHeight="1" ht="18.75" hidden="1">
      <c r="A314" s="1821"/>
      <c r="B314" s="1821"/>
      <c r="C314" s="369" t="s">
        <v>1284</v>
      </c>
      <c r="D314" s="2311"/>
      <c r="E314" s="2056"/>
      <c r="F314" s="2220"/>
      <c r="G314" s="2266"/>
      <c r="H314" s="1530"/>
      <c r="I314" s="657" t="s">
        <v>1283</v>
      </c>
      <c r="J314" s="577"/>
      <c r="K314" s="1530"/>
      <c r="L314" s="200"/>
      <c r="M314" s="337"/>
      <c r="N314" s="330"/>
      <c r="O314" s="1664"/>
      <c r="P314" s="1664"/>
    </row>
    <row s="2993" customFormat="1" customHeight="1" ht="0.75" hidden="1">
      <c r="A315" s="1821"/>
      <c r="B315" s="1821"/>
      <c r="C315" s="369" t="s">
        <v>1291</v>
      </c>
      <c r="D315" s="2311"/>
      <c r="E315" s="2056"/>
      <c r="F315" s="2220"/>
      <c r="G315" s="406"/>
      <c r="H315" s="1530"/>
      <c r="I315" s="657"/>
      <c r="J315" s="577"/>
      <c r="K315" s="1530"/>
      <c r="L315" s="200"/>
      <c r="M315" s="337"/>
      <c r="N315" s="330"/>
      <c r="O315" s="1664"/>
      <c r="P315" s="1664"/>
    </row>
    <row s="2993" customFormat="1" customHeight="1" ht="18.75" hidden="1">
      <c r="A316" s="1821" t="s">
        <v>478</v>
      </c>
      <c r="B316" s="1821" t="s">
        <v>479</v>
      </c>
      <c r="C316" s="369"/>
      <c r="D316" s="2311"/>
      <c r="E316" s="2056"/>
      <c r="F316" s="2220" t="str">
        <f>INDEX(PT_DIFFERENTIATION_VTAR,MATCH(A316,PT_DIFFERENTIATION_VTAR_ID,0))</f>
        <v>Тариф на водоотведение</v>
      </c>
      <c r="G316" s="2266" t="str">
        <f>INDEX(PT_DIFFERENTIATION_NTAR,MATCH(B316,PT_DIFFERENTIATION_NTAR_ID,0))</f>
        <v/>
      </c>
      <c r="H316" s="1905"/>
      <c r="I316" s="1779"/>
      <c r="J316" s="1814"/>
      <c r="K316" s="1819"/>
      <c r="L316" s="1905" t="s">
        <v>519</v>
      </c>
      <c r="M316" s="337"/>
      <c r="N316" s="330"/>
      <c r="O316" s="1664"/>
      <c r="P316" s="1664"/>
    </row>
    <row s="2993" customFormat="1" customHeight="1" ht="18.75" hidden="1">
      <c r="A317" s="1821"/>
      <c r="B317" s="1821"/>
      <c r="C317" s="369" t="s">
        <v>1284</v>
      </c>
      <c r="D317" s="2311"/>
      <c r="E317" s="2056"/>
      <c r="F317" s="2220"/>
      <c r="G317" s="2266"/>
      <c r="H317" s="1530"/>
      <c r="I317" s="657" t="s">
        <v>1283</v>
      </c>
      <c r="J317" s="577"/>
      <c r="K317" s="1530"/>
      <c r="L317" s="200"/>
      <c r="M317" s="337"/>
      <c r="N317" s="330"/>
      <c r="O317" s="1664"/>
      <c r="P317" s="1664"/>
    </row>
    <row s="2993" customFormat="1" customHeight="1" ht="0.75" hidden="1">
      <c r="A318" s="1821"/>
      <c r="B318" s="1821"/>
      <c r="C318" s="369" t="s">
        <v>1291</v>
      </c>
      <c r="D318" s="2311"/>
      <c r="E318" s="2056"/>
      <c r="F318" s="2220"/>
      <c r="G318" s="406"/>
      <c r="H318" s="1530"/>
      <c r="I318" s="657"/>
      <c r="J318" s="577"/>
      <c r="K318" s="1530"/>
      <c r="L318" s="200"/>
      <c r="M318" s="337"/>
      <c r="N318" s="330"/>
      <c r="O318" s="1664"/>
      <c r="P318" s="1664"/>
    </row>
    <row s="2993" customFormat="1" customHeight="1" ht="18.75" hidden="1">
      <c r="A319" s="1821" t="s">
        <v>483</v>
      </c>
      <c r="B319" s="1821" t="s">
        <v>484</v>
      </c>
      <c r="C319" s="369"/>
      <c r="D319" s="2311"/>
      <c r="E319" s="2056"/>
      <c r="F319" s="2220" t="str">
        <f>INDEX(PT_DIFFERENTIATION_VTAR,MATCH(A319,PT_DIFFERENTIATION_VTAR_ID,0))</f>
        <v>Тариф на транспортировку сточных вод</v>
      </c>
      <c r="G319" s="2266" t="str">
        <f>INDEX(PT_DIFFERENTIATION_NTAR,MATCH(B319,PT_DIFFERENTIATION_NTAR_ID,0))</f>
        <v/>
      </c>
      <c r="H319" s="1905"/>
      <c r="I319" s="1779"/>
      <c r="J319" s="1814"/>
      <c r="K319" s="1819"/>
      <c r="L319" s="1905" t="s">
        <v>519</v>
      </c>
      <c r="M319" s="337"/>
      <c r="N319" s="330"/>
      <c r="O319" s="1664"/>
      <c r="P319" s="1664"/>
    </row>
    <row s="2993" customFormat="1" customHeight="1" ht="18.75" hidden="1">
      <c r="A320" s="1821"/>
      <c r="B320" s="1821"/>
      <c r="C320" s="369" t="s">
        <v>1284</v>
      </c>
      <c r="D320" s="2311"/>
      <c r="E320" s="2056"/>
      <c r="F320" s="2220"/>
      <c r="G320" s="2266"/>
      <c r="H320" s="1530"/>
      <c r="I320" s="657" t="s">
        <v>1283</v>
      </c>
      <c r="J320" s="577"/>
      <c r="K320" s="1530"/>
      <c r="L320" s="200"/>
      <c r="M320" s="337"/>
      <c r="N320" s="330"/>
      <c r="O320" s="1664"/>
      <c r="P320" s="1664"/>
    </row>
    <row s="2993" customFormat="1" customHeight="1" ht="0.75" hidden="1">
      <c r="A321" s="1821"/>
      <c r="B321" s="1821"/>
      <c r="C321" s="369" t="s">
        <v>1291</v>
      </c>
      <c r="D321" s="2311"/>
      <c r="E321" s="2056"/>
      <c r="F321" s="2220"/>
      <c r="G321" s="406"/>
      <c r="H321" s="1530"/>
      <c r="I321" s="657"/>
      <c r="J321" s="577"/>
      <c r="K321" s="1530"/>
      <c r="L321" s="200"/>
      <c r="M321" s="337"/>
      <c r="N321" s="330"/>
      <c r="O321" s="1664"/>
      <c r="P321" s="1664"/>
    </row>
    <row s="2993" customFormat="1" customHeight="1" ht="18.75" hidden="1">
      <c r="A322" s="1821" t="s">
        <v>488</v>
      </c>
      <c r="B322" s="1821" t="s">
        <v>489</v>
      </c>
      <c r="C322" s="369"/>
      <c r="D322" s="2311"/>
      <c r="E322" s="2056"/>
      <c r="F322" s="2220" t="str">
        <f>INDEX(PT_DIFFERENTIATION_VTAR,MATCH(A322,PT_DIFFERENTIATION_VTAR_ID,0))</f>
        <v>Тариф на подключение (технологическое присоединение) к централизованной системе водоотведения</v>
      </c>
      <c r="G322" s="2266" t="str">
        <f>INDEX(PT_DIFFERENTIATION_NTAR,MATCH(B322,PT_DIFFERENTIATION_NTAR_ID,0))</f>
        <v/>
      </c>
      <c r="H322" s="1905"/>
      <c r="I322" s="1779"/>
      <c r="J322" s="1814"/>
      <c r="K322" s="1819"/>
      <c r="L322" s="1905" t="s">
        <v>519</v>
      </c>
      <c r="M322" s="337"/>
      <c r="N322" s="330"/>
      <c r="O322" s="1664"/>
      <c r="P322" s="1664"/>
    </row>
    <row s="2993" customFormat="1" customHeight="1" ht="18.75" hidden="1">
      <c r="A323" s="1821"/>
      <c r="B323" s="1821"/>
      <c r="C323" s="369" t="s">
        <v>1284</v>
      </c>
      <c r="D323" s="2311"/>
      <c r="E323" s="2056"/>
      <c r="F323" s="2220"/>
      <c r="G323" s="2266"/>
      <c r="H323" s="1530"/>
      <c r="I323" s="657" t="s">
        <v>1283</v>
      </c>
      <c r="J323" s="577"/>
      <c r="K323" s="1530"/>
      <c r="L323" s="200"/>
      <c r="M323" s="337"/>
      <c r="N323" s="330"/>
      <c r="O323" s="1664"/>
      <c r="P323" s="1664"/>
    </row>
    <row s="2993" customFormat="1" customHeight="1" ht="0.75">
      <c r="A324" s="1821"/>
      <c r="B324" s="1821"/>
      <c r="C324" s="369" t="s">
        <v>1291</v>
      </c>
      <c r="D324" s="2311"/>
      <c r="E324" s="2056"/>
      <c r="F324" s="2220"/>
      <c r="G324" s="406"/>
      <c r="H324" s="1530"/>
      <c r="I324" s="657"/>
      <c r="J324" s="577"/>
      <c r="K324" s="1530"/>
      <c r="L324" s="200"/>
      <c r="M324" s="337"/>
      <c r="N324" s="330"/>
      <c r="O324" s="1664"/>
      <c r="P324" s="1664"/>
    </row>
    <row s="12909" customFormat="1" customHeight="1" ht="3">
      <c r="A325" s="1821"/>
      <c r="B325" s="1821"/>
      <c r="C325" s="1822"/>
      <c r="E325" s="408"/>
      <c r="F325" s="408"/>
      <c r="G325" s="408"/>
      <c r="H325" s="408"/>
      <c r="I325" s="408"/>
      <c r="J325" s="408"/>
      <c r="K325" s="408"/>
      <c r="L325" s="408"/>
      <c r="M325" s="408"/>
      <c r="O325" s="182"/>
      <c r="P325" s="182"/>
    </row>
    <row customHeight="1" ht="24.75">
      <c r="E326" s="188"/>
      <c r="F326" s="2106"/>
      <c r="G326" s="2106"/>
      <c r="H326" s="2106"/>
      <c r="I326" s="2106"/>
      <c r="J326" s="2106"/>
      <c r="K326" s="2106"/>
      <c r="L326" s="2106"/>
      <c r="M326" s="2106"/>
    </row>
  </sheetData>
  <sheetProtection formatColumns="0" formatRows="0" autoFilter="0" sort="0" insertRows="0" insertColumns="1" deleteRows="0" deleteColumns="0"/>
  <mergeCells count="413">
    <mergeCell ref="G310:G311"/>
    <mergeCell ref="G313:G314"/>
    <mergeCell ref="G316:G317"/>
    <mergeCell ref="G319:G320"/>
    <mergeCell ref="G322:G323"/>
    <mergeCell ref="G266:G267"/>
    <mergeCell ref="G269:G270"/>
    <mergeCell ref="G272:G273"/>
    <mergeCell ref="G277:G278"/>
    <mergeCell ref="G280:G281"/>
    <mergeCell ref="G283:G284"/>
    <mergeCell ref="G286:G287"/>
    <mergeCell ref="G289:G290"/>
    <mergeCell ref="G292:G293"/>
    <mergeCell ref="G89:G90"/>
    <mergeCell ref="G92:G93"/>
    <mergeCell ref="G97:G98"/>
    <mergeCell ref="G100:G101"/>
    <mergeCell ref="G103:G104"/>
    <mergeCell ref="G106:G107"/>
    <mergeCell ref="G109:G110"/>
    <mergeCell ref="G112:G113"/>
    <mergeCell ref="G115:G116"/>
    <mergeCell ref="G59:G60"/>
    <mergeCell ref="G62:G63"/>
    <mergeCell ref="G65:G66"/>
    <mergeCell ref="G68:G69"/>
    <mergeCell ref="G71:G72"/>
    <mergeCell ref="G74:G75"/>
    <mergeCell ref="G77:G78"/>
    <mergeCell ref="G80:G81"/>
    <mergeCell ref="G86:G87"/>
    <mergeCell ref="D322:D324"/>
    <mergeCell ref="E322:E324"/>
    <mergeCell ref="F322:F324"/>
    <mergeCell ref="M266:M269"/>
    <mergeCell ref="D316:D318"/>
    <mergeCell ref="E316:E318"/>
    <mergeCell ref="F316:F318"/>
    <mergeCell ref="D319:D321"/>
    <mergeCell ref="E319:E321"/>
    <mergeCell ref="F319:F321"/>
    <mergeCell ref="D310:D312"/>
    <mergeCell ref="E310:E312"/>
    <mergeCell ref="F310:F312"/>
    <mergeCell ref="D313:D315"/>
    <mergeCell ref="E313:E315"/>
    <mergeCell ref="F313:F315"/>
    <mergeCell ref="D304:D306"/>
    <mergeCell ref="E304:E306"/>
    <mergeCell ref="F304:F306"/>
    <mergeCell ref="D307:D309"/>
    <mergeCell ref="E307:E309"/>
    <mergeCell ref="F307:F309"/>
    <mergeCell ref="D298:D300"/>
    <mergeCell ref="E298:E300"/>
    <mergeCell ref="F298:F300"/>
    <mergeCell ref="D301:D303"/>
    <mergeCell ref="E301:E303"/>
    <mergeCell ref="F301:F303"/>
    <mergeCell ref="G298:G299"/>
    <mergeCell ref="G301:G302"/>
    <mergeCell ref="G304:G305"/>
    <mergeCell ref="G307:G308"/>
    <mergeCell ref="F277:F279"/>
    <mergeCell ref="D292:D294"/>
    <mergeCell ref="E292:E294"/>
    <mergeCell ref="F292:F294"/>
    <mergeCell ref="D295:D297"/>
    <mergeCell ref="E295:E297"/>
    <mergeCell ref="F295:F297"/>
    <mergeCell ref="D286:D288"/>
    <mergeCell ref="E286:E288"/>
    <mergeCell ref="F286:F288"/>
    <mergeCell ref="D289:D291"/>
    <mergeCell ref="E289:E291"/>
    <mergeCell ref="F289:F291"/>
    <mergeCell ref="G295:G296"/>
    <mergeCell ref="G253:G254"/>
    <mergeCell ref="G256:G257"/>
    <mergeCell ref="G259:G260"/>
    <mergeCell ref="G262:G263"/>
    <mergeCell ref="D247:D249"/>
    <mergeCell ref="E247:E249"/>
    <mergeCell ref="F247:F249"/>
    <mergeCell ref="D250:D252"/>
    <mergeCell ref="E250:E252"/>
    <mergeCell ref="F250:F252"/>
    <mergeCell ref="G250:G251"/>
    <mergeCell ref="D259:D261"/>
    <mergeCell ref="E259:E261"/>
    <mergeCell ref="F259:F261"/>
    <mergeCell ref="D262:D264"/>
    <mergeCell ref="E262:E264"/>
    <mergeCell ref="F262:F264"/>
    <mergeCell ref="D253:D255"/>
    <mergeCell ref="E253:E255"/>
    <mergeCell ref="F253:F255"/>
    <mergeCell ref="D256:D258"/>
    <mergeCell ref="E256:E258"/>
    <mergeCell ref="F256:F258"/>
    <mergeCell ref="D241:D243"/>
    <mergeCell ref="E241:E243"/>
    <mergeCell ref="F241:F243"/>
    <mergeCell ref="D244:D246"/>
    <mergeCell ref="E244:E246"/>
    <mergeCell ref="F244:F246"/>
    <mergeCell ref="G241:G242"/>
    <mergeCell ref="G244:G245"/>
    <mergeCell ref="G247:G248"/>
    <mergeCell ref="G229:G230"/>
    <mergeCell ref="G232:G233"/>
    <mergeCell ref="G235:G236"/>
    <mergeCell ref="G238:G239"/>
    <mergeCell ref="D223:D225"/>
    <mergeCell ref="E223:E225"/>
    <mergeCell ref="F223:F225"/>
    <mergeCell ref="D226:D228"/>
    <mergeCell ref="E226:E228"/>
    <mergeCell ref="F226:F228"/>
    <mergeCell ref="G226:G227"/>
    <mergeCell ref="D235:D237"/>
    <mergeCell ref="E235:E237"/>
    <mergeCell ref="F235:F237"/>
    <mergeCell ref="D238:D240"/>
    <mergeCell ref="E238:E240"/>
    <mergeCell ref="F238:F240"/>
    <mergeCell ref="D229:D231"/>
    <mergeCell ref="E229:E231"/>
    <mergeCell ref="F229:F231"/>
    <mergeCell ref="D232:D234"/>
    <mergeCell ref="E232:E234"/>
    <mergeCell ref="F232:F234"/>
    <mergeCell ref="D217:D219"/>
    <mergeCell ref="E217:E219"/>
    <mergeCell ref="F217:F219"/>
    <mergeCell ref="D220:D222"/>
    <mergeCell ref="E220:E222"/>
    <mergeCell ref="F220:F222"/>
    <mergeCell ref="G217:G218"/>
    <mergeCell ref="G220:G221"/>
    <mergeCell ref="G223:G224"/>
    <mergeCell ref="G196:G197"/>
    <mergeCell ref="G202:G203"/>
    <mergeCell ref="G206:G207"/>
    <mergeCell ref="G209:G210"/>
    <mergeCell ref="G212:G213"/>
    <mergeCell ref="D196:D198"/>
    <mergeCell ref="E196:E198"/>
    <mergeCell ref="F196:F198"/>
    <mergeCell ref="D199:D201"/>
    <mergeCell ref="E199:E201"/>
    <mergeCell ref="F199:F201"/>
    <mergeCell ref="G199:G200"/>
    <mergeCell ref="D209:D211"/>
    <mergeCell ref="E209:E211"/>
    <mergeCell ref="F209:F211"/>
    <mergeCell ref="D212:D216"/>
    <mergeCell ref="E212:E216"/>
    <mergeCell ref="F212:F216"/>
    <mergeCell ref="D202:D204"/>
    <mergeCell ref="E202:E204"/>
    <mergeCell ref="F202:F204"/>
    <mergeCell ref="D206:D208"/>
    <mergeCell ref="E206:E208"/>
    <mergeCell ref="F206:F208"/>
    <mergeCell ref="E181:E183"/>
    <mergeCell ref="F181:F183"/>
    <mergeCell ref="D190:D192"/>
    <mergeCell ref="E190:E192"/>
    <mergeCell ref="F190:F192"/>
    <mergeCell ref="D193:D195"/>
    <mergeCell ref="E193:E195"/>
    <mergeCell ref="F193:F195"/>
    <mergeCell ref="G190:G191"/>
    <mergeCell ref="G193:G194"/>
    <mergeCell ref="G166:G167"/>
    <mergeCell ref="G169:G170"/>
    <mergeCell ref="G172:G173"/>
    <mergeCell ref="G178:G179"/>
    <mergeCell ref="G181:G182"/>
    <mergeCell ref="G184:G185"/>
    <mergeCell ref="G187:G188"/>
    <mergeCell ref="D172:D174"/>
    <mergeCell ref="E172:E174"/>
    <mergeCell ref="F172:F174"/>
    <mergeCell ref="D175:D177"/>
    <mergeCell ref="E175:E177"/>
    <mergeCell ref="F175:F177"/>
    <mergeCell ref="G175:G176"/>
    <mergeCell ref="D184:D186"/>
    <mergeCell ref="E184:E186"/>
    <mergeCell ref="F184:F186"/>
    <mergeCell ref="D187:D189"/>
    <mergeCell ref="E187:E189"/>
    <mergeCell ref="F187:F189"/>
    <mergeCell ref="D178:D180"/>
    <mergeCell ref="E178:E180"/>
    <mergeCell ref="F178:F180"/>
    <mergeCell ref="D181:D183"/>
    <mergeCell ref="E152:E156"/>
    <mergeCell ref="F152:F156"/>
    <mergeCell ref="D157:D159"/>
    <mergeCell ref="E157:E159"/>
    <mergeCell ref="F157:F159"/>
    <mergeCell ref="D166:D168"/>
    <mergeCell ref="E166:E168"/>
    <mergeCell ref="F166:F168"/>
    <mergeCell ref="D169:D171"/>
    <mergeCell ref="E169:E171"/>
    <mergeCell ref="F169:F171"/>
    <mergeCell ref="G163:G164"/>
    <mergeCell ref="D149:D151"/>
    <mergeCell ref="E149:E151"/>
    <mergeCell ref="F149:F151"/>
    <mergeCell ref="D139:D141"/>
    <mergeCell ref="E139:E141"/>
    <mergeCell ref="F139:F141"/>
    <mergeCell ref="D142:D144"/>
    <mergeCell ref="E142:E144"/>
    <mergeCell ref="F142:F144"/>
    <mergeCell ref="D146:D148"/>
    <mergeCell ref="E146:E148"/>
    <mergeCell ref="F146:F148"/>
    <mergeCell ref="G139:G140"/>
    <mergeCell ref="G142:G143"/>
    <mergeCell ref="G146:G147"/>
    <mergeCell ref="G149:G150"/>
    <mergeCell ref="D160:D162"/>
    <mergeCell ref="E160:E162"/>
    <mergeCell ref="F160:F162"/>
    <mergeCell ref="D163:D165"/>
    <mergeCell ref="E163:E165"/>
    <mergeCell ref="F163:F165"/>
    <mergeCell ref="D152:D156"/>
    <mergeCell ref="D133:D135"/>
    <mergeCell ref="E133:E135"/>
    <mergeCell ref="F133:F135"/>
    <mergeCell ref="D136:D138"/>
    <mergeCell ref="E136:E138"/>
    <mergeCell ref="F136:F138"/>
    <mergeCell ref="D127:D129"/>
    <mergeCell ref="E127:E129"/>
    <mergeCell ref="F127:F129"/>
    <mergeCell ref="D130:D132"/>
    <mergeCell ref="E130:E132"/>
    <mergeCell ref="F130:F132"/>
    <mergeCell ref="D115:D117"/>
    <mergeCell ref="E115:E117"/>
    <mergeCell ref="F115:F117"/>
    <mergeCell ref="D118:D120"/>
    <mergeCell ref="E118:E120"/>
    <mergeCell ref="F118:F120"/>
    <mergeCell ref="G118:G119"/>
    <mergeCell ref="G121:G122"/>
    <mergeCell ref="G124:G125"/>
    <mergeCell ref="D121:D123"/>
    <mergeCell ref="E121:E123"/>
    <mergeCell ref="F121:F123"/>
    <mergeCell ref="D124:D126"/>
    <mergeCell ref="E124:E126"/>
    <mergeCell ref="F124:F126"/>
    <mergeCell ref="D109:D111"/>
    <mergeCell ref="E109:E111"/>
    <mergeCell ref="F109:F111"/>
    <mergeCell ref="D112:D114"/>
    <mergeCell ref="E112:E114"/>
    <mergeCell ref="F112:F114"/>
    <mergeCell ref="D103:D105"/>
    <mergeCell ref="E103:E105"/>
    <mergeCell ref="F103:F105"/>
    <mergeCell ref="D106:D108"/>
    <mergeCell ref="E106:E108"/>
    <mergeCell ref="F106:F108"/>
    <mergeCell ref="D71:D73"/>
    <mergeCell ref="E71:E73"/>
    <mergeCell ref="F71:F73"/>
    <mergeCell ref="F97:F99"/>
    <mergeCell ref="D100:D102"/>
    <mergeCell ref="E100:E102"/>
    <mergeCell ref="F100:F102"/>
    <mergeCell ref="D80:D82"/>
    <mergeCell ref="E80:E82"/>
    <mergeCell ref="F80:F82"/>
    <mergeCell ref="D86:D88"/>
    <mergeCell ref="E86:E88"/>
    <mergeCell ref="F86:F88"/>
    <mergeCell ref="D97:D99"/>
    <mergeCell ref="E97:E99"/>
    <mergeCell ref="F83:L83"/>
    <mergeCell ref="H84:I84"/>
    <mergeCell ref="F85:L85"/>
    <mergeCell ref="D74:D76"/>
    <mergeCell ref="E74:E76"/>
    <mergeCell ref="D77:D79"/>
    <mergeCell ref="E77:E79"/>
    <mergeCell ref="D92:D96"/>
    <mergeCell ref="E92:E96"/>
    <mergeCell ref="D47:D49"/>
    <mergeCell ref="E47:E49"/>
    <mergeCell ref="F47:F49"/>
    <mergeCell ref="D62:D64"/>
    <mergeCell ref="E62:E64"/>
    <mergeCell ref="F62:F64"/>
    <mergeCell ref="D65:D67"/>
    <mergeCell ref="E65:E67"/>
    <mergeCell ref="F65:F67"/>
    <mergeCell ref="D56:D58"/>
    <mergeCell ref="E56:E58"/>
    <mergeCell ref="F56:F58"/>
    <mergeCell ref="D59:D61"/>
    <mergeCell ref="E59:E61"/>
    <mergeCell ref="F59:F61"/>
    <mergeCell ref="D50:D52"/>
    <mergeCell ref="E50:E52"/>
    <mergeCell ref="D53:D55"/>
    <mergeCell ref="E53:E55"/>
    <mergeCell ref="G47:G48"/>
    <mergeCell ref="G50:G51"/>
    <mergeCell ref="G53:G54"/>
    <mergeCell ref="G56:G57"/>
    <mergeCell ref="M206:M209"/>
    <mergeCell ref="M86:M89"/>
    <mergeCell ref="F145:L145"/>
    <mergeCell ref="M146:M149"/>
    <mergeCell ref="F205:L205"/>
    <mergeCell ref="F50:F52"/>
    <mergeCell ref="F53:F55"/>
    <mergeCell ref="F74:F76"/>
    <mergeCell ref="F77:F79"/>
    <mergeCell ref="F89:F91"/>
    <mergeCell ref="F92:F96"/>
    <mergeCell ref="M24:M82"/>
    <mergeCell ref="G44:G45"/>
    <mergeCell ref="G127:G128"/>
    <mergeCell ref="G130:G131"/>
    <mergeCell ref="G133:G134"/>
    <mergeCell ref="G136:G137"/>
    <mergeCell ref="G152:G153"/>
    <mergeCell ref="G157:G158"/>
    <mergeCell ref="G160:G161"/>
    <mergeCell ref="D68:D70"/>
    <mergeCell ref="E68:E70"/>
    <mergeCell ref="F68:F70"/>
    <mergeCell ref="F326:M326"/>
    <mergeCell ref="F265:L265"/>
    <mergeCell ref="D266:D268"/>
    <mergeCell ref="E266:E268"/>
    <mergeCell ref="F266:F268"/>
    <mergeCell ref="D269:D271"/>
    <mergeCell ref="E269:E271"/>
    <mergeCell ref="F269:F271"/>
    <mergeCell ref="D272:D276"/>
    <mergeCell ref="D280:D282"/>
    <mergeCell ref="E280:E282"/>
    <mergeCell ref="F280:F282"/>
    <mergeCell ref="D283:D285"/>
    <mergeCell ref="E283:E285"/>
    <mergeCell ref="F283:F285"/>
    <mergeCell ref="E272:E276"/>
    <mergeCell ref="F272:F276"/>
    <mergeCell ref="D277:D279"/>
    <mergeCell ref="E277:E279"/>
    <mergeCell ref="D89:D91"/>
    <mergeCell ref="E89:E91"/>
    <mergeCell ref="D44:D46"/>
    <mergeCell ref="E44:E46"/>
    <mergeCell ref="F44:F46"/>
    <mergeCell ref="D27:D29"/>
    <mergeCell ref="E27:E29"/>
    <mergeCell ref="F27:F29"/>
    <mergeCell ref="D30:D34"/>
    <mergeCell ref="E30:E34"/>
    <mergeCell ref="F30:F34"/>
    <mergeCell ref="D35:D37"/>
    <mergeCell ref="E35:E37"/>
    <mergeCell ref="F35:F37"/>
    <mergeCell ref="G27:G28"/>
    <mergeCell ref="G30:G31"/>
    <mergeCell ref="G35:G36"/>
    <mergeCell ref="G38:G39"/>
    <mergeCell ref="G41:G42"/>
    <mergeCell ref="D38:D40"/>
    <mergeCell ref="E38:E40"/>
    <mergeCell ref="F38:F40"/>
    <mergeCell ref="D41:D43"/>
    <mergeCell ref="E41:E43"/>
    <mergeCell ref="F41:F43"/>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32:G33"/>
    <mergeCell ref="G94:G95"/>
    <mergeCell ref="G154:G155"/>
    <mergeCell ref="G214:G215"/>
    <mergeCell ref="G274:G275"/>
  </mergeCells>
  <dataValidations count="4">
    <dataValidation type="decimal" allowBlank="1" showErrorMessage="1" errorTitle="Ошибка" error="Допускается ввод только действительных чисел!" sqref="K206 K209 K212 K217 K220 K223 K226 K229 K232 K235 K238 K241 K244 K247 K250 K253 K256 K259 K10 K86 K139 K136 K133 K130 K127 K124 K121 K118 K115 K112 K109 K106 K103 K100 K97 K92 K89 K146 K142 K149 K152 K157 K160 K163 K166 K169 K172 K175 K178 K181 K184 K190 K193 K196 K199 K202 K187 K262 K266 K269 K272 K277 K280 K283 K286 K289 K292 K295 K298 K301 K304 K307 K310 K313 K316 K319 K322 K5 K94 K154 K214 K27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6:M147 M206:M207 M23 M86:M87 M266:M26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1:J41 I24:J24 I27:J27 I30:J30 I35:J35 I38:J38 I44:J44 I47:J47 I50:J50 I53:J53 I56:J56 I59:J59 I62:J62 I65:J65 I68:J68 I71:J71 I74:J74 I77:J77 I206:J206 I209:J209 I212:J212 I217:J217 I220:J220 I223:J223 I226:J226 I229:J229 I232:J232 I235:J235 I238:J238 I241:J241 I244:J244 I247:J247 I250:J250 I253:J253 I256:J256 I8:J8 I80:J80 I142:J142 I89:J89 I92:J92 I97:J97 I100:J100 I103:J103 I106:J106 I109:J109 I112:J112 I115:J115 I118:J118 I121:J121 I124:J124 I127:J127 I130:J130 I133:J133 I136:J136 I139:J139 I146:J146 I86:J86 I149:J149 I152:J152 I157:J157 I160:J160 I163:J163 I166:J166 I169:J169 I172:J172 I175:J175 I178:J178 I181:J181 I184:J184 I190:J190 I193:J193 I196:J196 I199:J199 I202:J202 I187:J187 I259:J259 I262:J262 I266:J266 I269:J269 I272:J272 I277:J277 I280:J280 I283:J283 I286:J286 I289:J289 I292:J292 I295:J295 I298:J298 I301:J301 I304:J304 I307:J307 I310:J310 I313:J313 I316:J316 I319:J319 I322:J322 I2:J2 I5:J5 I32 J32 I94 J94 I154 J154 I214 J214 I274 J27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66E0BE-567C-5F7F-AA45-07D1DFAD38FC}" mc:Ignorable="x14ac xr xr2 xr3">
  <sheetPr>
    <tabColor theme="6" tint="0.4"/>
  </sheetPr>
  <dimension ref="A1:Q16"/>
  <sheetViews>
    <sheetView topLeftCell="A1" showGridLines="0" zoomScale="90" workbookViewId="0">
      <selection activeCell="A1" sqref="A1"/>
    </sheetView>
  </sheetViews>
  <sheetFormatPr defaultColWidth="10.57421875" customHeight="1" defaultRowHeight="14.25"/>
  <cols>
    <col min="1" max="1" style="12996" width="9.140625" hidden="1" customWidth="1"/>
    <col min="2" max="2" style="12862" width="9.140625" hidden="1" customWidth="1"/>
    <col min="3" max="3" style="3411" width="3.7109375" customWidth="1"/>
    <col min="4" max="4" style="12983" width="6.28125" customWidth="1"/>
    <col min="5" max="5" style="12983" width="53.8515625" customWidth="1"/>
    <col min="6" max="7" style="12983" width="35.7109375" customWidth="1"/>
    <col min="8" max="8" style="12983" width="89.57421875" customWidth="1"/>
    <col min="9" max="9" style="12983" width="10.57421875"/>
    <col min="10" max="11" style="12865" width="10.57421875"/>
    <col min="12" max="17" style="12983" width="10.57421875"/>
  </cols>
  <sheetData>
    <row customHeight="1" ht="14.25" hidden="1">
      <c r="N1" s="241"/>
      <c r="O1" s="241"/>
      <c r="Q1" s="241"/>
    </row>
    <row s="2993" customFormat="1" customHeight="1" ht="18.75" hidden="1">
      <c r="A2" s="88"/>
      <c r="B2" s="1168"/>
      <c r="C2" s="1770" t="s">
        <v>105</v>
      </c>
      <c r="D2" s="1713"/>
      <c r="E2" s="1722"/>
      <c r="F2" s="243"/>
      <c r="G2" s="1169"/>
      <c r="H2" s="374"/>
      <c r="I2" s="1664"/>
      <c r="J2" s="1664"/>
    </row>
    <row customHeight="1" ht="14.25" hidden="1"/>
    <row customHeight="1" ht="6">
      <c r="C4" s="377"/>
      <c r="D4" s="361"/>
      <c r="E4" s="361"/>
      <c r="F4" s="361"/>
      <c r="G4" s="70"/>
      <c r="H4" s="70"/>
    </row>
    <row customHeight="1" ht="33">
      <c r="C5" s="377"/>
      <c r="D5" s="229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97"/>
      <c r="F5" s="2297"/>
      <c r="G5" s="2298"/>
      <c r="H5" s="252"/>
    </row>
    <row s="2993" customFormat="1" customHeight="1" ht="17.25">
      <c r="A6" s="1709"/>
      <c r="B6" s="1168"/>
      <c r="C6" s="377"/>
      <c r="D6" s="2299" t="str">
        <f>IF(org=0,"Не определено",org)</f>
        <v>АО "Мурманэнергосбыт"</v>
      </c>
      <c r="E6" s="2300"/>
      <c r="F6" s="2300"/>
      <c r="G6" s="2301"/>
      <c r="H6" s="252"/>
      <c r="J6" s="1664"/>
      <c r="K6" s="1664"/>
    </row>
    <row customHeight="1" ht="14.25">
      <c r="C7" s="377"/>
      <c r="D7" s="361"/>
      <c r="E7" s="395"/>
      <c r="F7" s="395"/>
      <c r="G7" s="758"/>
      <c r="H7" s="179"/>
    </row>
    <row customHeight="1" ht="14.25">
      <c r="C8" s="377"/>
      <c r="D8" s="2062" t="s">
        <v>513</v>
      </c>
      <c r="E8" s="2062"/>
      <c r="F8" s="2062"/>
      <c r="G8" s="2062"/>
      <c r="H8" s="2302" t="s">
        <v>514</v>
      </c>
    </row>
    <row customHeight="1" ht="14.25">
      <c r="C9" s="377"/>
      <c r="D9" s="392" t="s">
        <v>89</v>
      </c>
      <c r="E9" s="94" t="s">
        <v>515</v>
      </c>
      <c r="F9" s="94" t="s">
        <v>516</v>
      </c>
      <c r="G9" s="94" t="s">
        <v>605</v>
      </c>
      <c r="H9" s="2302"/>
    </row>
    <row customHeight="1" ht="14.25">
      <c r="A10" s="339"/>
      <c r="C10" s="377"/>
      <c r="D10" s="133" t="s">
        <v>193</v>
      </c>
      <c r="E10" s="192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43"/>
      <c r="G10" s="199"/>
      <c r="H10" s="2015" t="s">
        <v>1292</v>
      </c>
    </row>
    <row customHeight="1" ht="14.25">
      <c r="A11" s="339"/>
      <c r="C11" s="377"/>
      <c r="D11" s="133" t="s">
        <v>104</v>
      </c>
      <c r="E11" s="192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43"/>
      <c r="G11" s="199"/>
      <c r="H11" s="2016"/>
    </row>
    <row customHeight="1" ht="14.25">
      <c r="A12" s="88"/>
      <c r="C12" s="393"/>
      <c r="D12" s="133" t="s">
        <v>91</v>
      </c>
      <c r="E12" s="394" t="str">
        <f>"Сведения о планировании закупочных процедур"&amp;IF(TEMPLATE_SPHERE="TKO"," &lt;1&gt;","")</f>
        <v>Сведения о планировании закупочных процедур</v>
      </c>
      <c r="F12" s="243"/>
      <c r="G12" s="199"/>
      <c r="H12" s="201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46"/>
      <c r="K12" s="374"/>
    </row>
    <row customHeight="1" ht="14.25">
      <c r="A13" s="88"/>
      <c r="C13" s="393"/>
      <c r="D13" s="133" t="s">
        <v>92</v>
      </c>
      <c r="E13" s="394" t="str">
        <f>"Сведения о результатах проведения закупочных процедур"&amp;IF(TEMPLATE_SPHERE="TKO"," &lt;1&gt;","")</f>
        <v>Сведения о результатах проведения закупочных процедур</v>
      </c>
      <c r="F13" s="243"/>
      <c r="G13" s="199"/>
      <c r="H13" s="2016"/>
      <c r="I13" s="346"/>
      <c r="K13" s="374"/>
    </row>
    <row customHeight="1" ht="14.25">
      <c r="A14" s="339"/>
      <c r="C14" s="377"/>
      <c r="D14" s="343"/>
      <c r="E14" s="401" t="s">
        <v>1244</v>
      </c>
      <c r="F14" s="345"/>
      <c r="G14" s="187"/>
      <c r="H14" s="2017"/>
    </row>
    <row s="2993" customFormat="1" customHeight="1" ht="14.25">
      <c r="A15" s="339"/>
      <c r="B15" s="1168"/>
      <c r="C15" s="377"/>
      <c r="D15" s="402"/>
      <c r="E15" s="1717"/>
      <c r="F15" s="1718"/>
      <c r="G15" s="1719"/>
      <c r="H15" s="1720"/>
      <c r="J15" s="1664"/>
      <c r="K15" s="1664"/>
    </row>
    <row customHeight="1" ht="14.25">
      <c r="D16" s="1721"/>
      <c r="E16" s="2233"/>
      <c r="F16" s="2233"/>
      <c r="G16" s="2233"/>
      <c r="H16" s="2233"/>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6F1FE8-4E5D-C11A-9894-659F3CE2E0AD}" mc:Ignorable="x14ac xr xr2 xr3">
  <sheetPr>
    <tabColor theme="2" tint="-0.1"/>
  </sheetPr>
  <dimension ref="A1:U29"/>
  <sheetViews>
    <sheetView topLeftCell="A1" showGridLines="0" zoomScale="90" workbookViewId="0">
      <selection activeCell="A1" sqref="A1"/>
    </sheetView>
  </sheetViews>
  <sheetFormatPr defaultColWidth="10.57421875" customHeight="1" defaultRowHeight="15"/>
  <cols>
    <col min="1" max="1" style="3193" width="9.140625" hidden="1" customWidth="1"/>
    <col min="2" max="2" style="3195" width="9.140625" hidden="1" customWidth="1"/>
    <col min="3" max="3" style="12640" width="4.7109375" customWidth="1"/>
    <col min="4" max="4" style="3195" width="6.28125" customWidth="1"/>
    <col min="5" max="5" style="3195" width="47.8515625" customWidth="1"/>
    <col min="6" max="6" style="3195" width="9.57421875" customWidth="1"/>
    <col min="7" max="7" style="2624" width="25.7109375" hidden="1" customWidth="1"/>
    <col min="8" max="8" style="2624" width="34.00390625" hidden="1" customWidth="1"/>
    <col min="9" max="9" style="3195" width="25.7109375" customWidth="1"/>
    <col min="10" max="10" style="3195" width="34.00390625" customWidth="1"/>
    <col min="11" max="11" style="2625" width="50.8515625" customWidth="1"/>
    <col min="12" max="20" style="3195" width="10.57421875"/>
    <col min="21" max="21" style="12574" width="10.57421875"/>
  </cols>
  <sheetData>
    <row s="2625" customFormat="1" customHeight="1" ht="15" hidden="1">
      <c r="C1" s="678"/>
      <c r="G1" s="423">
        <v>4</v>
      </c>
      <c r="I1" s="423">
        <v>4</v>
      </c>
      <c r="U1" s="426"/>
    </row>
    <row s="2628" customFormat="1" customHeight="1" ht="15" hidden="1">
      <c r="A2" s="360"/>
      <c r="C2" s="162"/>
      <c r="D2" s="342"/>
      <c r="E2" s="679"/>
      <c r="F2" s="528"/>
      <c r="G2" s="622"/>
      <c r="H2" s="622"/>
      <c r="I2" s="622"/>
      <c r="J2" s="622"/>
      <c r="U2" s="680"/>
    </row>
    <row s="2625" customFormat="1" customHeight="1" ht="15" hidden="1">
      <c r="C3" s="678"/>
      <c r="U3" s="426"/>
    </row>
    <row customHeight="1" ht="15">
      <c r="C4" s="162"/>
      <c r="D4" s="515"/>
      <c r="E4" s="515"/>
      <c r="F4" s="515"/>
      <c r="G4" s="515"/>
      <c r="H4" s="515"/>
      <c r="I4" s="515"/>
      <c r="J4" s="515"/>
    </row>
    <row customHeight="1" ht="63">
      <c r="C5" s="162"/>
      <c r="D5" s="2085" t="s">
        <v>1293</v>
      </c>
      <c r="E5" s="2085"/>
      <c r="F5" s="2085"/>
      <c r="G5" s="2085"/>
      <c r="H5" s="2085"/>
      <c r="I5" s="2085"/>
      <c r="J5" s="2085"/>
    </row>
    <row customHeight="1" ht="15">
      <c r="C6" s="162"/>
      <c r="D6" s="2053" t="str">
        <f>IF(org=0,"Не определено",org)</f>
        <v>АО "Мурманэнергосбыт"</v>
      </c>
      <c r="E6" s="2053"/>
      <c r="F6" s="2053"/>
      <c r="G6" s="2053"/>
      <c r="H6" s="2053"/>
      <c r="I6" s="2053"/>
      <c r="J6" s="2053"/>
      <c r="K6" s="543"/>
    </row>
    <row customHeight="1" ht="15">
      <c r="C7" s="162"/>
      <c r="D7" s="758"/>
      <c r="E7" s="515"/>
      <c r="F7" s="515"/>
      <c r="G7" s="543">
        <v>22</v>
      </c>
      <c r="I7" s="543">
        <v>1</v>
      </c>
      <c r="J7" s="758"/>
    </row>
    <row s="2624" customFormat="1" customHeight="1" ht="0.75">
      <c r="A8" s="765"/>
      <c r="C8" s="162"/>
      <c r="D8" s="515"/>
      <c r="E8" s="515"/>
      <c r="F8" s="515"/>
      <c r="G8" s="543"/>
      <c r="H8" s="758"/>
      <c r="I8" s="543" t="s">
        <v>198</v>
      </c>
      <c r="J8" s="758"/>
      <c r="K8" s="423"/>
      <c r="U8" s="681"/>
    </row>
    <row customHeight="1" ht="15">
      <c r="C9" s="162"/>
      <c r="D9" s="717"/>
      <c r="E9" s="2213" t="s">
        <v>189</v>
      </c>
      <c r="F9" s="2214"/>
      <c r="G9" s="2236" t="str">
        <f>IF(G8="","",INDEX(DIFFERENTIATION_UNMERGE_VD,MATCH(G8,DIFFERENTIATION_ID_DIFF,0)))</f>
        <v/>
      </c>
      <c r="H9" s="2237"/>
      <c r="I9" s="2236">
        <f>IF(I8="","",INDEX(DIFFERENTIATION_UNMERGE_VD,MATCH(I8,DIFFERENTIATION_ID_DIFF,0)))</f>
        <v>0</v>
      </c>
      <c r="J9" s="2237"/>
      <c r="K9" s="2028" t="s">
        <v>514</v>
      </c>
    </row>
    <row s="2624" customFormat="1" customHeight="1" ht="15">
      <c r="A10" s="765"/>
      <c r="C10" s="162"/>
      <c r="D10" s="717"/>
      <c r="E10" s="2213" t="s">
        <v>771</v>
      </c>
      <c r="F10" s="2214"/>
      <c r="G10" s="2236" t="str">
        <f>IF(G8="","",INDEX(DIFFERENTIATION_UNMERGE_AREA,MATCH(G8,DIFFERENTIATION_ID_DIFF,0)))</f>
        <v/>
      </c>
      <c r="H10" s="2237"/>
      <c r="I10" s="2236" t="str">
        <f>IF(I8="","",INDEX(DIFFERENTIATION_UNMERGE_AREA,MATCH(I8,DIFFERENTIATION_ID_DIFF,0)))</f>
        <v/>
      </c>
      <c r="J10" s="2237"/>
      <c r="K10" s="2036"/>
      <c r="U10" s="681"/>
    </row>
    <row s="2624" customFormat="1" customHeight="1" ht="15">
      <c r="A11" s="765"/>
      <c r="C11" s="162"/>
      <c r="D11" s="717"/>
      <c r="E11" s="2213" t="s">
        <v>772</v>
      </c>
      <c r="F11" s="2214"/>
      <c r="G11" s="2236" t="str">
        <f>IF(G8="","",INDEX(DIFFERENTIATION_UNMERGE_SYSTEM,MATCH(G8,DIFFERENTIATION_ID_DIFF,0)))</f>
        <v/>
      </c>
      <c r="H11" s="2237"/>
      <c r="I11" s="2236" t="str">
        <f>IF(I8="","",INDEX(DIFFERENTIATION_UNMERGE_SYSTEM,MATCH(I8,DIFFERENTIATION_ID_DIFF,0)))</f>
        <v>без дифференциации</v>
      </c>
      <c r="J11" s="2237"/>
      <c r="K11" s="2036"/>
      <c r="U11" s="681"/>
    </row>
    <row s="2624" customFormat="1" customHeight="1" ht="15">
      <c r="A12" s="765"/>
      <c r="C12" s="162"/>
      <c r="D12" s="2215" t="s">
        <v>513</v>
      </c>
      <c r="E12" s="2216"/>
      <c r="F12" s="2216"/>
      <c r="G12" s="893"/>
      <c r="H12" s="893"/>
      <c r="I12" s="893"/>
      <c r="J12" s="893"/>
      <c r="K12" s="2036"/>
      <c r="U12" s="681"/>
    </row>
    <row customHeight="1" ht="33.75">
      <c r="C13" s="162"/>
      <c r="D13" s="811" t="s">
        <v>89</v>
      </c>
      <c r="E13" s="813" t="s">
        <v>515</v>
      </c>
      <c r="F13" s="813" t="s">
        <v>773</v>
      </c>
      <c r="G13" s="814" t="s">
        <v>516</v>
      </c>
      <c r="H13" s="813" t="s">
        <v>605</v>
      </c>
      <c r="I13" s="814" t="s">
        <v>516</v>
      </c>
      <c r="J13" s="813" t="s">
        <v>605</v>
      </c>
      <c r="K13" s="2090"/>
    </row>
    <row customHeight="1" ht="15" hidden="1">
      <c r="C14" s="162"/>
      <c r="D14" s="599" t="s">
        <v>193</v>
      </c>
      <c r="E14" s="599" t="s">
        <v>104</v>
      </c>
      <c r="F14" s="599" t="s">
        <v>91</v>
      </c>
      <c r="G14" s="665" t="str">
        <f>G1&amp;".1"</f>
        <v>4.1</v>
      </c>
      <c r="H14" s="665"/>
      <c r="I14" s="665" t="str">
        <f>I1&amp;".1"</f>
        <v>4.1</v>
      </c>
      <c r="J14" s="665"/>
      <c r="K14" s="277"/>
    </row>
    <row customHeight="1" ht="22.5" hidden="1">
      <c r="A15" s="511"/>
      <c r="C15" s="532"/>
      <c r="D15" s="527">
        <v>1</v>
      </c>
      <c r="E15" s="683" t="s">
        <v>930</v>
      </c>
      <c r="F15" s="527" t="s">
        <v>931</v>
      </c>
      <c r="G15" s="684"/>
      <c r="H15" s="684"/>
      <c r="I15" s="684"/>
      <c r="J15" s="684"/>
      <c r="K15" s="277" t="s">
        <v>932</v>
      </c>
    </row>
    <row customHeight="1" ht="22.5" hidden="1">
      <c r="A16" s="511"/>
      <c r="C16" s="532"/>
      <c r="D16" s="527">
        <v>2</v>
      </c>
      <c r="E16" s="267" t="s">
        <v>933</v>
      </c>
      <c r="F16" s="527" t="s">
        <v>934</v>
      </c>
      <c r="G16" s="684"/>
      <c r="H16" s="684"/>
      <c r="I16" s="684"/>
      <c r="J16" s="684"/>
      <c r="K16" s="277" t="s">
        <v>935</v>
      </c>
    </row>
    <row customHeight="1" ht="123.75" hidden="1">
      <c r="A17" s="511"/>
      <c r="C17" s="532"/>
      <c r="D17" s="527">
        <v>3</v>
      </c>
      <c r="E17" s="267" t="s">
        <v>1294</v>
      </c>
      <c r="F17" s="527" t="s">
        <v>519</v>
      </c>
      <c r="G17" s="684"/>
      <c r="H17" s="684"/>
      <c r="I17" s="684"/>
      <c r="J17" s="684"/>
      <c r="K17" s="277" t="s">
        <v>1295</v>
      </c>
    </row>
    <row customHeight="1" ht="45">
      <c r="A18" s="511"/>
      <c r="C18" s="532"/>
      <c r="D18" s="527">
        <v>4</v>
      </c>
      <c r="E18" s="267" t="s">
        <v>936</v>
      </c>
      <c r="F18" s="527" t="s">
        <v>519</v>
      </c>
      <c r="G18" s="815" t="s">
        <v>519</v>
      </c>
      <c r="H18" s="816" t="s">
        <v>519</v>
      </c>
      <c r="I18" s="527" t="s">
        <v>519</v>
      </c>
      <c r="J18" s="584" t="s">
        <v>519</v>
      </c>
      <c r="K18" s="277" t="s">
        <v>1296</v>
      </c>
    </row>
    <row customHeight="1" ht="33.75">
      <c r="A19" s="511"/>
      <c r="C19" s="532"/>
      <c r="D19" s="545" t="s">
        <v>874</v>
      </c>
      <c r="E19" s="565" t="s">
        <v>938</v>
      </c>
      <c r="F19" s="527" t="s">
        <v>939</v>
      </c>
      <c r="G19" s="823"/>
      <c r="H19" s="92"/>
      <c r="I19" s="823"/>
      <c r="J19" s="824"/>
      <c r="K19" s="685"/>
    </row>
    <row customHeight="1" ht="33.75">
      <c r="A20" s="511"/>
      <c r="C20" s="532"/>
      <c r="D20" s="545" t="s">
        <v>917</v>
      </c>
      <c r="E20" s="565" t="s">
        <v>940</v>
      </c>
      <c r="F20" s="527" t="s">
        <v>941</v>
      </c>
      <c r="G20" s="823"/>
      <c r="H20" s="92"/>
      <c r="I20" s="823"/>
      <c r="J20" s="92"/>
      <c r="K20" s="685"/>
    </row>
    <row customHeight="1" ht="45">
      <c r="A21" s="511"/>
      <c r="C21" s="532"/>
      <c r="D21" s="545" t="s">
        <v>920</v>
      </c>
      <c r="E21" s="565" t="s">
        <v>942</v>
      </c>
      <c r="F21" s="527" t="s">
        <v>778</v>
      </c>
      <c r="G21" s="686"/>
      <c r="H21" s="92"/>
      <c r="I21" s="686"/>
      <c r="J21" s="92"/>
      <c r="K21" s="685"/>
    </row>
    <row customHeight="1" ht="67.5" hidden="1">
      <c r="A22" s="511"/>
      <c r="C22" s="532"/>
      <c r="D22" s="527">
        <v>5</v>
      </c>
      <c r="E22" s="267" t="s">
        <v>1297</v>
      </c>
      <c r="F22" s="527" t="s">
        <v>765</v>
      </c>
      <c r="G22" s="687"/>
      <c r="H22" s="688"/>
      <c r="I22" s="687"/>
      <c r="J22" s="688"/>
      <c r="K22" s="277" t="s">
        <v>1298</v>
      </c>
    </row>
    <row customHeight="1" ht="33.75" hidden="1">
      <c r="C23" s="457"/>
      <c r="D23" s="527">
        <v>6</v>
      </c>
      <c r="E23" s="267" t="s">
        <v>1299</v>
      </c>
      <c r="F23" s="527" t="s">
        <v>1300</v>
      </c>
      <c r="G23" s="687"/>
      <c r="H23" s="687"/>
      <c r="I23" s="687"/>
      <c r="J23" s="687"/>
      <c r="K23" s="277" t="s">
        <v>1301</v>
      </c>
    </row>
    <row r="29" customHeight="1" ht="15">
      <c r="J29" s="825"/>
    </row>
  </sheetData>
  <sheetProtection formatColumns="0" formatRows="0" autoFilter="0" sort="0" insertRows="0" insertColumns="1" deleteRows="0" deleteColumns="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BA5922-EDFB-A6FC-E927-F01D5EDA52E6}" mc:Ignorable="x14ac xr xr2 xr3">
  <sheetPr>
    <tabColor rgb="FFEAEBEE"/>
    <pageSetUpPr fitToPage="1"/>
  </sheetPr>
  <dimension ref="A1:L15"/>
  <sheetViews>
    <sheetView topLeftCell="A1" showGridLines="0" zoomScale="90" workbookViewId="0">
      <selection activeCell="A1" sqref="A1"/>
    </sheetView>
  </sheetViews>
  <sheetFormatPr defaultColWidth="9.140625" customHeight="1" defaultRowHeight="14.25"/>
  <cols>
    <col min="1" max="1" style="13010" width="9.140625" hidden="1"/>
    <col min="2" max="2" style="13011" width="9.140625" hidden="1"/>
    <col min="3" max="3" style="13012" width="3.7109375" customWidth="1"/>
    <col min="4" max="4" style="13024" width="7.00390625" customWidth="1"/>
    <col min="5" max="5" style="13024" width="23.140625" customWidth="1"/>
    <col min="6" max="6" style="13024" width="16.00390625" customWidth="1"/>
    <col min="7" max="7" style="13024" width="14.8515625" customWidth="1"/>
    <col min="8" max="8" style="13024" width="47.8515625" customWidth="1"/>
    <col min="9" max="9" style="13024" width="115.7109375" customWidth="1"/>
    <col min="10" max="10" style="13024" width="3.7109375" customWidth="1"/>
    <col min="11" max="12" style="13024" width="9.140625"/>
  </cols>
  <sheetData>
    <row customHeight="1" ht="14.25" hidden="1"/>
    <row customHeight="1" ht="14.25" hidden="1"/>
    <row customHeight="1" ht="14.25" hidden="1"/>
    <row customHeight="1" ht="3"/>
    <row s="2698" customFormat="1" customHeight="1" ht="30">
      <c r="A5" s="101"/>
      <c r="C5" s="75"/>
      <c r="D5" s="1954" t="s">
        <v>1302</v>
      </c>
      <c r="E5" s="1954"/>
      <c r="F5" s="1954"/>
      <c r="G5" s="1954"/>
      <c r="H5" s="1954"/>
      <c r="I5" s="251"/>
    </row>
    <row customHeight="1" ht="3" hidden="1">
      <c r="D6" s="108"/>
      <c r="E6" s="108"/>
      <c r="F6" s="108"/>
      <c r="G6" s="108"/>
      <c r="H6" s="108"/>
      <c r="I6" s="108"/>
    </row>
    <row s="13010" customFormat="1" customHeight="1" ht="14.25">
      <c r="B7" s="105"/>
      <c r="C7" s="106"/>
      <c r="D7" s="109"/>
      <c r="E7" s="109"/>
      <c r="F7" s="109"/>
      <c r="G7" s="109"/>
      <c r="H7" s="758"/>
      <c r="I7" s="109"/>
      <c r="J7" s="110"/>
    </row>
    <row customHeight="1" ht="14.25">
      <c r="D8" s="2062" t="s">
        <v>513</v>
      </c>
      <c r="E8" s="2062"/>
      <c r="F8" s="2062"/>
      <c r="G8" s="2062"/>
      <c r="H8" s="2062"/>
      <c r="I8" s="2062" t="s">
        <v>514</v>
      </c>
    </row>
    <row customHeight="1" ht="27.75">
      <c r="D9" s="2062" t="s">
        <v>89</v>
      </c>
      <c r="E9" s="2062" t="s">
        <v>1303</v>
      </c>
      <c r="F9" s="2062"/>
      <c r="G9" s="2062"/>
      <c r="H9" s="2062"/>
      <c r="I9" s="2062"/>
    </row>
    <row customHeight="1" ht="22.5">
      <c r="D10" s="2062"/>
      <c r="E10" s="113" t="s">
        <v>1304</v>
      </c>
      <c r="F10" s="113" t="s">
        <v>1305</v>
      </c>
      <c r="G10" s="113" t="s">
        <v>1306</v>
      </c>
      <c r="H10" s="113" t="s">
        <v>605</v>
      </c>
      <c r="I10" s="2062"/>
    </row>
    <row customHeight="1" ht="12" hidden="1">
      <c r="D11" s="72" t="s">
        <v>193</v>
      </c>
      <c r="E11" s="72" t="s">
        <v>92</v>
      </c>
      <c r="F11" s="72" t="s">
        <v>116</v>
      </c>
      <c r="G11" s="72" t="s">
        <v>93</v>
      </c>
      <c r="H11" s="72" t="s">
        <v>94</v>
      </c>
      <c r="I11" s="72" t="s">
        <v>130</v>
      </c>
    </row>
    <row s="13016" customFormat="1" customHeight="1" ht="24.75">
      <c r="A12" s="131" t="s">
        <v>91</v>
      </c>
      <c r="B12" s="111" t="s">
        <v>24</v>
      </c>
      <c r="C12" s="112"/>
      <c r="D12" s="114" t="s">
        <v>193</v>
      </c>
      <c r="E12" s="387"/>
      <c r="F12" s="387"/>
      <c r="G12" s="1774" t="s">
        <v>24</v>
      </c>
      <c r="H12" s="388"/>
      <c r="I12" s="2015" t="s">
        <v>1307</v>
      </c>
      <c r="K12" s="258"/>
      <c r="L12" s="259"/>
    </row>
    <row customHeight="1" ht="15">
      <c r="A13" s="107"/>
      <c r="B13" s="107"/>
      <c r="C13" s="107"/>
      <c r="D13" s="95"/>
      <c r="E13" s="116" t="s">
        <v>682</v>
      </c>
      <c r="F13" s="115"/>
      <c r="G13" s="115"/>
      <c r="H13" s="200"/>
      <c r="I13" s="2017"/>
    </row>
    <row customHeight="1" ht="3">
      <c r="A14" s="107"/>
      <c r="B14" s="107"/>
      <c r="C14" s="107"/>
    </row>
    <row customHeight="1" ht="27.75">
      <c r="E15" s="2314" t="s">
        <v>1308</v>
      </c>
      <c r="F15" s="2314"/>
      <c r="G15" s="2314"/>
      <c r="H15" s="2314"/>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D32772-B324-BB22-E096-F99007AC4ED3}" mc:Ignorable="x14ac xr xr2 xr3">
  <sheetPr>
    <tabColor rgb="FFCCCCFF"/>
    <pageSetUpPr fitToPage="1"/>
  </sheetPr>
  <dimension ref="A1:I15"/>
  <sheetViews>
    <sheetView topLeftCell="A1" showGridLines="0" zoomScale="90" workbookViewId="0">
      <selection activeCell="E12" sqref="E12"/>
    </sheetView>
  </sheetViews>
  <sheetFormatPr defaultColWidth="9.140625" customHeight="1" defaultRowHeight="14.25"/>
  <cols>
    <col min="1" max="2" style="13044" width="9.140625" hidden="1"/>
    <col min="3" max="3" style="13045" width="3.7109375" customWidth="1"/>
    <col min="4" max="4" style="13044" width="6.28125" customWidth="1"/>
    <col min="5" max="5" style="13044" width="94.8515625" customWidth="1"/>
    <col min="6" max="9" style="13044" width="9.140625"/>
  </cols>
  <sheetData>
    <row customHeight="1" ht="14.25" hidden="1"/>
    <row customHeight="1" ht="14.25" hidden="1"/>
    <row customHeight="1" ht="14.25" hidden="1"/>
    <row customHeight="1" ht="14.25" hidden="1"/>
    <row customHeight="1" ht="14.25" hidden="1"/>
    <row customHeight="1" ht="3">
      <c r="C6" s="77"/>
      <c r="D6" s="55"/>
      <c r="E6" s="55"/>
    </row>
    <row customHeight="1" ht="22.5">
      <c r="C7" s="77"/>
      <c r="D7" s="2315" t="s">
        <v>1309</v>
      </c>
      <c r="E7" s="2316"/>
      <c r="F7" s="253"/>
    </row>
    <row customHeight="1" ht="3">
      <c r="C8" s="77"/>
      <c r="D8" s="55"/>
      <c r="E8" s="55"/>
    </row>
    <row customHeight="1" ht="15.75">
      <c r="C9" s="77"/>
      <c r="D9" s="91" t="s">
        <v>89</v>
      </c>
      <c r="E9" s="246" t="s">
        <v>1310</v>
      </c>
    </row>
    <row customHeight="1" ht="0.75">
      <c r="C10" s="77"/>
      <c r="D10" s="72"/>
      <c r="E10" s="72"/>
    </row>
    <row customHeight="1" ht="11.25" hidden="1">
      <c r="C11" s="77"/>
      <c r="D11" s="136">
        <v>0</v>
      </c>
      <c r="E11" s="247"/>
    </row>
    <row customHeight="1" ht="33.333333333333336">
      <c r="C12" s="122"/>
      <c r="D12" s="99">
        <v>1</v>
      </c>
      <c r="E12" s="380" t="s">
        <v>1311</v>
      </c>
    </row>
    <row customHeight="1" ht="12">
      <c r="C13" s="77"/>
      <c r="D13" s="248"/>
      <c r="E13" s="249" t="s">
        <v>1312</v>
      </c>
    </row>
    <row customHeight="1" ht="3"/>
    <row customHeight="1" ht="22.5">
      <c r="C15" s="123"/>
      <c r="D15" s="2317" t="s">
        <v>1313</v>
      </c>
      <c r="E15" s="2317"/>
      <c r="F15" s="124"/>
      <c r="G15" s="124"/>
      <c r="H15" s="124"/>
      <c r="I15" s="124"/>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6A1DD8-8804-DEB5-5504-5FA8C7AFC72B}" mc:Ignorable="x14ac xr xr2 xr3">
  <dimension ref="A1:I24"/>
  <sheetViews>
    <sheetView topLeftCell="A1" showGridLines="0" zoomScale="90" workbookViewId="0">
      <selection activeCell="A1" sqref="A1"/>
    </sheetView>
  </sheetViews>
  <sheetFormatPr defaultColWidth="9.140625" customHeight="1" defaultRowHeight="11.25"/>
  <cols>
    <col min="1" max="2" style="3051" width="15.00390625" hidden="1" customWidth="1"/>
    <col min="3" max="3" style="3130" width="3.7109375" customWidth="1"/>
    <col min="4" max="4" style="3131" width="6.8515625" customWidth="1"/>
    <col min="5" max="5" style="3130" width="52.28125" customWidth="1"/>
    <col min="6" max="6" style="3130" width="48.8515625" customWidth="1"/>
    <col min="7" max="7" style="3130" width="93.421875" customWidth="1"/>
    <col min="8" max="8" style="3130" width="9.140625"/>
    <col min="9" max="9" style="3130" width="65.00390625" customWidth="1"/>
  </cols>
  <sheetData>
    <row customHeight="1" ht="11.25" hidden="1">
      <c r="A1" s="507" t="s">
        <v>512</v>
      </c>
    </row>
    <row customHeight="1" ht="22.5" hidden="1">
      <c r="A2" s="508"/>
      <c r="B2" s="508"/>
      <c r="C2" s="463"/>
      <c r="D2" s="1550"/>
      <c r="E2" s="1556"/>
      <c r="F2" s="1586"/>
      <c r="H2" s="481"/>
    </row>
    <row customHeight="1" ht="11.25" hidden="1"/>
    <row customHeight="1" ht="11.25">
      <c r="A4" s="1587"/>
      <c r="B4" s="1587"/>
    </row>
    <row customHeight="1" ht="24">
      <c r="D5" s="2091"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2092"/>
      <c r="F5" s="2093"/>
      <c r="I5" s="721"/>
    </row>
    <row customHeight="1" ht="17.25">
      <c r="D6" s="2053" t="str">
        <f>IF(region_name=0,"Не определено",region_name)</f>
        <v>Мурманская область</v>
      </c>
      <c r="E6" s="2053"/>
      <c r="F6" s="2053"/>
      <c r="I6" s="721"/>
    </row>
    <row s="3050" customFormat="1" customHeight="1" ht="11.25">
      <c r="A7" s="507"/>
      <c r="B7" s="507"/>
      <c r="D7" s="720"/>
      <c r="E7" s="720"/>
      <c r="F7" s="758"/>
      <c r="G7" s="720"/>
    </row>
    <row customHeight="1" ht="11.25" hidden="1">
      <c r="A8" s="508"/>
      <c r="B8" s="508"/>
      <c r="C8" s="463"/>
      <c r="D8" s="469"/>
      <c r="E8" s="2060"/>
      <c r="F8" s="2060"/>
    </row>
    <row customHeight="1" ht="11.25">
      <c r="A9" s="508"/>
      <c r="B9" s="508"/>
      <c r="C9" s="463"/>
      <c r="D9" s="2056" t="s">
        <v>513</v>
      </c>
      <c r="E9" s="2057"/>
      <c r="F9" s="2057"/>
      <c r="G9" s="2061" t="s">
        <v>514</v>
      </c>
    </row>
    <row customHeight="1" ht="11.25">
      <c r="A10" s="508"/>
      <c r="B10" s="508"/>
      <c r="C10" s="463"/>
      <c r="D10" s="1504" t="s">
        <v>89</v>
      </c>
      <c r="E10" s="1506" t="s">
        <v>515</v>
      </c>
      <c r="F10" s="1506" t="s">
        <v>516</v>
      </c>
      <c r="G10" s="2062"/>
    </row>
    <row customHeight="1" ht="0.75">
      <c r="A11" s="508"/>
      <c r="B11" s="508"/>
      <c r="C11" s="463"/>
      <c r="D11" s="470"/>
      <c r="E11" s="470"/>
      <c r="F11" s="470"/>
      <c r="G11" s="470"/>
    </row>
    <row customHeight="1" ht="22.5">
      <c r="A12" s="508"/>
      <c r="B12" s="508"/>
      <c r="C12" s="463"/>
      <c r="D12" s="1550">
        <v>1</v>
      </c>
      <c r="E12" s="480" t="s">
        <v>1314</v>
      </c>
      <c r="F12" s="1902" t="str">
        <f>IF(org="","",org)</f>
        <v>АО "Мурманэнергосбыт"</v>
      </c>
      <c r="G12" s="480" t="s">
        <v>1315</v>
      </c>
      <c r="H12" s="1563"/>
    </row>
    <row customHeight="1" ht="18.75">
      <c r="A13" s="508"/>
      <c r="B13" s="508"/>
      <c r="C13" s="463"/>
      <c r="D13" s="1550">
        <v>2</v>
      </c>
      <c r="E13" s="1557" t="s">
        <v>1316</v>
      </c>
      <c r="F13" s="1551" t="s">
        <v>519</v>
      </c>
      <c r="G13" s="480"/>
      <c r="H13" s="1563"/>
    </row>
    <row customHeight="1" ht="18.75">
      <c r="A14" s="508"/>
      <c r="B14" s="508"/>
      <c r="C14" s="463"/>
      <c r="D14" s="1553" t="s">
        <v>829</v>
      </c>
      <c r="E14" s="1554" t="s">
        <v>1317</v>
      </c>
      <c r="F14" s="1556"/>
      <c r="G14" s="1555" t="s">
        <v>1318</v>
      </c>
      <c r="H14" s="1563"/>
    </row>
    <row customHeight="1" ht="18.75">
      <c r="A15" s="508"/>
      <c r="B15" s="508"/>
      <c r="C15" s="463"/>
      <c r="D15" s="1553" t="s">
        <v>520</v>
      </c>
      <c r="E15" s="1554" t="s">
        <v>1319</v>
      </c>
      <c r="F15" s="1556"/>
      <c r="G15" s="1555" t="s">
        <v>1320</v>
      </c>
      <c r="H15" s="1563"/>
    </row>
    <row customHeight="1" ht="36.75">
      <c r="A16" s="508"/>
      <c r="B16" s="508"/>
      <c r="C16" s="463"/>
      <c r="D16" s="1553" t="s">
        <v>523</v>
      </c>
      <c r="E16" s="1552" t="s">
        <v>1321</v>
      </c>
      <c r="F16" s="1561"/>
      <c r="G16" s="480" t="s">
        <v>1322</v>
      </c>
      <c r="H16" s="1563"/>
    </row>
    <row customHeight="1" ht="45">
      <c r="A17" s="508"/>
      <c r="B17" s="508"/>
      <c r="C17" s="463"/>
      <c r="D17" s="1550">
        <v>3</v>
      </c>
      <c r="E17" s="1557" t="s">
        <v>1323</v>
      </c>
      <c r="F17" s="1556"/>
      <c r="G17" s="480" t="s">
        <v>1324</v>
      </c>
      <c r="H17" s="1563"/>
    </row>
    <row customHeight="1" ht="45">
      <c r="A18" s="1505">
        <v>1</v>
      </c>
      <c r="B18" s="508"/>
      <c r="C18" s="1507"/>
      <c r="D18" s="1550" t="s">
        <v>92</v>
      </c>
      <c r="E18" s="1557" t="s">
        <v>1325</v>
      </c>
      <c r="F18" s="1556"/>
      <c r="G18" s="480" t="s">
        <v>1324</v>
      </c>
      <c r="H18" s="1563"/>
      <c r="I18" s="858"/>
    </row>
    <row customHeight="1" ht="22.5">
      <c r="A19" s="508"/>
      <c r="B19" s="508"/>
      <c r="C19" s="463"/>
      <c r="D19" s="1550" t="s">
        <v>116</v>
      </c>
      <c r="E19" s="1557" t="s">
        <v>1326</v>
      </c>
      <c r="F19" s="1551" t="s">
        <v>519</v>
      </c>
      <c r="G19" s="2318" t="s">
        <v>1327</v>
      </c>
      <c r="H19" s="481"/>
    </row>
    <row s="13063" customFormat="1" customHeight="1" ht="5.25" hidden="1">
      <c r="A20" s="508"/>
      <c r="B20" s="508"/>
      <c r="C20" s="1559"/>
      <c r="D20" s="1558" t="s">
        <v>1237</v>
      </c>
      <c r="E20" s="1021"/>
      <c r="F20" s="1020"/>
      <c r="G20" s="2319"/>
    </row>
    <row customHeight="1" ht="15">
      <c r="A21" s="508"/>
      <c r="B21" s="508"/>
      <c r="C21" s="463"/>
      <c r="D21" s="473"/>
      <c r="E21" s="421" t="s">
        <v>554</v>
      </c>
      <c r="F21" s="475"/>
      <c r="G21" s="2320"/>
      <c r="H21" s="1563"/>
    </row>
    <row s="3051" customFormat="1" customHeight="1" ht="24.75">
      <c r="A22" s="508"/>
      <c r="B22" s="508"/>
      <c r="C22" s="508"/>
      <c r="D22" s="1550" t="s">
        <v>93</v>
      </c>
      <c r="E22" s="480" t="s">
        <v>1328</v>
      </c>
      <c r="F22" s="1556"/>
      <c r="G22" s="480" t="s">
        <v>1329</v>
      </c>
      <c r="H22" s="1562"/>
    </row>
    <row s="3051" customFormat="1" customHeight="1" ht="18.75">
      <c r="A23" s="508"/>
      <c r="B23" s="508"/>
      <c r="C23" s="508"/>
      <c r="D23" s="1550" t="s">
        <v>94</v>
      </c>
      <c r="E23" s="1557" t="s">
        <v>1330</v>
      </c>
      <c r="F23" s="1561"/>
      <c r="G23" s="480" t="s">
        <v>1331</v>
      </c>
      <c r="H23" s="1562"/>
    </row>
    <row customHeight="1" ht="11.25">
      <c r="A24" s="508"/>
      <c r="B24" s="508"/>
      <c r="C24" s="463"/>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EAD0C6-ECDC-FB67-7422-6F28A5ABF388}" mc:Ignorable="x14ac xr xr2 xr3">
  <dimension ref="A1:IT23"/>
  <sheetViews>
    <sheetView topLeftCell="A1" showGridLines="0" zoomScale="90" workbookViewId="0">
      <selection activeCell="A1" sqref="A1"/>
    </sheetView>
  </sheetViews>
  <sheetFormatPr defaultColWidth="9.140625" customHeight="1" defaultRowHeight="14.25"/>
  <cols>
    <col min="1" max="1" style="2984" width="9.140625" hidden="1"/>
    <col min="2" max="2" style="2683" width="9.140625" hidden="1"/>
    <col min="3" max="3" style="2984" width="3.7109375" hidden="1" customWidth="1"/>
    <col min="4" max="4" style="3194" width="3.8515625" customWidth="1"/>
    <col min="5" max="5" style="2984" width="6.28125" customWidth="1"/>
    <col min="6" max="6" style="2984" width="46.7109375" customWidth="1"/>
    <col min="7" max="8" style="2984" width="16.7109375" customWidth="1"/>
    <col min="9" max="9" style="2984" width="35.28125" customWidth="1"/>
    <col min="10" max="10" style="2984" width="89.57421875" customWidth="1"/>
    <col min="11" max="11" style="2665" width="3.7109375" customWidth="1"/>
    <col min="12" max="14" style="2665" width="9.140625"/>
    <col min="15" max="15" style="2631" width="25.7109375" customWidth="1"/>
    <col min="16" max="16" style="2665" width="14.421875" customWidth="1"/>
    <col min="17" max="20" style="2632" width="9.140625"/>
    <col min="21" max="254" style="2984" width="9.140625"/>
  </cols>
  <sheetData>
    <row customHeight="1" ht="14.25" hidden="1"/>
    <row s="2666" customFormat="1" customHeight="1" ht="22.5" hidden="1">
      <c r="A2" s="837"/>
      <c r="B2" s="1168">
        <v>1</v>
      </c>
      <c r="C2" s="1168"/>
      <c r="D2" s="807"/>
      <c r="E2" s="1514"/>
      <c r="F2" s="1521"/>
      <c r="G2" s="1521"/>
      <c r="H2" s="1521"/>
      <c r="I2" s="1568"/>
      <c r="J2" s="214"/>
      <c r="K2" s="1565">
        <f>MERGEVALUE(F2)</f>
      </c>
      <c r="L2" s="517"/>
      <c r="M2" s="517"/>
      <c r="N2" s="506" t="str">
        <f t="array" ref="N2:N2">IF(ISERROR(MATCH(MID(O2,1,250),MID(note_ter,1,250),0)),"n","y")</f>
        <v>n</v>
      </c>
      <c r="O2" s="517"/>
      <c r="P2" s="506" t="str">
        <f>G2&amp;"("&amp;J2&amp;")"</f>
        <v>()</v>
      </c>
      <c r="Q2" s="1168"/>
      <c r="R2" s="1168"/>
      <c r="S2" s="426"/>
      <c r="T2" s="1168"/>
      <c r="U2" s="1168"/>
      <c r="V2" s="1168"/>
      <c r="W2" s="428"/>
      <c r="X2" s="428"/>
      <c r="Y2" s="425"/>
      <c r="Z2" s="425"/>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8"/>
      <c r="BU2" s="428"/>
      <c r="BV2" s="428"/>
      <c r="BW2" s="428"/>
      <c r="BX2" s="428"/>
      <c r="BY2" s="428"/>
      <c r="BZ2" s="428"/>
      <c r="CA2" s="428"/>
      <c r="CB2" s="428"/>
      <c r="CC2" s="428"/>
    </row>
    <row s="2612" customFormat="1" customHeight="1" ht="5.25" hidden="1">
      <c r="A3" s="502"/>
      <c r="D3" s="500"/>
      <c r="F3" s="233" t="s">
        <v>84</v>
      </c>
      <c r="G3" s="500" t="s">
        <v>85</v>
      </c>
      <c r="H3" s="500"/>
      <c r="I3" s="500"/>
      <c r="J3" s="213" t="s">
        <v>86</v>
      </c>
      <c r="K3" s="233" t="s">
        <v>84</v>
      </c>
      <c r="L3" s="233"/>
      <c r="M3" s="233"/>
      <c r="N3" s="233"/>
      <c r="O3" s="234"/>
      <c r="P3" s="233"/>
      <c r="Q3" s="233"/>
      <c r="R3" s="233"/>
      <c r="S3" s="233"/>
      <c r="T3" s="23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c r="CP3" s="213"/>
      <c r="CQ3" s="213"/>
      <c r="CR3" s="213"/>
      <c r="CS3" s="213"/>
      <c r="CT3" s="213"/>
      <c r="CU3" s="213"/>
      <c r="CV3" s="213"/>
      <c r="CW3" s="213"/>
      <c r="CX3" s="213"/>
      <c r="CY3" s="213"/>
      <c r="CZ3" s="213"/>
      <c r="DA3" s="213"/>
      <c r="DB3" s="213"/>
      <c r="DC3" s="213"/>
      <c r="DD3" s="213"/>
      <c r="DE3" s="213"/>
      <c r="DF3" s="213"/>
      <c r="DG3" s="213"/>
      <c r="DH3" s="213"/>
      <c r="DI3" s="213"/>
      <c r="DJ3" s="213"/>
      <c r="DK3" s="213"/>
      <c r="DL3" s="213"/>
      <c r="DM3" s="213"/>
      <c r="DN3" s="213"/>
      <c r="DO3" s="213"/>
      <c r="DP3" s="213"/>
      <c r="DQ3" s="213"/>
      <c r="DR3" s="213"/>
      <c r="DS3" s="213"/>
      <c r="DT3" s="213"/>
      <c r="DU3" s="213"/>
      <c r="DV3" s="213"/>
      <c r="DW3" s="213"/>
      <c r="DX3" s="213"/>
      <c r="DY3" s="213"/>
      <c r="DZ3" s="213"/>
      <c r="EA3" s="213"/>
      <c r="EB3" s="213"/>
      <c r="EC3" s="213"/>
      <c r="ED3" s="213"/>
      <c r="EE3" s="213"/>
      <c r="EF3" s="213"/>
      <c r="EG3" s="213"/>
      <c r="EH3" s="213"/>
      <c r="EI3" s="213"/>
      <c r="EJ3" s="213"/>
      <c r="EK3" s="213"/>
      <c r="EL3" s="213"/>
      <c r="EM3" s="213"/>
      <c r="EN3" s="213"/>
      <c r="EO3" s="213"/>
      <c r="EP3" s="213"/>
      <c r="EQ3" s="213"/>
      <c r="ER3" s="213"/>
      <c r="ES3" s="213"/>
      <c r="ET3" s="213"/>
      <c r="EU3" s="213"/>
      <c r="EV3" s="213"/>
      <c r="EW3" s="213"/>
      <c r="EX3" s="213"/>
      <c r="EY3" s="213"/>
      <c r="EZ3" s="213"/>
      <c r="FA3" s="213"/>
      <c r="FB3" s="213"/>
      <c r="FC3" s="213"/>
      <c r="FD3" s="213"/>
      <c r="FE3" s="213"/>
      <c r="FF3" s="213"/>
      <c r="FG3" s="213"/>
      <c r="FH3" s="213"/>
      <c r="FI3" s="213"/>
      <c r="FJ3" s="213"/>
      <c r="FK3" s="213"/>
      <c r="FL3" s="213"/>
      <c r="FM3" s="213"/>
      <c r="FN3" s="213"/>
      <c r="FO3" s="213"/>
      <c r="FP3" s="213"/>
      <c r="FQ3" s="213"/>
      <c r="FR3" s="213"/>
      <c r="FS3" s="213"/>
      <c r="FT3" s="213"/>
      <c r="FU3" s="213"/>
      <c r="FV3" s="213"/>
      <c r="FW3" s="213"/>
      <c r="FX3" s="213"/>
      <c r="FY3" s="213"/>
      <c r="FZ3" s="213"/>
      <c r="GA3" s="213"/>
      <c r="GB3" s="213"/>
      <c r="GC3" s="213"/>
      <c r="GD3" s="213"/>
      <c r="GE3" s="213"/>
      <c r="GF3" s="213"/>
      <c r="GG3" s="213"/>
      <c r="GH3" s="213"/>
      <c r="GI3" s="213"/>
      <c r="GJ3" s="213"/>
      <c r="GK3" s="213"/>
      <c r="GL3" s="213"/>
      <c r="GM3" s="213"/>
      <c r="GN3" s="213"/>
      <c r="GO3" s="213"/>
      <c r="GP3" s="213"/>
      <c r="GQ3" s="213"/>
      <c r="GR3" s="213"/>
      <c r="GS3" s="213"/>
      <c r="GT3" s="213"/>
      <c r="GU3" s="213"/>
      <c r="GV3" s="213"/>
      <c r="GW3" s="213"/>
      <c r="GX3" s="213"/>
      <c r="GY3" s="213"/>
      <c r="GZ3" s="213"/>
      <c r="HA3" s="213"/>
      <c r="HB3" s="213"/>
      <c r="HC3" s="213"/>
      <c r="HD3" s="213"/>
      <c r="HE3" s="213"/>
      <c r="HF3" s="213"/>
      <c r="HG3" s="213"/>
      <c r="HH3" s="213"/>
      <c r="HI3" s="213"/>
      <c r="HJ3" s="213"/>
      <c r="HK3" s="213"/>
      <c r="HL3" s="213"/>
      <c r="HM3" s="213"/>
      <c r="HN3" s="213"/>
      <c r="HO3" s="213"/>
      <c r="HP3" s="213"/>
      <c r="HQ3" s="213"/>
      <c r="HR3" s="213"/>
      <c r="HS3" s="213"/>
      <c r="HT3" s="213"/>
      <c r="HU3" s="213"/>
      <c r="HV3" s="213"/>
      <c r="HW3" s="213"/>
      <c r="HX3" s="213"/>
      <c r="HY3" s="213"/>
      <c r="HZ3" s="213"/>
      <c r="IA3" s="213"/>
      <c r="IB3" s="213"/>
      <c r="IC3" s="213"/>
      <c r="ID3" s="213"/>
      <c r="IE3" s="213"/>
      <c r="IF3" s="213"/>
      <c r="IG3" s="213"/>
      <c r="IH3" s="213"/>
      <c r="II3" s="213"/>
      <c r="IJ3" s="213"/>
      <c r="IK3" s="213"/>
      <c r="IL3" s="213"/>
      <c r="IM3" s="213"/>
      <c r="IN3" s="213"/>
      <c r="IO3" s="213"/>
      <c r="IP3" s="213"/>
      <c r="IQ3" s="213"/>
      <c r="IR3" s="213"/>
      <c r="IS3" s="213"/>
      <c r="IT3" s="213"/>
    </row>
    <row s="2657" customFormat="1" customHeight="1" ht="14.25">
      <c r="A4" s="1163"/>
      <c r="B4" s="1168"/>
      <c r="C4" s="1163"/>
      <c r="D4" s="1525"/>
      <c r="E4" s="515"/>
      <c r="F4" s="515"/>
      <c r="G4" s="515"/>
      <c r="H4" s="515"/>
      <c r="I4" s="515"/>
      <c r="J4" s="152"/>
      <c r="K4" s="233"/>
      <c r="L4" s="506"/>
      <c r="M4" s="506"/>
      <c r="N4" s="506"/>
      <c r="O4" s="212"/>
      <c r="P4" s="506"/>
      <c r="Q4" s="211"/>
      <c r="R4" s="211"/>
      <c r="S4" s="211"/>
      <c r="T4" s="211"/>
    </row>
    <row s="2657" customFormat="1" customHeight="1" ht="25.5">
      <c r="A5" s="1163"/>
      <c r="B5" s="1168"/>
      <c r="C5" s="1163"/>
      <c r="D5" s="1525"/>
      <c r="E5" s="1954"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1954"/>
      <c r="G5" s="1954"/>
      <c r="H5" s="1954"/>
      <c r="I5" s="1954"/>
      <c r="J5" s="1954"/>
      <c r="K5" s="233"/>
      <c r="L5" s="506"/>
      <c r="M5" s="506"/>
      <c r="N5" s="506"/>
      <c r="O5" s="212"/>
      <c r="P5" s="506"/>
      <c r="Q5" s="211"/>
      <c r="R5" s="211"/>
      <c r="S5" s="211"/>
      <c r="T5" s="211"/>
    </row>
    <row s="2657" customFormat="1" customHeight="1" ht="14.25">
      <c r="A6" s="1163"/>
      <c r="B6" s="1168"/>
      <c r="C6" s="1163"/>
      <c r="D6" s="1525"/>
      <c r="E6" s="515"/>
      <c r="F6" s="153"/>
      <c r="G6" s="153"/>
      <c r="H6" s="153"/>
      <c r="I6" s="153"/>
      <c r="J6" s="154"/>
      <c r="K6" s="506"/>
      <c r="L6" s="506"/>
      <c r="M6" s="506"/>
      <c r="N6" s="506"/>
      <c r="O6" s="212"/>
      <c r="P6" s="506"/>
      <c r="Q6" s="211"/>
      <c r="R6" s="211"/>
      <c r="S6" s="211"/>
      <c r="T6" s="211"/>
    </row>
    <row s="2657" customFormat="1" customHeight="1" ht="14.25">
      <c r="A7" s="1163"/>
      <c r="B7" s="1168"/>
      <c r="C7" s="1163"/>
      <c r="D7" s="1525"/>
      <c r="E7" s="1955" t="s">
        <v>513</v>
      </c>
      <c r="F7" s="1956"/>
      <c r="G7" s="1956"/>
      <c r="H7" s="1956"/>
      <c r="I7" s="1956"/>
      <c r="J7" s="2321" t="s">
        <v>514</v>
      </c>
      <c r="K7" s="506"/>
      <c r="L7" s="506"/>
      <c r="M7" s="506"/>
      <c r="N7" s="506"/>
      <c r="O7" s="212"/>
      <c r="P7" s="506"/>
      <c r="Q7" s="211"/>
      <c r="R7" s="211"/>
      <c r="S7" s="211"/>
      <c r="T7" s="211"/>
    </row>
    <row s="2657" customFormat="1" customHeight="1" ht="20.25">
      <c r="A8" s="1163"/>
      <c r="B8" s="1168"/>
      <c r="C8" s="1163"/>
      <c r="D8" s="1525"/>
      <c r="E8" s="1585" t="s">
        <v>89</v>
      </c>
      <c r="F8" s="1570" t="s">
        <v>1332</v>
      </c>
      <c r="G8" s="1570" t="s">
        <v>49</v>
      </c>
      <c r="H8" s="1570" t="s">
        <v>51</v>
      </c>
      <c r="I8" s="1570" t="s">
        <v>1333</v>
      </c>
      <c r="J8" s="2322"/>
      <c r="K8" s="506"/>
      <c r="L8" s="506"/>
      <c r="M8" s="506"/>
      <c r="N8" s="506"/>
      <c r="O8" s="212"/>
      <c r="P8" s="506"/>
      <c r="Q8" s="211"/>
      <c r="R8" s="211"/>
      <c r="S8" s="211"/>
      <c r="T8" s="211"/>
    </row>
    <row s="2666" customFormat="1" customHeight="1" ht="22.5">
      <c r="A9" s="1953"/>
      <c r="B9" s="1168">
        <v>1</v>
      </c>
      <c r="C9" s="1168"/>
      <c r="D9" s="807"/>
      <c r="E9" s="1514">
        <v>1</v>
      </c>
      <c r="F9" s="1584"/>
      <c r="G9" s="1521"/>
      <c r="H9" s="1521"/>
      <c r="I9" s="1568"/>
      <c r="J9" s="2323" t="s">
        <v>1334</v>
      </c>
      <c r="K9" s="1565">
        <f>MERGEVALUE(F9)</f>
      </c>
      <c r="L9" s="517"/>
      <c r="M9" s="517"/>
      <c r="N9" s="506" t="str">
        <f t="array" ref="N9:N9">IF(ISERROR(MATCH(MID(O9,1,250),MID(note_ter,1,250),0)),"n","y")</f>
        <v>n</v>
      </c>
      <c r="O9" s="517"/>
      <c r="P9" s="506" t="str">
        <f>G9&amp;"("&amp;J9&amp;")"</f>
        <v>(Значение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8"/>
      <c r="R9" s="1168"/>
      <c r="S9" s="426"/>
      <c r="T9" s="1168"/>
      <c r="U9" s="1168"/>
      <c r="V9" s="1168"/>
      <c r="W9" s="428"/>
      <c r="X9" s="428"/>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8"/>
      <c r="BU9" s="428"/>
      <c r="BV9" s="428"/>
      <c r="BW9" s="428"/>
      <c r="BX9" s="428"/>
      <c r="BY9" s="428"/>
      <c r="BZ9" s="428"/>
      <c r="CA9" s="428"/>
      <c r="CB9" s="428"/>
      <c r="CC9" s="428"/>
    </row>
    <row s="2666" customFormat="1" customHeight="1" ht="15">
      <c r="A10" s="1953"/>
      <c r="B10" s="1168"/>
      <c r="C10" s="418"/>
      <c r="D10" s="807"/>
      <c r="E10" s="1571"/>
      <c r="F10" s="1530" t="s">
        <v>1335</v>
      </c>
      <c r="G10" s="1572"/>
      <c r="H10" s="1572"/>
      <c r="I10" s="1572"/>
      <c r="J10" s="2324"/>
      <c r="K10" s="1566"/>
      <c r="L10" s="517"/>
      <c r="M10" s="517"/>
      <c r="N10" s="517"/>
      <c r="O10" s="506"/>
      <c r="P10" s="517"/>
      <c r="Q10" s="1168"/>
      <c r="R10" s="1168"/>
      <c r="S10" s="426"/>
      <c r="T10" s="1168"/>
      <c r="U10" s="1168"/>
      <c r="V10" s="1168"/>
      <c r="W10" s="428"/>
      <c r="X10" s="428"/>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8"/>
      <c r="BU10" s="428"/>
      <c r="BV10" s="428"/>
      <c r="BW10" s="428"/>
      <c r="BX10" s="428"/>
      <c r="BY10" s="428"/>
      <c r="BZ10" s="428"/>
      <c r="CA10" s="428"/>
      <c r="CB10" s="428"/>
      <c r="CC10" s="428"/>
    </row>
    <row s="2657" customFormat="1" customHeight="1" ht="21">
      <c r="A11" s="1163"/>
      <c r="B11" s="1168"/>
      <c r="C11" s="1163"/>
      <c r="D11" s="457"/>
      <c r="E11" s="166"/>
      <c r="F11" s="166"/>
      <c r="G11" s="166"/>
      <c r="H11" s="166"/>
      <c r="I11" s="166"/>
      <c r="J11" s="166"/>
      <c r="K11" s="506"/>
      <c r="L11" s="506"/>
      <c r="M11" s="506"/>
      <c r="N11" s="506"/>
      <c r="O11" s="212"/>
      <c r="P11" s="506"/>
      <c r="Q11" s="211"/>
      <c r="R11" s="211"/>
      <c r="S11" s="211"/>
      <c r="T11" s="211"/>
    </row>
    <row s="2657" customFormat="1" customHeight="1" ht="14.25">
      <c r="A12" s="1163"/>
      <c r="B12" s="1168"/>
      <c r="C12" s="1163"/>
      <c r="D12" s="457"/>
      <c r="E12" s="1163"/>
      <c r="F12" s="1163"/>
      <c r="G12" s="1163"/>
      <c r="H12" s="1163"/>
      <c r="I12" s="1163"/>
      <c r="J12" s="1163"/>
      <c r="K12" s="506"/>
      <c r="L12" s="506"/>
      <c r="M12" s="506"/>
      <c r="N12" s="506"/>
      <c r="O12" s="212"/>
      <c r="P12" s="506"/>
      <c r="Q12" s="211"/>
      <c r="R12" s="211"/>
      <c r="S12" s="211"/>
      <c r="T12" s="211"/>
    </row>
    <row s="2657" customFormat="1" customHeight="1" ht="0.75">
      <c r="A13" s="1163"/>
      <c r="B13" s="1168"/>
      <c r="C13" s="1163"/>
      <c r="D13" s="457"/>
      <c r="E13" s="1163"/>
      <c r="F13" s="1163"/>
      <c r="G13" s="1163"/>
      <c r="H13" s="1163"/>
      <c r="I13" s="1163"/>
      <c r="J13" s="1163"/>
      <c r="K13" s="506"/>
      <c r="L13" s="506"/>
      <c r="M13" s="506"/>
      <c r="N13" s="506"/>
      <c r="O13" s="212"/>
      <c r="P13" s="506"/>
      <c r="Q13" s="211"/>
      <c r="R13" s="211"/>
      <c r="S13" s="211"/>
      <c r="T13" s="211"/>
    </row>
    <row s="2699" customFormat="1" customHeight="1" ht="10.5">
      <c r="B14" s="840"/>
      <c r="D14" s="168"/>
      <c r="K14" s="506"/>
      <c r="L14" s="506"/>
      <c r="M14" s="506"/>
      <c r="N14" s="506"/>
      <c r="O14" s="212"/>
      <c r="P14" s="506"/>
      <c r="Q14" s="211"/>
      <c r="R14" s="211"/>
      <c r="S14" s="211"/>
      <c r="T14" s="211"/>
    </row>
    <row s="2699" customFormat="1" customHeight="1" ht="10.5">
      <c r="B15" s="840"/>
      <c r="D15" s="168"/>
      <c r="K15" s="506"/>
      <c r="L15" s="506"/>
      <c r="M15" s="506"/>
      <c r="N15" s="506"/>
      <c r="O15" s="212"/>
      <c r="P15" s="506"/>
      <c r="Q15" s="211"/>
      <c r="R15" s="211"/>
      <c r="S15" s="211"/>
      <c r="T15" s="211"/>
    </row>
    <row r="19" customHeight="1" ht="14.25">
      <c r="G19" s="373"/>
      <c r="H19" s="373"/>
      <c r="I19" s="373"/>
    </row>
    <row r="23" customHeight="1" ht="14.25">
      <c r="K23" s="1163"/>
      <c r="L23" s="1163"/>
      <c r="M23" s="1163"/>
    </row>
  </sheetData>
  <sheetProtection formatColumns="0" formatRows="0" autoFilter="0" sort="0" insertRows="0" insertColumns="1" deleteRows="0" deleteColumns="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D3D461-9E01-8C68-408F-31EF718A4C5C}" mc:Ignorable="x14ac xr xr2 xr3">
  <sheetPr>
    <tabColor rgb="FFCCCCFF"/>
  </sheetPr>
  <dimension ref="A1:AR260"/>
  <sheetViews>
    <sheetView topLeftCell="A1" showGridLines="0" zoomScale="90" workbookViewId="0">
      <selection activeCell="N137" sqref="N137:N139"/>
    </sheetView>
  </sheetViews>
  <sheetFormatPr defaultColWidth="9.140625" customHeight="1" defaultRowHeight="11.25"/>
  <cols>
    <col min="1" max="2" style="2975" width="3.7109375" hidden="1" customWidth="1"/>
    <col min="3" max="3" style="2976" width="3.7109375" customWidth="1"/>
    <col min="4" max="4" style="2976" width="6.140625" customWidth="1"/>
    <col min="5" max="5" style="2976" width="43.140625" customWidth="1"/>
    <col min="6" max="6" style="2863" width="15.00390625" customWidth="1"/>
    <col min="7" max="7" style="2976" width="43.140625" customWidth="1"/>
    <col min="8" max="8" style="2976" width="3.7109375" customWidth="1"/>
    <col min="9" max="9" style="2976" width="5.421875" customWidth="1"/>
    <col min="10" max="10" style="2976" width="47.8515625" customWidth="1"/>
    <col min="11" max="12" style="2976" width="3.7109375" customWidth="1"/>
    <col min="13" max="13" style="2976" width="5.7109375" customWidth="1"/>
    <col min="14" max="14" style="2976" width="28.140625" customWidth="1"/>
    <col min="15" max="16" style="2976" width="3.7109375" customWidth="1"/>
    <col min="17" max="17" style="2976" width="5.7109375" customWidth="1"/>
    <col min="18" max="18" style="2976" width="34.421875" customWidth="1"/>
    <col min="19" max="20" style="2977" width="3.7109375" customWidth="1"/>
    <col min="21" max="21" style="2977" width="5.7109375" customWidth="1"/>
    <col min="22" max="22" style="2977" width="34.421875" customWidth="1"/>
    <col min="23" max="23" style="2976" width="30.7109375" customWidth="1"/>
    <col min="24" max="24" style="2976" width="3.7109375" customWidth="1"/>
    <col min="25" max="28" style="2811" width="9.8515625" hidden="1" customWidth="1"/>
    <col min="29" max="29" style="2811" width="27.00390625" hidden="1" customWidth="1"/>
    <col min="30" max="30" style="2811" width="10.57421875" hidden="1" customWidth="1"/>
    <col min="31" max="31" style="2811" width="10.7109375" hidden="1" customWidth="1"/>
    <col min="32" max="32" style="2811" width="10.00390625" hidden="1" customWidth="1"/>
    <col min="33" max="33" style="2811" width="12.8515625" hidden="1" customWidth="1"/>
    <col min="34" max="34" style="2811" width="10.28125" hidden="1" customWidth="1"/>
    <col min="35" max="35" style="2811" width="15.8515625" hidden="1" customWidth="1"/>
    <col min="36" max="36" style="2811" width="19.421875" hidden="1" customWidth="1"/>
    <col min="37" max="37" style="2811" width="11.00390625" hidden="1" customWidth="1"/>
    <col min="38" max="38" style="2811" width="23.57421875" hidden="1" customWidth="1"/>
    <col min="39" max="39" style="2811" width="23.8515625" hidden="1" customWidth="1"/>
    <col min="40" max="40" style="2811" width="25.28125" hidden="1" customWidth="1"/>
    <col min="41" max="41" style="2811" width="16.8515625" hidden="1" customWidth="1"/>
    <col min="42" max="42" style="2811" width="29.57421875" hidden="1" customWidth="1"/>
    <col min="43" max="43" style="2811" width="29.8515625" hidden="1" customWidth="1"/>
    <col min="44" max="44" style="2976" width="9.140625" hidden="1"/>
  </cols>
  <sheetData>
    <row customHeight="1" ht="11.25" hidden="1">
      <c r="A1" s="142"/>
    </row>
    <row customHeight="1" ht="11.25" hidden="1"/>
    <row customHeight="1" ht="11.25" hidden="1"/>
    <row customHeight="1" ht="3"/>
    <row s="2788" customFormat="1" customHeight="1" ht="29.25">
      <c r="A5" s="140"/>
      <c r="B5" s="140"/>
      <c r="D5" s="201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020"/>
      <c r="F5" s="2020"/>
      <c r="G5" s="2020"/>
      <c r="H5" s="2020"/>
      <c r="I5" s="2020"/>
      <c r="J5" s="2021"/>
      <c r="K5" s="251"/>
      <c r="L5" s="128"/>
      <c r="M5" s="128"/>
      <c r="N5" s="128"/>
      <c r="O5" s="128"/>
      <c r="P5" s="128"/>
      <c r="Q5" s="128"/>
      <c r="R5" s="128"/>
      <c r="S5" s="278"/>
      <c r="T5" s="278"/>
      <c r="U5" s="278"/>
      <c r="V5" s="278"/>
      <c r="W5" s="128"/>
      <c r="Y5" s="1289"/>
      <c r="Z5" s="1289"/>
      <c r="AA5" s="1289"/>
      <c r="AB5" s="1289"/>
      <c r="AC5" s="1289"/>
      <c r="AD5" s="1289"/>
      <c r="AE5" s="1289"/>
      <c r="AF5" s="1289"/>
      <c r="AG5" s="1289"/>
      <c r="AH5" s="1289"/>
      <c r="AI5" s="1289"/>
      <c r="AJ5" s="1289"/>
      <c r="AK5" s="1289"/>
      <c r="AL5" s="1289"/>
      <c r="AM5" s="1289"/>
      <c r="AN5" s="1289"/>
      <c r="AO5" s="1289"/>
      <c r="AP5" s="1289"/>
      <c r="AQ5" s="1289"/>
    </row>
    <row s="2708" customFormat="1" customHeight="1" ht="15">
      <c r="A6" s="591"/>
      <c r="B6" s="591"/>
      <c r="C6" s="591"/>
      <c r="D6" s="2025" t="str">
        <f>IF(org=0,"Не определено",org)</f>
        <v>АО "Мурманэнергосбыт"</v>
      </c>
      <c r="E6" s="2025"/>
      <c r="F6" s="2025"/>
      <c r="G6" s="2025"/>
      <c r="H6" s="2025"/>
      <c r="I6" s="2025"/>
      <c r="J6" s="2025"/>
      <c r="K6" s="592"/>
      <c r="L6" s="592"/>
      <c r="M6" s="592"/>
      <c r="N6" s="592"/>
      <c r="O6" s="876"/>
      <c r="P6" s="876"/>
      <c r="Q6" s="876"/>
      <c r="R6" s="876"/>
      <c r="S6" s="876"/>
      <c r="T6" s="876"/>
      <c r="U6" s="876"/>
      <c r="V6" s="876"/>
      <c r="W6" s="876"/>
      <c r="X6" s="592"/>
      <c r="Y6" s="1290"/>
      <c r="Z6" s="1290"/>
      <c r="AA6" s="1290"/>
      <c r="AB6" s="1290"/>
      <c r="AC6" s="1290"/>
      <c r="AD6" s="1290"/>
      <c r="AE6" s="1290"/>
      <c r="AF6" s="1290"/>
      <c r="AG6" s="1290"/>
      <c r="AH6" s="1290"/>
      <c r="AI6" s="1290"/>
      <c r="AJ6" s="1290"/>
      <c r="AK6" s="1290"/>
      <c r="AL6" s="1290"/>
      <c r="AM6" s="1290"/>
      <c r="AN6" s="1290"/>
      <c r="AO6" s="1290"/>
      <c r="AP6" s="1290"/>
      <c r="AQ6" s="1290"/>
    </row>
    <row s="2798" customFormat="1" customHeight="1" ht="11.25">
      <c r="A7" s="197"/>
      <c r="B7" s="197"/>
      <c r="D7" s="2022"/>
      <c r="E7" s="2023"/>
      <c r="F7" s="2023"/>
      <c r="G7" s="2023"/>
      <c r="H7" s="2023"/>
      <c r="I7" s="2023"/>
      <c r="J7" s="2024"/>
      <c r="S7" s="287"/>
      <c r="T7" s="287"/>
      <c r="U7" s="287"/>
      <c r="V7" s="287"/>
      <c r="Y7" s="1291"/>
      <c r="Z7" s="1291"/>
      <c r="AA7" s="1291"/>
      <c r="AB7" s="1291"/>
      <c r="AC7" s="1291"/>
      <c r="AD7" s="1291"/>
      <c r="AE7" s="1291"/>
      <c r="AF7" s="1291"/>
      <c r="AG7" s="1291"/>
      <c r="AH7" s="1291"/>
      <c r="AI7" s="1291"/>
      <c r="AJ7" s="1291"/>
      <c r="AK7" s="1291"/>
      <c r="AL7" s="1291"/>
      <c r="AM7" s="1291"/>
      <c r="AN7" s="1291"/>
      <c r="AO7" s="1291"/>
      <c r="AP7" s="1291"/>
      <c r="AQ7" s="1291"/>
    </row>
    <row s="2788" customFormat="1" customHeight="1" ht="0.75">
      <c r="A8" s="140"/>
      <c r="B8" s="140"/>
      <c r="D8" s="198"/>
      <c r="E8" s="198"/>
      <c r="F8" s="198"/>
      <c r="G8" s="198"/>
      <c r="H8" s="198"/>
      <c r="I8" s="198"/>
      <c r="J8" s="198"/>
      <c r="K8" s="198"/>
      <c r="L8" s="198"/>
      <c r="M8" s="198"/>
      <c r="N8" s="198"/>
      <c r="O8" s="198"/>
      <c r="P8" s="198"/>
      <c r="Q8" s="198"/>
      <c r="R8" s="198"/>
      <c r="S8" s="198"/>
      <c r="T8" s="198"/>
      <c r="U8" s="198"/>
      <c r="V8" s="198"/>
      <c r="W8" s="198"/>
      <c r="X8" s="118"/>
      <c r="Y8" s="1289"/>
      <c r="Z8" s="1289"/>
      <c r="AA8" s="1289"/>
      <c r="AB8" s="1289"/>
      <c r="AC8" s="1289"/>
      <c r="AD8" s="1289"/>
      <c r="AE8" s="1289"/>
      <c r="AF8" s="1289"/>
      <c r="AG8" s="1289"/>
      <c r="AH8" s="1289"/>
      <c r="AI8" s="1289"/>
      <c r="AJ8" s="1289"/>
      <c r="AK8" s="1289"/>
      <c r="AL8" s="1289"/>
      <c r="AM8" s="1289"/>
      <c r="AN8" s="1289"/>
      <c r="AO8" s="1289"/>
      <c r="AP8" s="1289"/>
      <c r="AQ8" s="1289"/>
    </row>
    <row customHeight="1" ht="27">
      <c r="D9" s="1971" t="s">
        <v>89</v>
      </c>
      <c r="E9" s="1955" t="s">
        <v>203</v>
      </c>
      <c r="F9" s="1957"/>
      <c r="G9" s="1971" t="s">
        <v>189</v>
      </c>
      <c r="H9" s="1971" t="s">
        <v>89</v>
      </c>
      <c r="I9" s="1971"/>
      <c r="J9" s="1971" t="s">
        <v>204</v>
      </c>
      <c r="K9" s="2026" t="s">
        <v>205</v>
      </c>
      <c r="L9" s="2026"/>
      <c r="M9" s="2026"/>
      <c r="N9" s="2026"/>
      <c r="O9" s="2026" t="s">
        <v>206</v>
      </c>
      <c r="P9" s="2026"/>
      <c r="Q9" s="2026"/>
      <c r="R9" s="2026"/>
      <c r="S9" s="2026" t="s">
        <v>207</v>
      </c>
      <c r="T9" s="2026"/>
      <c r="U9" s="2026"/>
      <c r="V9" s="2026"/>
      <c r="W9" s="1971" t="s">
        <v>208</v>
      </c>
    </row>
    <row customHeight="1" ht="30">
      <c r="D10" s="1971"/>
      <c r="E10" s="1314" t="s">
        <v>90</v>
      </c>
      <c r="F10" s="1314" t="s">
        <v>209</v>
      </c>
      <c r="G10" s="1971"/>
      <c r="H10" s="1971"/>
      <c r="I10" s="1971"/>
      <c r="J10" s="1971"/>
      <c r="K10" s="96" t="s">
        <v>192</v>
      </c>
      <c r="L10" s="1971" t="s">
        <v>89</v>
      </c>
      <c r="M10" s="1971"/>
      <c r="N10" s="96" t="s">
        <v>210</v>
      </c>
      <c r="O10" s="96" t="s">
        <v>192</v>
      </c>
      <c r="P10" s="1971" t="s">
        <v>89</v>
      </c>
      <c r="Q10" s="1971"/>
      <c r="R10" s="96" t="s">
        <v>210</v>
      </c>
      <c r="S10" s="271" t="s">
        <v>192</v>
      </c>
      <c r="T10" s="1971" t="s">
        <v>89</v>
      </c>
      <c r="U10" s="1971"/>
      <c r="V10" s="271" t="s">
        <v>90</v>
      </c>
      <c r="W10" s="1971"/>
      <c r="Z10" s="1288" t="s">
        <v>211</v>
      </c>
      <c r="AA10" s="1288" t="s">
        <v>212</v>
      </c>
      <c r="AB10" s="1288" t="s">
        <v>213</v>
      </c>
      <c r="AC10" s="1288" t="s">
        <v>214</v>
      </c>
      <c r="AD10" s="1288" t="s">
        <v>215</v>
      </c>
      <c r="AE10" s="1288" t="s">
        <v>216</v>
      </c>
      <c r="AF10" s="1288" t="s">
        <v>217</v>
      </c>
      <c r="AG10" s="1288" t="s">
        <v>218</v>
      </c>
      <c r="AH10" s="1288" t="s">
        <v>219</v>
      </c>
      <c r="AI10" s="1288" t="s">
        <v>220</v>
      </c>
      <c r="AJ10" s="1288" t="s">
        <v>221</v>
      </c>
      <c r="AK10" s="1288" t="s">
        <v>222</v>
      </c>
      <c r="AL10" s="1288" t="s">
        <v>223</v>
      </c>
      <c r="AM10" s="1288" t="s">
        <v>224</v>
      </c>
      <c r="AN10" s="1288" t="s">
        <v>225</v>
      </c>
      <c r="AO10" s="1288" t="s">
        <v>226</v>
      </c>
      <c r="AP10" s="1288" t="s">
        <v>227</v>
      </c>
      <c r="AQ10" s="1288" t="s">
        <v>228</v>
      </c>
    </row>
    <row s="2812" customFormat="1" customHeight="1" ht="12" hidden="1">
      <c r="D11" s="1268" t="s">
        <v>193</v>
      </c>
      <c r="E11" s="1268" t="s">
        <v>104</v>
      </c>
      <c r="F11" s="1268"/>
      <c r="G11" s="1268" t="s">
        <v>91</v>
      </c>
      <c r="H11" s="2018" t="s">
        <v>116</v>
      </c>
      <c r="I11" s="2018"/>
      <c r="J11" s="1268" t="s">
        <v>93</v>
      </c>
      <c r="K11" s="1268" t="s">
        <v>94</v>
      </c>
      <c r="L11" s="2018" t="s">
        <v>130</v>
      </c>
      <c r="M11" s="2018"/>
      <c r="N11" s="1268" t="s">
        <v>135</v>
      </c>
      <c r="O11" s="1268" t="s">
        <v>139</v>
      </c>
      <c r="P11" s="2018" t="s">
        <v>143</v>
      </c>
      <c r="Q11" s="2018"/>
      <c r="R11" s="1268" t="s">
        <v>148</v>
      </c>
      <c r="S11" s="1268" t="s">
        <v>143</v>
      </c>
      <c r="T11" s="2018" t="s">
        <v>148</v>
      </c>
      <c r="U11" s="2018"/>
      <c r="V11" s="1268" t="s">
        <v>152</v>
      </c>
      <c r="W11" s="1268" t="s">
        <v>157</v>
      </c>
      <c r="Y11" s="1288"/>
      <c r="Z11" s="1288"/>
      <c r="AA11" s="1288"/>
      <c r="AB11" s="1288"/>
      <c r="AC11" s="1288"/>
      <c r="AD11" s="1288"/>
      <c r="AE11" s="1288"/>
      <c r="AF11" s="1288"/>
      <c r="AG11" s="1288"/>
      <c r="AH11" s="1288"/>
      <c r="AI11" s="1288"/>
      <c r="AJ11" s="1288"/>
      <c r="AK11" s="1288"/>
      <c r="AL11" s="1288"/>
      <c r="AM11" s="1288"/>
      <c r="AN11" s="1288"/>
      <c r="AO11" s="1288"/>
      <c r="AP11" s="1288"/>
      <c r="AQ11" s="1288"/>
    </row>
    <row customHeight="1" ht="14.25" hidden="1">
      <c r="C12" s="195"/>
      <c r="D12" s="1312">
        <v>0</v>
      </c>
      <c r="E12" s="236"/>
      <c r="F12" s="236"/>
      <c r="G12" s="236"/>
      <c r="H12" s="237"/>
      <c r="I12" s="237"/>
      <c r="J12" s="144"/>
      <c r="K12" s="98"/>
      <c r="L12" s="144"/>
      <c r="M12" s="144"/>
      <c r="N12" s="238"/>
      <c r="O12" s="98"/>
      <c r="P12" s="144"/>
      <c r="Q12" s="144"/>
      <c r="R12" s="239"/>
      <c r="S12" s="272"/>
      <c r="T12" s="280"/>
      <c r="U12" s="280"/>
      <c r="V12" s="284"/>
      <c r="W12" s="98"/>
      <c r="X12" s="127"/>
    </row>
    <row s="2827" customFormat="1" customHeight="1" ht="17.25">
      <c r="A13" s="314"/>
      <c r="C13" s="195"/>
      <c r="D13" s="1991">
        <v>1</v>
      </c>
      <c r="E13" s="1993" t="s">
        <v>229</v>
      </c>
      <c r="F13" s="1995" t="s">
        <v>58</v>
      </c>
      <c r="G13" s="1993"/>
      <c r="H13" s="1998"/>
      <c r="I13" s="2000"/>
      <c r="J13" s="2002"/>
      <c r="K13" s="1989"/>
      <c r="L13" s="1989"/>
      <c r="M13" s="1989"/>
      <c r="N13" s="2005"/>
      <c r="O13" s="1989"/>
      <c r="P13" s="1989"/>
      <c r="Q13" s="1989"/>
      <c r="R13" s="2008"/>
      <c r="S13" s="1989"/>
      <c r="T13" s="1450"/>
      <c r="U13" s="1450"/>
      <c r="V13" s="1449"/>
      <c r="W13" s="1326"/>
      <c r="Y13" s="1296"/>
      <c r="Z13" s="1296"/>
      <c r="AA13" s="1296"/>
      <c r="AB13" s="1296"/>
      <c r="AC13" s="1296" t="s">
        <v>230</v>
      </c>
      <c r="AD13" s="1296" t="s">
        <v>231</v>
      </c>
      <c r="AE13" s="1296" t="s">
        <v>232</v>
      </c>
      <c r="AF13" s="1296" t="s">
        <v>233</v>
      </c>
      <c r="AG13" s="1296" t="s">
        <v>234</v>
      </c>
      <c r="AH13" s="129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96" t="str">
        <f>IF($G$13=0,"",$G$13)</f>
        <v/>
      </c>
      <c r="AJ13" s="1296" t="str">
        <f>IF($J$13=0,"",$J$13)</f>
        <v/>
      </c>
      <c r="AK13" s="1296" t="str">
        <f>IF($K$13="нет","без дифференциации",IF($N$13=0,"",$N$13))</f>
        <v/>
      </c>
      <c r="AL13" s="1296" t="str">
        <f>IF($O$13="нет","без дифференциации",IF($R$13=0,"",$R$13))</f>
        <v/>
      </c>
      <c r="AM13" s="1296" t="str">
        <f>IF($S$13="нет","без дифференциации",IF($V$13=0,"",$V$13))</f>
        <v/>
      </c>
      <c r="AN13" s="1296">
        <f>$I$13</f>
        <v>0</v>
      </c>
      <c r="AO13" s="1296" t="str">
        <f>$I$13&amp;"."&amp;$M$13</f>
        <v>.</v>
      </c>
      <c r="AP13" s="1296" t="str">
        <f>$I$13&amp;"."&amp;$M$13&amp;"."&amp;$Q$13</f>
        <v>..</v>
      </c>
      <c r="AQ13" s="1296" t="str">
        <f>$I$13&amp;"."&amp;$M$13&amp;"."&amp;$Q$13&amp;"."&amp;$U$13</f>
        <v>...</v>
      </c>
    </row>
    <row s="2827" customFormat="1" customHeight="1" ht="17.25">
      <c r="A14" s="314"/>
      <c r="C14" s="313"/>
      <c r="D14" s="1991"/>
      <c r="E14" s="1993"/>
      <c r="F14" s="1996"/>
      <c r="G14" s="1993"/>
      <c r="H14" s="1999"/>
      <c r="I14" s="2001"/>
      <c r="J14" s="2003"/>
      <c r="K14" s="1990"/>
      <c r="L14" s="1990"/>
      <c r="M14" s="1990"/>
      <c r="N14" s="2006"/>
      <c r="O14" s="1990"/>
      <c r="P14" s="1990"/>
      <c r="Q14" s="1990"/>
      <c r="R14" s="2007"/>
      <c r="S14" s="1990"/>
      <c r="T14" s="1327"/>
      <c r="U14" s="1327"/>
      <c r="V14" s="1327"/>
      <c r="W14" s="1328"/>
      <c r="Y14" s="1288"/>
      <c r="Z14" s="1288"/>
      <c r="AA14" s="1288"/>
      <c r="AB14" s="1288"/>
      <c r="AC14" s="1288"/>
      <c r="AD14" s="1288"/>
      <c r="AE14" s="1288"/>
      <c r="AF14" s="1288"/>
      <c r="AG14" s="1288"/>
      <c r="AH14" s="1288"/>
      <c r="AI14" s="1288"/>
      <c r="AJ14" s="1288"/>
      <c r="AK14" s="1288"/>
      <c r="AL14" s="1288"/>
      <c r="AM14" s="1288"/>
      <c r="AN14" s="1288"/>
      <c r="AO14" s="1288"/>
      <c r="AP14" s="1288"/>
      <c r="AQ14" s="1288"/>
    </row>
    <row s="2852" customFormat="1" customHeight="1" ht="17.25">
      <c r="A15" s="314"/>
      <c r="C15" s="195"/>
      <c r="D15" s="1991"/>
      <c r="E15" s="1993"/>
      <c r="F15" s="1996"/>
      <c r="G15" s="1993"/>
      <c r="H15" s="1999"/>
      <c r="I15" s="2001"/>
      <c r="J15" s="2004"/>
      <c r="K15" s="1990"/>
      <c r="L15" s="1990"/>
      <c r="M15" s="1990"/>
      <c r="N15" s="2007"/>
      <c r="O15" s="1990"/>
      <c r="P15" s="1448"/>
      <c r="Q15" s="1327"/>
      <c r="R15" s="1327"/>
      <c r="S15" s="325"/>
      <c r="T15" s="325"/>
      <c r="U15" s="325"/>
      <c r="V15" s="325"/>
      <c r="W15" s="1328"/>
      <c r="Y15" s="1296"/>
      <c r="Z15" s="1296"/>
      <c r="AA15" s="1296"/>
      <c r="AB15" s="1296"/>
      <c r="AC15" s="1296"/>
      <c r="AD15" s="1296"/>
      <c r="AE15" s="1296"/>
      <c r="AF15" s="1296"/>
      <c r="AG15" s="1296"/>
      <c r="AH15" s="1296"/>
      <c r="AI15" s="1296"/>
      <c r="AJ15" s="1296"/>
      <c r="AK15" s="1296"/>
      <c r="AL15" s="1296"/>
      <c r="AM15" s="1296"/>
      <c r="AN15" s="1296"/>
      <c r="AO15" s="1296"/>
      <c r="AP15" s="1296"/>
      <c r="AQ15" s="1296"/>
    </row>
    <row s="2852" customFormat="1" customHeight="1" ht="17.25">
      <c r="A16" s="314"/>
      <c r="C16" s="313"/>
      <c r="D16" s="1991"/>
      <c r="E16" s="1993"/>
      <c r="F16" s="1996"/>
      <c r="G16" s="1993"/>
      <c r="H16" s="1999"/>
      <c r="I16" s="2001"/>
      <c r="J16" s="2004"/>
      <c r="K16" s="1990"/>
      <c r="L16" s="1327"/>
      <c r="M16" s="1327"/>
      <c r="N16" s="1327"/>
      <c r="O16" s="1327"/>
      <c r="P16" s="1327"/>
      <c r="Q16" s="1327"/>
      <c r="R16" s="1327"/>
      <c r="S16" s="325"/>
      <c r="T16" s="325"/>
      <c r="U16" s="325"/>
      <c r="V16" s="325"/>
      <c r="W16" s="1328"/>
      <c r="Y16" s="1288"/>
      <c r="Z16" s="1288"/>
      <c r="AA16" s="1288"/>
      <c r="AB16" s="1288"/>
      <c r="AC16" s="1288"/>
      <c r="AD16" s="1288"/>
      <c r="AE16" s="1288"/>
      <c r="AF16" s="1288"/>
      <c r="AG16" s="1288"/>
      <c r="AH16" s="1288"/>
      <c r="AI16" s="1288"/>
      <c r="AJ16" s="1288"/>
      <c r="AK16" s="1288"/>
      <c r="AL16" s="1288"/>
      <c r="AM16" s="1288"/>
      <c r="AN16" s="1288"/>
      <c r="AO16" s="1288"/>
      <c r="AP16" s="1288"/>
      <c r="AQ16" s="1288"/>
    </row>
    <row s="2827" customFormat="1" customHeight="1" ht="17.25">
      <c r="A17" s="314"/>
      <c r="C17" s="313"/>
      <c r="D17" s="1992"/>
      <c r="E17" s="1994"/>
      <c r="F17" s="1997"/>
      <c r="G17" s="1994"/>
      <c r="H17" s="1329"/>
      <c r="I17" s="1330"/>
      <c r="J17" s="1330"/>
      <c r="K17" s="1330"/>
      <c r="L17" s="1330"/>
      <c r="M17" s="1330"/>
      <c r="N17" s="1330"/>
      <c r="O17" s="1330"/>
      <c r="P17" s="1330"/>
      <c r="Q17" s="1330"/>
      <c r="R17" s="1330"/>
      <c r="S17" s="1331"/>
      <c r="T17" s="1331"/>
      <c r="U17" s="1331"/>
      <c r="V17" s="1331"/>
      <c r="W17" s="1332"/>
      <c r="Y17" s="1288"/>
      <c r="Z17" s="1288"/>
      <c r="AA17" s="1288"/>
      <c r="AB17" s="1288"/>
      <c r="AC17" s="1288"/>
      <c r="AD17" s="1288"/>
      <c r="AE17" s="1288"/>
      <c r="AF17" s="1288"/>
      <c r="AG17" s="1288"/>
      <c r="AH17" s="1288"/>
      <c r="AI17" s="1288"/>
      <c r="AJ17" s="1288"/>
      <c r="AK17" s="1288"/>
      <c r="AL17" s="1288"/>
      <c r="AM17" s="1288"/>
      <c r="AN17" s="1288"/>
      <c r="AO17" s="1288"/>
      <c r="AP17" s="1288"/>
      <c r="AQ17" s="1288"/>
    </row>
    <row s="2863" customFormat="1" customHeight="1" ht="17.25">
      <c r="A18" s="314"/>
      <c r="C18" s="195"/>
      <c r="D18" s="1991">
        <v>2</v>
      </c>
      <c r="E18" s="1993" t="s">
        <v>235</v>
      </c>
      <c r="F18" s="1995" t="s">
        <v>58</v>
      </c>
      <c r="G18" s="1993"/>
      <c r="H18" s="1998"/>
      <c r="I18" s="2000"/>
      <c r="J18" s="2002"/>
      <c r="K18" s="1989"/>
      <c r="L18" s="1989"/>
      <c r="M18" s="1989"/>
      <c r="N18" s="2005"/>
      <c r="O18" s="1989"/>
      <c r="P18" s="1989"/>
      <c r="Q18" s="1989"/>
      <c r="R18" s="2008"/>
      <c r="S18" s="1989"/>
      <c r="T18" s="1450"/>
      <c r="U18" s="1450"/>
      <c r="V18" s="1449"/>
      <c r="W18" s="1326"/>
      <c r="X18" s="1296"/>
      <c r="Y18" s="1296"/>
      <c r="Z18" s="1296"/>
      <c r="AA18" s="1296"/>
      <c r="AB18" s="1296"/>
      <c r="AC18" s="1296" t="s">
        <v>236</v>
      </c>
      <c r="AD18" s="1296" t="s">
        <v>237</v>
      </c>
      <c r="AE18" s="1296" t="s">
        <v>238</v>
      </c>
      <c r="AF18" s="1296" t="s">
        <v>239</v>
      </c>
      <c r="AG18" s="1296" t="s">
        <v>240</v>
      </c>
      <c r="AH18"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8" s="1296" t="str">
        <f>IF($G$18=0,"",$G$18)</f>
        <v/>
      </c>
      <c r="AJ18" s="1296" t="str">
        <f>IF($J$18=0,"",$J$18)</f>
        <v/>
      </c>
      <c r="AK18" s="1296" t="str">
        <f>IF($K$18="нет","без дифференциации",IF($N$18=0,"",$N$18))</f>
        <v/>
      </c>
      <c r="AL18" s="1296" t="str">
        <f>IF($O$18="нет","без дифференциации",IF($R$18=0,"",$R$18))</f>
        <v/>
      </c>
      <c r="AM18" s="1296" t="str">
        <f>IF($S$18="нет","без дифференциации",IF($V$18=0,"",$V$18))</f>
        <v/>
      </c>
      <c r="AN18" s="1813">
        <f>$I$18</f>
        <v>0</v>
      </c>
      <c r="AO18" s="1296" t="str">
        <f>$I$18&amp;"."&amp;$M$18</f>
        <v>.</v>
      </c>
      <c r="AP18" s="1288" t="str">
        <f>$I$18&amp;"."&amp;$M$18&amp;"."&amp;$Q$18</f>
        <v>..</v>
      </c>
      <c r="AQ18" s="1288" t="str">
        <f>$I$18&amp;"."&amp;$M$18&amp;"."&amp;$Q$18&amp;"."&amp;$U$18</f>
        <v>...</v>
      </c>
    </row>
    <row s="2863" customFormat="1" customHeight="1" ht="17.25">
      <c r="A19" s="314"/>
      <c r="C19" s="313"/>
      <c r="D19" s="1991"/>
      <c r="E19" s="1993"/>
      <c r="F19" s="1996"/>
      <c r="G19" s="1993"/>
      <c r="H19" s="1999"/>
      <c r="I19" s="2001"/>
      <c r="J19" s="2003"/>
      <c r="K19" s="1990"/>
      <c r="L19" s="1990"/>
      <c r="M19" s="1990"/>
      <c r="N19" s="2006"/>
      <c r="O19" s="1990"/>
      <c r="P19" s="1990"/>
      <c r="Q19" s="1990"/>
      <c r="R19" s="2007"/>
      <c r="S19" s="1990"/>
      <c r="T19" s="1327"/>
      <c r="U19" s="1327"/>
      <c r="V19" s="1327"/>
      <c r="W19" s="1328"/>
      <c r="X19" s="1288"/>
      <c r="Y19" s="1288"/>
      <c r="Z19" s="1288"/>
      <c r="AA19" s="1288"/>
      <c r="AB19" s="1288"/>
      <c r="AC19" s="1288"/>
      <c r="AD19" s="1288"/>
      <c r="AE19" s="1288"/>
      <c r="AF19" s="1288"/>
      <c r="AG19" s="1288"/>
      <c r="AH19" s="1288"/>
      <c r="AI19" s="1288"/>
      <c r="AJ19" s="1288"/>
      <c r="AK19" s="1288"/>
      <c r="AL19" s="1288"/>
      <c r="AM19" s="1288"/>
      <c r="AN19" s="1288"/>
      <c r="AO19" s="1288"/>
      <c r="AP19" s="1288"/>
      <c r="AQ19" s="1288"/>
    </row>
    <row s="2863" customFormat="1" customHeight="1" ht="17.25">
      <c r="A20" s="314"/>
      <c r="C20" s="313"/>
      <c r="D20" s="1992"/>
      <c r="E20" s="1994"/>
      <c r="F20" s="1996"/>
      <c r="G20" s="1994"/>
      <c r="H20" s="1999"/>
      <c r="I20" s="2001"/>
      <c r="J20" s="2004"/>
      <c r="K20" s="1990"/>
      <c r="L20" s="1990"/>
      <c r="M20" s="1990"/>
      <c r="N20" s="2007"/>
      <c r="O20" s="1990"/>
      <c r="P20" s="1448"/>
      <c r="Q20" s="1327"/>
      <c r="R20" s="1327"/>
      <c r="S20" s="325"/>
      <c r="T20" s="325"/>
      <c r="U20" s="325"/>
      <c r="V20" s="325"/>
      <c r="W20" s="1328"/>
      <c r="X20" s="1288"/>
      <c r="Y20" s="1288"/>
      <c r="Z20" s="1288"/>
      <c r="AA20" s="1288"/>
      <c r="AB20" s="1288"/>
      <c r="AC20" s="1288"/>
      <c r="AD20" s="1288"/>
      <c r="AE20" s="1288"/>
      <c r="AF20" s="1288"/>
      <c r="AG20" s="1288"/>
      <c r="AH20" s="1288"/>
      <c r="AI20" s="1288"/>
      <c r="AJ20" s="1288"/>
      <c r="AK20" s="1288"/>
      <c r="AL20" s="1288"/>
      <c r="AM20" s="1288"/>
      <c r="AN20" s="1288"/>
      <c r="AO20" s="1288"/>
      <c r="AP20" s="1288"/>
      <c r="AQ20" s="1288"/>
    </row>
    <row s="2863" customFormat="1" customHeight="1" ht="17.25">
      <c r="A21" s="314"/>
      <c r="C21" s="313"/>
      <c r="D21" s="1992"/>
      <c r="E21" s="1994"/>
      <c r="F21" s="1996"/>
      <c r="G21" s="1994"/>
      <c r="H21" s="1999"/>
      <c r="I21" s="2001"/>
      <c r="J21" s="2004"/>
      <c r="K21" s="1990"/>
      <c r="L21" s="1327"/>
      <c r="M21" s="1327"/>
      <c r="N21" s="1327"/>
      <c r="O21" s="1327"/>
      <c r="P21" s="1327"/>
      <c r="Q21" s="1327"/>
      <c r="R21" s="1327"/>
      <c r="S21" s="325"/>
      <c r="T21" s="325"/>
      <c r="U21" s="325"/>
      <c r="V21" s="325"/>
      <c r="W21" s="1328"/>
      <c r="X21" s="1288"/>
      <c r="Y21" s="1288"/>
      <c r="Z21" s="1288"/>
      <c r="AA21" s="1288"/>
      <c r="AB21" s="1288"/>
      <c r="AC21" s="1288"/>
      <c r="AD21" s="1288"/>
      <c r="AE21" s="1288"/>
      <c r="AF21" s="1288"/>
      <c r="AG21" s="1288"/>
      <c r="AH21" s="1288"/>
      <c r="AI21" s="1288"/>
      <c r="AJ21" s="1288"/>
      <c r="AK21" s="1288"/>
      <c r="AL21" s="1288"/>
      <c r="AM21" s="1288"/>
      <c r="AN21" s="1288"/>
      <c r="AO21" s="1288"/>
      <c r="AP21" s="1288"/>
      <c r="AQ21" s="1288"/>
    </row>
    <row s="2863" customFormat="1" customHeight="1" ht="17.25">
      <c r="A22" s="314"/>
      <c r="C22" s="313"/>
      <c r="D22" s="1992"/>
      <c r="E22" s="1994"/>
      <c r="F22" s="1997"/>
      <c r="G22" s="1994"/>
      <c r="H22" s="1329"/>
      <c r="I22" s="1330"/>
      <c r="J22" s="1330"/>
      <c r="K22" s="1330"/>
      <c r="L22" s="1330"/>
      <c r="M22" s="1330"/>
      <c r="N22" s="1330"/>
      <c r="O22" s="1330"/>
      <c r="P22" s="1330"/>
      <c r="Q22" s="1330"/>
      <c r="R22" s="1330"/>
      <c r="S22" s="1331"/>
      <c r="T22" s="1331"/>
      <c r="U22" s="1331"/>
      <c r="V22" s="1331"/>
      <c r="W22" s="1332"/>
      <c r="X22" s="1288"/>
      <c r="Y22" s="1288"/>
      <c r="Z22" s="1288"/>
      <c r="AA22" s="1288"/>
      <c r="AB22" s="1288"/>
      <c r="AC22" s="1288"/>
      <c r="AD22" s="1288"/>
      <c r="AE22" s="1288"/>
      <c r="AF22" s="1288"/>
      <c r="AG22" s="1288"/>
      <c r="AH22" s="1288"/>
      <c r="AI22" s="1288"/>
      <c r="AJ22" s="1288"/>
      <c r="AK22" s="1288"/>
      <c r="AL22" s="1288"/>
      <c r="AM22" s="1288"/>
      <c r="AN22" s="1288"/>
      <c r="AO22" s="1288"/>
      <c r="AP22" s="1288"/>
      <c r="AQ22" s="1288"/>
    </row>
    <row s="2863" customFormat="1" customHeight="1" ht="17.25">
      <c r="A23" s="314"/>
      <c r="C23" s="195"/>
      <c r="D23" s="1991">
        <v>3</v>
      </c>
      <c r="E23" s="1993" t="s">
        <v>241</v>
      </c>
      <c r="F23" s="1995" t="s">
        <v>63</v>
      </c>
      <c r="G23" s="2865" t="str">
        <f>"Производство. Теплоноситель, Передача. Теплоноситель"&amp;", "&amp;INDEX(HEAT_PT_VED_NAME,MATCH(4190071,HEAT_PT_VED_ID,0))</f>
        <v>Производство. Теплоноситель, Передача. Теплоноситель, Сбыт. Теплоноситель</v>
      </c>
      <c r="H23" s="2866"/>
      <c r="I23" s="2866">
        <v>1</v>
      </c>
      <c r="J23" s="2867" t="s">
        <v>242</v>
      </c>
      <c r="K23" s="2868" t="s">
        <v>63</v>
      </c>
      <c r="L23" s="2869"/>
      <c r="M23" s="2869" t="s">
        <v>193</v>
      </c>
      <c r="N23" s="2870" t="str">
        <f>IF(Z23="","",INDEX(TERRITORY_MR_LIST,MATCH(Z23,TERRITORY_LIST_ID,0)))</f>
        <v>Территория 1</v>
      </c>
      <c r="O23" s="2868" t="s">
        <v>58</v>
      </c>
      <c r="P23" s="2869"/>
      <c r="Q23" s="2869" t="s">
        <v>193</v>
      </c>
      <c r="R23" s="2871" t="s">
        <v>24</v>
      </c>
      <c r="S23" s="2872" t="s">
        <v>63</v>
      </c>
      <c r="T23" s="2869"/>
      <c r="U23" s="2869" t="s">
        <v>193</v>
      </c>
      <c r="V23" s="2873" t="s">
        <v>243</v>
      </c>
      <c r="W23" s="2867"/>
      <c r="X23" s="1296"/>
      <c r="Y23" s="1296"/>
      <c r="Z23" s="1296" t="s">
        <v>99</v>
      </c>
      <c r="AA23" s="1296"/>
      <c r="AB23" s="1296" t="s">
        <v>244</v>
      </c>
      <c r="AC23" s="1296" t="s">
        <v>245</v>
      </c>
      <c r="AD23" s="1296" t="s">
        <v>246</v>
      </c>
      <c r="AE23" s="1296" t="s">
        <v>247</v>
      </c>
      <c r="AF23" s="1296" t="s">
        <v>248</v>
      </c>
      <c r="AG23" s="1296" t="s">
        <v>249</v>
      </c>
      <c r="AH23" s="1296" t="str">
        <f>IF($E$23=0,"",$E$23)</f>
        <v>Тарифы на теплоноситель, поставляемый теплоснабжающими организациями потребителям, другим теплоснабжающим организациям</v>
      </c>
      <c r="AI23" s="1296" t="str">
        <f>IF($G$23=0,"",$G$23)</f>
        <v>Производство. Теплоноситель, Передача. Теплоноситель, Сбыт. Теплоноситель</v>
      </c>
      <c r="AJ23" s="1296" t="str">
        <f>IF($J$23=0,"",$J$23)</f>
        <v>Тариф на теплоноситель, поставляемый потребителям</v>
      </c>
      <c r="AK23" s="1296" t="str">
        <f>IF($K$23="нет","без дифференциации",IF($N$23=0,"",$N$23))</f>
        <v>Территория 1</v>
      </c>
      <c r="AL23" s="1296" t="str">
        <f>IF($O$23="нет","без дифференциации",IF($R$23=0,"",$R$23))</f>
        <v>без дифференциации</v>
      </c>
      <c r="AM23" s="1296" t="str">
        <f>IF($S$23="нет","без дифференциации",IF($V$23=0,"",$V$23))</f>
        <v>г.о. город-герой Мурманск (с учетом транспортировки по сетям АО "Звездочка" филиал "35 СРЗ")</v>
      </c>
      <c r="AN23" s="1813">
        <f>$I$23</f>
        <v>1</v>
      </c>
      <c r="AO23" s="1296" t="str">
        <f>$I$23&amp;"."&amp;$M$23</f>
        <v>1.1</v>
      </c>
      <c r="AP23" s="1288" t="str">
        <f>$I$23&amp;"."&amp;$M$23&amp;"."&amp;$Q$23</f>
        <v>1.1.1</v>
      </c>
      <c r="AQ23" s="1288" t="str">
        <f>$I$23&amp;"."&amp;$M$23&amp;"."&amp;$Q$23&amp;"."&amp;$U$23</f>
        <v>1.1.1.1</v>
      </c>
    </row>
    <row customHeight="1" ht="17.25">
      <c r="A24" s="1881"/>
      <c r="B24" s="2875"/>
      <c r="C24" s="1883"/>
      <c r="D24" s="1871"/>
      <c r="E24" s="1888"/>
      <c r="F24" s="1825"/>
      <c r="G24" s="1889"/>
      <c r="H24" s="1796"/>
      <c r="I24" s="1796"/>
      <c r="J24" s="1797"/>
      <c r="K24" s="1889"/>
      <c r="L24" s="1796"/>
      <c r="M24" s="1796"/>
      <c r="N24" s="1889"/>
      <c r="O24" s="1889"/>
      <c r="P24" s="1796"/>
      <c r="Q24" s="1796"/>
      <c r="R24" s="1798"/>
      <c r="S24" s="1889"/>
      <c r="T24" s="1852" t="s">
        <v>105</v>
      </c>
      <c r="U24" s="1852" t="s">
        <v>104</v>
      </c>
      <c r="V24" s="1884" t="s">
        <v>250</v>
      </c>
      <c r="W24" s="1842"/>
      <c r="X24" s="2875"/>
      <c r="Y24" s="1296"/>
      <c r="Z24" s="1296"/>
      <c r="AA24" s="1296"/>
      <c r="AB24" s="1296"/>
      <c r="AC24" s="2887" t="s">
        <v>245</v>
      </c>
      <c r="AD24" s="2887" t="s">
        <v>246</v>
      </c>
      <c r="AE24" s="2887" t="s">
        <v>247</v>
      </c>
      <c r="AF24" s="2887" t="s">
        <v>248</v>
      </c>
      <c r="AG24" s="1296" t="s">
        <v>251</v>
      </c>
      <c r="AH24" s="1296" t="str">
        <f>IF($E$23=0,"",$E$23)</f>
        <v>Тарифы на теплоноситель, поставляемый теплоснабжающими организациями потребителям, другим теплоснабжающим организациям</v>
      </c>
      <c r="AI24" s="1296" t="str">
        <f>IF($G$23=0,"",$G$23)</f>
        <v>Производство. Теплоноситель, Передача. Теплоноситель, Сбыт. Теплоноситель</v>
      </c>
      <c r="AJ24" s="1296" t="str">
        <f>IF($J$23=0,"",$J$23)</f>
        <v>Тариф на теплоноситель, поставляемый потребителям</v>
      </c>
      <c r="AK24" s="1296" t="str">
        <f>IF($K$23="нет","без дифференциации",IF($N$23=0,"",$N$23))</f>
        <v>Территория 1</v>
      </c>
      <c r="AL24" s="1885" t="str">
        <f>IF($O$23="нет","без дифференциации",IF($R$23=0,"",$R$23))</f>
        <v>без дифференциации</v>
      </c>
      <c r="AM24" s="1885" t="str">
        <f>IF($S$24="нет","без дифференциации",IF($V$24=0,"",$V$24))</f>
        <v>г.о. город-герой Мурманск (кроме п.Росляково и без транспортировки по сетям АО "Звездочка" филиал "35 СРЗ")</v>
      </c>
      <c r="AN24" s="1296">
        <f>$I$23</f>
        <v>1</v>
      </c>
      <c r="AO24" s="1296" t="str">
        <f>$I$23&amp;"."&amp;$M$23</f>
        <v>1.1</v>
      </c>
      <c r="AP24" s="1296" t="str">
        <f>$I$23&amp;"."&amp;$M$23&amp;"."&amp;$Q$23</f>
        <v>1.1.1</v>
      </c>
      <c r="AQ24" s="1296" t="str">
        <f>$I$23&amp;"."&amp;$M$23&amp;"."&amp;$Q$23&amp;"."&amp;$U$24</f>
        <v>1.1.1.2</v>
      </c>
      <c r="AR24" s="2875"/>
    </row>
    <row customHeight="1" ht="17.25">
      <c r="A25" s="1881"/>
      <c r="B25" s="2875"/>
      <c r="C25" s="1883"/>
      <c r="D25" s="1871"/>
      <c r="E25" s="1888"/>
      <c r="F25" s="1825"/>
      <c r="G25" s="1889"/>
      <c r="H25" s="1796"/>
      <c r="I25" s="1796"/>
      <c r="J25" s="1797"/>
      <c r="K25" s="1889"/>
      <c r="L25" s="1796"/>
      <c r="M25" s="1796"/>
      <c r="N25" s="1889"/>
      <c r="O25" s="1889"/>
      <c r="P25" s="1796"/>
      <c r="Q25" s="1796"/>
      <c r="R25" s="1798"/>
      <c r="S25" s="1889"/>
      <c r="T25" s="1852" t="s">
        <v>105</v>
      </c>
      <c r="U25" s="1852" t="s">
        <v>91</v>
      </c>
      <c r="V25" s="1884" t="s">
        <v>252</v>
      </c>
      <c r="W25" s="1842"/>
      <c r="X25" s="2875"/>
      <c r="Y25" s="1296"/>
      <c r="Z25" s="1296"/>
      <c r="AA25" s="1296"/>
      <c r="AB25" s="1296"/>
      <c r="AC25" s="2887" t="s">
        <v>245</v>
      </c>
      <c r="AD25" s="2887" t="s">
        <v>246</v>
      </c>
      <c r="AE25" s="2887" t="s">
        <v>247</v>
      </c>
      <c r="AF25" s="2887" t="s">
        <v>248</v>
      </c>
      <c r="AG25" s="1296" t="s">
        <v>253</v>
      </c>
      <c r="AH25" s="1296" t="str">
        <f>IF($E$23=0,"",$E$23)</f>
        <v>Тарифы на теплоноситель, поставляемый теплоснабжающими организациями потребителям, другим теплоснабжающим организациям</v>
      </c>
      <c r="AI25" s="1296" t="str">
        <f>IF($G$23=0,"",$G$23)</f>
        <v>Производство. Теплоноситель, Передача. Теплоноситель, Сбыт. Теплоноситель</v>
      </c>
      <c r="AJ25" s="1296" t="str">
        <f>IF($J$23=0,"",$J$23)</f>
        <v>Тариф на теплоноситель, поставляемый потребителям</v>
      </c>
      <c r="AK25" s="1296" t="str">
        <f>IF($K$23="нет","без дифференциации",IF($N$23=0,"",$N$23))</f>
        <v>Территория 1</v>
      </c>
      <c r="AL25" s="1885" t="str">
        <f>IF($O$23="нет","без дифференциации",IF($R$23=0,"",$R$23))</f>
        <v>без дифференциации</v>
      </c>
      <c r="AM25" s="1885" t="str">
        <f>IF($S$25="нет","без дифференциации",IF($V$25=0,"",$V$25))</f>
        <v>г.о.город-герой Мурманск (п.Росляково)</v>
      </c>
      <c r="AN25" s="1296">
        <f>$I$23</f>
        <v>1</v>
      </c>
      <c r="AO25" s="1296" t="str">
        <f>$I$23&amp;"."&amp;$M$23</f>
        <v>1.1</v>
      </c>
      <c r="AP25" s="1296" t="str">
        <f>$I$23&amp;"."&amp;$M$23&amp;"."&amp;$Q$23</f>
        <v>1.1.1</v>
      </c>
      <c r="AQ25" s="1296" t="str">
        <f>$I$23&amp;"."&amp;$M$23&amp;"."&amp;$Q$23&amp;"."&amp;$U$25</f>
        <v>1.1.1.3</v>
      </c>
      <c r="AR25" s="2875"/>
    </row>
    <row s="2863" customFormat="1" customHeight="1" ht="17.25">
      <c r="A26" s="314"/>
      <c r="C26" s="313"/>
      <c r="D26" s="1991"/>
      <c r="E26" s="1993"/>
      <c r="F26" s="1996"/>
      <c r="G26" s="2865"/>
      <c r="H26" s="2866"/>
      <c r="I26" s="2866"/>
      <c r="J26" s="2867"/>
      <c r="K26" s="2889"/>
      <c r="L26" s="2869"/>
      <c r="M26" s="2869"/>
      <c r="N26" s="2870"/>
      <c r="O26" s="2889"/>
      <c r="P26" s="2869"/>
      <c r="Q26" s="2869"/>
      <c r="R26" s="2871" t="s">
        <v>24</v>
      </c>
      <c r="S26" s="2872"/>
      <c r="T26" s="2890"/>
      <c r="U26" s="2891"/>
      <c r="V26" s="2892" t="s">
        <v>254</v>
      </c>
      <c r="W26" s="2893"/>
      <c r="X26" s="1288"/>
      <c r="Y26" s="1288"/>
      <c r="Z26" s="1288"/>
      <c r="AA26" s="1288"/>
      <c r="AB26" s="1288"/>
      <c r="AC26" s="1288"/>
      <c r="AD26" s="1288"/>
      <c r="AE26" s="1288"/>
      <c r="AF26" s="1288"/>
      <c r="AG26" s="1288"/>
      <c r="AH26" s="1288"/>
      <c r="AI26" s="1288"/>
      <c r="AJ26" s="1288"/>
      <c r="AK26" s="1288"/>
      <c r="AL26" s="1288"/>
      <c r="AM26" s="1288"/>
      <c r="AN26" s="1288"/>
      <c r="AO26" s="1288"/>
      <c r="AP26" s="1288"/>
      <c r="AQ26" s="1288"/>
    </row>
    <row s="2863" customFormat="1" customHeight="1" ht="17.25">
      <c r="A27" s="314"/>
      <c r="C27" s="313"/>
      <c r="D27" s="1992"/>
      <c r="E27" s="1994"/>
      <c r="F27" s="1996"/>
      <c r="G27" s="2894"/>
      <c r="H27" s="2895"/>
      <c r="I27" s="2895"/>
      <c r="J27" s="2896"/>
      <c r="K27" s="2889"/>
      <c r="L27" s="2895"/>
      <c r="M27" s="2895"/>
      <c r="N27" s="2897"/>
      <c r="O27" s="2898"/>
      <c r="P27" s="2899"/>
      <c r="Q27" s="2900"/>
      <c r="R27" s="2901" t="s">
        <v>255</v>
      </c>
      <c r="S27" s="2902"/>
      <c r="T27" s="2903"/>
      <c r="U27" s="2904"/>
      <c r="V27" s="2905"/>
      <c r="W27" s="2906"/>
      <c r="X27" s="1288"/>
      <c r="Y27" s="1288"/>
      <c r="Z27" s="1288"/>
      <c r="AA27" s="1288"/>
      <c r="AB27" s="1288"/>
      <c r="AC27" s="1288"/>
      <c r="AD27" s="1288"/>
      <c r="AE27" s="1288"/>
      <c r="AF27" s="1288"/>
      <c r="AG27" s="1288"/>
      <c r="AH27" s="1288"/>
      <c r="AI27" s="1288"/>
      <c r="AJ27" s="1288"/>
      <c r="AK27" s="1288"/>
      <c r="AL27" s="1288"/>
      <c r="AM27" s="1288"/>
      <c r="AN27" s="1288"/>
      <c r="AO27" s="1288"/>
      <c r="AP27" s="1288"/>
      <c r="AQ27" s="1288"/>
    </row>
    <row customHeight="1" ht="17.25">
      <c r="A28" s="1881"/>
      <c r="B28" s="2875"/>
      <c r="C28" s="1883"/>
      <c r="D28" s="1871"/>
      <c r="E28" s="1888"/>
      <c r="F28" s="1825"/>
      <c r="G28" s="1889"/>
      <c r="H28" s="1871"/>
      <c r="I28" s="1871"/>
      <c r="J28" s="1890"/>
      <c r="K28" s="1800"/>
      <c r="L28" s="1982" t="s">
        <v>105</v>
      </c>
      <c r="M28" s="1982" t="s">
        <v>104</v>
      </c>
      <c r="N28" s="2387" t="str">
        <f>IF(Z28="","",INDEX(TERRITORY_MR_LIST,MATCH(Z28,TERRITORY_LIST_ID,0)))</f>
        <v>Территория 2</v>
      </c>
      <c r="O28" s="2044" t="s">
        <v>58</v>
      </c>
      <c r="P28" s="1982"/>
      <c r="Q28" s="1982" t="s">
        <v>193</v>
      </c>
      <c r="R28" s="2911" t="s">
        <v>24</v>
      </c>
      <c r="S28" s="1981" t="s">
        <v>58</v>
      </c>
      <c r="T28" s="1852"/>
      <c r="U28" s="1852" t="s">
        <v>193</v>
      </c>
      <c r="V28" s="2912" t="s">
        <v>24</v>
      </c>
      <c r="W28" s="1842"/>
      <c r="X28" s="2875"/>
      <c r="Y28" s="1296"/>
      <c r="Z28" s="1296" t="s">
        <v>106</v>
      </c>
      <c r="AA28" s="1296"/>
      <c r="AB28" s="1296"/>
      <c r="AC28" s="2887" t="s">
        <v>245</v>
      </c>
      <c r="AD28" s="2887" t="s">
        <v>246</v>
      </c>
      <c r="AE28" s="1296" t="s">
        <v>256</v>
      </c>
      <c r="AF28" s="1296" t="s">
        <v>257</v>
      </c>
      <c r="AG28" s="1296" t="s">
        <v>258</v>
      </c>
      <c r="AH28" s="1296" t="str">
        <f>IF($E$23=0,"",$E$23)</f>
        <v>Тарифы на теплоноситель, поставляемый теплоснабжающими организациями потребителям, другим теплоснабжающим организациям</v>
      </c>
      <c r="AI28" s="1296" t="str">
        <f>IF($G$23=0,"",$G$23)</f>
        <v>Производство. Теплоноситель, Передача. Теплоноситель, Сбыт. Теплоноситель</v>
      </c>
      <c r="AJ28" s="1296" t="str">
        <f>IF($J$23=0,"",$J$23)</f>
        <v>Тариф на теплоноситель, поставляемый потребителям</v>
      </c>
      <c r="AK28" s="1296" t="str">
        <f>IF($K$28="нет","без дифференциации",IF($N$28=0,"",$N$28))</f>
        <v>Территория 2</v>
      </c>
      <c r="AL28" s="1885" t="str">
        <f>IF($O$28="нет","без дифференциации",IF($R$28=0,"",$R$28))</f>
        <v>без дифференциации</v>
      </c>
      <c r="AM28" s="1885" t="str">
        <f>IF($S$28="нет","без дифференциации",IF($V$28=0,"",$V$28))</f>
        <v>без дифференциации</v>
      </c>
      <c r="AN28" s="1296">
        <f>$I$23</f>
        <v>1</v>
      </c>
      <c r="AO28" s="1296" t="str">
        <f>$I$23&amp;"."&amp;$M$28</f>
        <v>1.2</v>
      </c>
      <c r="AP28" s="1296" t="str">
        <f>$I$23&amp;"."&amp;$M$28&amp;"."&amp;$Q$28</f>
        <v>1.2.1</v>
      </c>
      <c r="AQ28" s="1296" t="str">
        <f>$I$23&amp;"."&amp;$M$28&amp;"."&amp;$Q$28&amp;"."&amp;$U$28</f>
        <v>1.2.1.1</v>
      </c>
      <c r="AR28" s="2875"/>
    </row>
    <row customHeight="1" ht="17.25">
      <c r="A29" s="1881"/>
      <c r="B29" s="2875"/>
      <c r="C29" s="1886"/>
      <c r="D29" s="1871"/>
      <c r="E29" s="1888"/>
      <c r="F29" s="1825"/>
      <c r="G29" s="1889"/>
      <c r="H29" s="1871"/>
      <c r="I29" s="1871"/>
      <c r="J29" s="1890"/>
      <c r="K29" s="1800"/>
      <c r="L29" s="1982"/>
      <c r="M29" s="1982"/>
      <c r="N29" s="2387"/>
      <c r="O29" s="2045"/>
      <c r="P29" s="1982"/>
      <c r="Q29" s="1982"/>
      <c r="R29" s="2911" t="s">
        <v>24</v>
      </c>
      <c r="S29" s="1981"/>
      <c r="T29" s="310"/>
      <c r="U29" s="311"/>
      <c r="V29" s="311" t="s">
        <v>254</v>
      </c>
      <c r="W29" s="312"/>
      <c r="X29" s="2875"/>
      <c r="Y29" s="1288"/>
      <c r="Z29" s="1288"/>
      <c r="AA29" s="1288"/>
      <c r="AB29" s="1288"/>
      <c r="AC29" s="1288"/>
      <c r="AD29" s="1288"/>
      <c r="AE29" s="1288"/>
      <c r="AF29" s="1288"/>
      <c r="AG29" s="1288"/>
      <c r="AH29" s="1288"/>
      <c r="AI29" s="1288"/>
      <c r="AJ29" s="1288"/>
      <c r="AK29" s="1288"/>
      <c r="AL29" s="2875"/>
      <c r="AM29" s="2875"/>
      <c r="AN29" s="2875"/>
      <c r="AO29" s="2875"/>
      <c r="AP29" s="2875"/>
      <c r="AQ29" s="2875"/>
      <c r="AR29" s="2875"/>
    </row>
    <row customHeight="1" ht="17.25">
      <c r="A30" s="1881"/>
      <c r="B30" s="2875"/>
      <c r="C30" s="1886"/>
      <c r="D30" s="1871"/>
      <c r="E30" s="1888"/>
      <c r="F30" s="1825"/>
      <c r="G30" s="1889"/>
      <c r="H30" s="1871"/>
      <c r="I30" s="1871"/>
      <c r="J30" s="1890"/>
      <c r="K30" s="1800"/>
      <c r="L30" s="2354"/>
      <c r="M30" s="2354"/>
      <c r="N30" s="2388"/>
      <c r="O30" s="1986"/>
      <c r="P30" s="310"/>
      <c r="Q30" s="311"/>
      <c r="R30" s="311" t="s">
        <v>255</v>
      </c>
      <c r="S30" s="1887"/>
      <c r="T30" s="1887"/>
      <c r="U30" s="1887"/>
      <c r="V30" s="1887"/>
      <c r="W30" s="312"/>
      <c r="X30" s="2875"/>
      <c r="Y30" s="1288"/>
      <c r="Z30" s="1288"/>
      <c r="AA30" s="1288"/>
      <c r="AB30" s="1288"/>
      <c r="AC30" s="1288"/>
      <c r="AD30" s="1288"/>
      <c r="AE30" s="1288"/>
      <c r="AF30" s="1288"/>
      <c r="AG30" s="1288"/>
      <c r="AH30" s="1288"/>
      <c r="AI30" s="1288"/>
      <c r="AJ30" s="1288"/>
      <c r="AK30" s="1288"/>
      <c r="AL30" s="2875"/>
      <c r="AM30" s="2875"/>
      <c r="AN30" s="2875"/>
      <c r="AO30" s="2875"/>
      <c r="AP30" s="2875"/>
      <c r="AQ30" s="2875"/>
      <c r="AR30" s="2875"/>
    </row>
    <row customHeight="1" ht="17.25">
      <c r="A31" s="1881"/>
      <c r="B31" s="2875"/>
      <c r="C31" s="1883"/>
      <c r="D31" s="1871"/>
      <c r="E31" s="1888"/>
      <c r="F31" s="1825"/>
      <c r="G31" s="1889"/>
      <c r="H31" s="1871"/>
      <c r="I31" s="1871"/>
      <c r="J31" s="1890"/>
      <c r="K31" s="1800"/>
      <c r="L31" s="1982" t="s">
        <v>105</v>
      </c>
      <c r="M31" s="1982" t="s">
        <v>91</v>
      </c>
      <c r="N31" s="2387" t="str">
        <f>IF(Z31="","",INDEX(TERRITORY_MR_LIST,MATCH(Z31,TERRITORY_LIST_ID,0)))</f>
        <v>Территория 3</v>
      </c>
      <c r="O31" s="2044" t="s">
        <v>58</v>
      </c>
      <c r="P31" s="1982"/>
      <c r="Q31" s="1982" t="s">
        <v>193</v>
      </c>
      <c r="R31" s="2911" t="s">
        <v>24</v>
      </c>
      <c r="S31" s="1981" t="s">
        <v>58</v>
      </c>
      <c r="T31" s="1852"/>
      <c r="U31" s="1852" t="s">
        <v>193</v>
      </c>
      <c r="V31" s="2912" t="s">
        <v>24</v>
      </c>
      <c r="W31" s="1842"/>
      <c r="X31" s="2875"/>
      <c r="Y31" s="1296"/>
      <c r="Z31" s="1296" t="s">
        <v>111</v>
      </c>
      <c r="AA31" s="1296"/>
      <c r="AB31" s="1296"/>
      <c r="AC31" s="2887" t="s">
        <v>245</v>
      </c>
      <c r="AD31" s="2887" t="s">
        <v>246</v>
      </c>
      <c r="AE31" s="1296" t="s">
        <v>259</v>
      </c>
      <c r="AF31" s="1296" t="s">
        <v>260</v>
      </c>
      <c r="AG31" s="1296" t="s">
        <v>261</v>
      </c>
      <c r="AH31" s="1296" t="str">
        <f>IF($E$23=0,"",$E$23)</f>
        <v>Тарифы на теплоноситель, поставляемый теплоснабжающими организациями потребителям, другим теплоснабжающим организациям</v>
      </c>
      <c r="AI31" s="1296" t="str">
        <f>IF($G$23=0,"",$G$23)</f>
        <v>Производство. Теплоноситель, Передача. Теплоноситель, Сбыт. Теплоноситель</v>
      </c>
      <c r="AJ31" s="1296" t="str">
        <f>IF($J$23=0,"",$J$23)</f>
        <v>Тариф на теплоноситель, поставляемый потребителям</v>
      </c>
      <c r="AK31" s="1296" t="str">
        <f>IF($K$31="нет","без дифференциации",IF($N$31=0,"",$N$31))</f>
        <v>Территория 3</v>
      </c>
      <c r="AL31" s="1885" t="str">
        <f>IF($O$31="нет","без дифференциации",IF($R$31=0,"",$R$31))</f>
        <v>без дифференциации</v>
      </c>
      <c r="AM31" s="1885" t="str">
        <f>IF($S$31="нет","без дифференциации",IF($V$31=0,"",$V$31))</f>
        <v>без дифференциации</v>
      </c>
      <c r="AN31" s="1296">
        <f>$I$23</f>
        <v>1</v>
      </c>
      <c r="AO31" s="1296" t="str">
        <f>$I$23&amp;"."&amp;$M$31</f>
        <v>1.3</v>
      </c>
      <c r="AP31" s="1296" t="str">
        <f>$I$23&amp;"."&amp;$M$31&amp;"."&amp;$Q$31</f>
        <v>1.3.1</v>
      </c>
      <c r="AQ31" s="1296" t="str">
        <f>$I$23&amp;"."&amp;$M$31&amp;"."&amp;$Q$31&amp;"."&amp;$U$31</f>
        <v>1.3.1.1</v>
      </c>
      <c r="AR31" s="2875"/>
    </row>
    <row customHeight="1" ht="17.25">
      <c r="A32" s="1881"/>
      <c r="B32" s="2875"/>
      <c r="C32" s="1886"/>
      <c r="D32" s="1871"/>
      <c r="E32" s="1888"/>
      <c r="F32" s="1825"/>
      <c r="G32" s="1889"/>
      <c r="H32" s="1871"/>
      <c r="I32" s="1871"/>
      <c r="J32" s="1890"/>
      <c r="K32" s="1800"/>
      <c r="L32" s="1982"/>
      <c r="M32" s="1982"/>
      <c r="N32" s="2387"/>
      <c r="O32" s="2045"/>
      <c r="P32" s="1982"/>
      <c r="Q32" s="1982"/>
      <c r="R32" s="2911" t="s">
        <v>24</v>
      </c>
      <c r="S32" s="1981"/>
      <c r="T32" s="310"/>
      <c r="U32" s="311"/>
      <c r="V32" s="311" t="s">
        <v>254</v>
      </c>
      <c r="W32" s="312"/>
      <c r="X32" s="2875"/>
      <c r="Y32" s="1288"/>
      <c r="Z32" s="1288"/>
      <c r="AA32" s="1288"/>
      <c r="AB32" s="1288"/>
      <c r="AC32" s="1288"/>
      <c r="AD32" s="1288"/>
      <c r="AE32" s="1288"/>
      <c r="AF32" s="1288"/>
      <c r="AG32" s="1288"/>
      <c r="AH32" s="1288"/>
      <c r="AI32" s="1288"/>
      <c r="AJ32" s="1288"/>
      <c r="AK32" s="1288"/>
      <c r="AL32" s="2875"/>
      <c r="AM32" s="2875"/>
      <c r="AN32" s="2875"/>
      <c r="AO32" s="2875"/>
      <c r="AP32" s="2875"/>
      <c r="AQ32" s="2875"/>
      <c r="AR32" s="2875"/>
    </row>
    <row customHeight="1" ht="17.25">
      <c r="A33" s="1881"/>
      <c r="B33" s="2875"/>
      <c r="C33" s="1886"/>
      <c r="D33" s="1871"/>
      <c r="E33" s="1888"/>
      <c r="F33" s="1825"/>
      <c r="G33" s="1889"/>
      <c r="H33" s="1871"/>
      <c r="I33" s="1871"/>
      <c r="J33" s="1890"/>
      <c r="K33" s="1800"/>
      <c r="L33" s="2354"/>
      <c r="M33" s="2354"/>
      <c r="N33" s="2388"/>
      <c r="O33" s="1986"/>
      <c r="P33" s="310"/>
      <c r="Q33" s="311"/>
      <c r="R33" s="311" t="s">
        <v>255</v>
      </c>
      <c r="S33" s="1887"/>
      <c r="T33" s="1887"/>
      <c r="U33" s="1887"/>
      <c r="V33" s="1887"/>
      <c r="W33" s="312"/>
      <c r="X33" s="2875"/>
      <c r="Y33" s="1288"/>
      <c r="Z33" s="1288"/>
      <c r="AA33" s="1288"/>
      <c r="AB33" s="1288"/>
      <c r="AC33" s="1288"/>
      <c r="AD33" s="1288"/>
      <c r="AE33" s="1288"/>
      <c r="AF33" s="1288"/>
      <c r="AG33" s="1288"/>
      <c r="AH33" s="1288"/>
      <c r="AI33" s="1288"/>
      <c r="AJ33" s="1288"/>
      <c r="AK33" s="1288"/>
      <c r="AL33" s="2875"/>
      <c r="AM33" s="2875"/>
      <c r="AN33" s="2875"/>
      <c r="AO33" s="2875"/>
      <c r="AP33" s="2875"/>
      <c r="AQ33" s="2875"/>
      <c r="AR33" s="2875"/>
    </row>
    <row customHeight="1" ht="17.25">
      <c r="A34" s="1881"/>
      <c r="B34" s="2875"/>
      <c r="C34" s="1883"/>
      <c r="D34" s="1871"/>
      <c r="E34" s="1888"/>
      <c r="F34" s="1825"/>
      <c r="G34" s="1889"/>
      <c r="H34" s="1871"/>
      <c r="I34" s="1871"/>
      <c r="J34" s="1890"/>
      <c r="K34" s="1800"/>
      <c r="L34" s="1982" t="s">
        <v>105</v>
      </c>
      <c r="M34" s="1982" t="s">
        <v>92</v>
      </c>
      <c r="N34" s="2387" t="str">
        <f>IF(Z34="","",INDEX(TERRITORY_MR_LIST,MATCH(Z34,TERRITORY_LIST_ID,0)))</f>
        <v>Территория 4</v>
      </c>
      <c r="O34" s="2044" t="s">
        <v>58</v>
      </c>
      <c r="P34" s="1982"/>
      <c r="Q34" s="1982" t="s">
        <v>193</v>
      </c>
      <c r="R34" s="2911" t="s">
        <v>24</v>
      </c>
      <c r="S34" s="1981" t="s">
        <v>58</v>
      </c>
      <c r="T34" s="1852"/>
      <c r="U34" s="1852" t="s">
        <v>193</v>
      </c>
      <c r="V34" s="2912" t="s">
        <v>24</v>
      </c>
      <c r="W34" s="1842"/>
      <c r="X34" s="2875"/>
      <c r="Y34" s="1296"/>
      <c r="Z34" s="1296" t="s">
        <v>115</v>
      </c>
      <c r="AA34" s="1296"/>
      <c r="AB34" s="1296"/>
      <c r="AC34" s="2887" t="s">
        <v>245</v>
      </c>
      <c r="AD34" s="2887" t="s">
        <v>246</v>
      </c>
      <c r="AE34" s="1296" t="s">
        <v>262</v>
      </c>
      <c r="AF34" s="1296" t="s">
        <v>263</v>
      </c>
      <c r="AG34" s="1296" t="s">
        <v>264</v>
      </c>
      <c r="AH34" s="1296" t="str">
        <f>IF($E$23=0,"",$E$23)</f>
        <v>Тарифы на теплоноситель, поставляемый теплоснабжающими организациями потребителям, другим теплоснабжающим организациям</v>
      </c>
      <c r="AI34" s="1296" t="str">
        <f>IF($G$23=0,"",$G$23)</f>
        <v>Производство. Теплоноситель, Передача. Теплоноситель, Сбыт. Теплоноситель</v>
      </c>
      <c r="AJ34" s="1296" t="str">
        <f>IF($J$23=0,"",$J$23)</f>
        <v>Тариф на теплоноситель, поставляемый потребителям</v>
      </c>
      <c r="AK34" s="1296" t="str">
        <f>IF($K$34="нет","без дифференциации",IF($N$34=0,"",$N$34))</f>
        <v>Территория 4</v>
      </c>
      <c r="AL34" s="1885" t="str">
        <f>IF($O$34="нет","без дифференциации",IF($R$34=0,"",$R$34))</f>
        <v>без дифференциации</v>
      </c>
      <c r="AM34" s="1885" t="str">
        <f>IF($S$34="нет","без дифференциации",IF($V$34=0,"",$V$34))</f>
        <v>без дифференциации</v>
      </c>
      <c r="AN34" s="1296">
        <f>$I$23</f>
        <v>1</v>
      </c>
      <c r="AO34" s="1296" t="str">
        <f>$I$23&amp;"."&amp;$M$34</f>
        <v>1.4</v>
      </c>
      <c r="AP34" s="1296" t="str">
        <f>$I$23&amp;"."&amp;$M$34&amp;"."&amp;$Q$34</f>
        <v>1.4.1</v>
      </c>
      <c r="AQ34" s="1296" t="str">
        <f>$I$23&amp;"."&amp;$M$34&amp;"."&amp;$Q$34&amp;"."&amp;$U$34</f>
        <v>1.4.1.1</v>
      </c>
      <c r="AR34" s="2875"/>
    </row>
    <row customHeight="1" ht="17.25">
      <c r="A35" s="1881"/>
      <c r="B35" s="2875"/>
      <c r="C35" s="1886"/>
      <c r="D35" s="1871"/>
      <c r="E35" s="1888"/>
      <c r="F35" s="1825"/>
      <c r="G35" s="1889"/>
      <c r="H35" s="1871"/>
      <c r="I35" s="1871"/>
      <c r="J35" s="1890"/>
      <c r="K35" s="1800"/>
      <c r="L35" s="1982"/>
      <c r="M35" s="1982"/>
      <c r="N35" s="2387"/>
      <c r="O35" s="2045"/>
      <c r="P35" s="1982"/>
      <c r="Q35" s="1982"/>
      <c r="R35" s="2911" t="s">
        <v>24</v>
      </c>
      <c r="S35" s="1981"/>
      <c r="T35" s="310"/>
      <c r="U35" s="311"/>
      <c r="V35" s="311" t="s">
        <v>254</v>
      </c>
      <c r="W35" s="312"/>
      <c r="X35" s="2875"/>
      <c r="Y35" s="1288"/>
      <c r="Z35" s="1288"/>
      <c r="AA35" s="1288"/>
      <c r="AB35" s="1288"/>
      <c r="AC35" s="1288"/>
      <c r="AD35" s="1288"/>
      <c r="AE35" s="1288"/>
      <c r="AF35" s="1288"/>
      <c r="AG35" s="1288"/>
      <c r="AH35" s="1288"/>
      <c r="AI35" s="1288"/>
      <c r="AJ35" s="1288"/>
      <c r="AK35" s="1288"/>
      <c r="AL35" s="2875"/>
      <c r="AM35" s="2875"/>
      <c r="AN35" s="2875"/>
      <c r="AO35" s="2875"/>
      <c r="AP35" s="2875"/>
      <c r="AQ35" s="2875"/>
      <c r="AR35" s="2875"/>
    </row>
    <row customHeight="1" ht="17.25">
      <c r="A36" s="1881"/>
      <c r="B36" s="2875"/>
      <c r="C36" s="1886"/>
      <c r="D36" s="1871"/>
      <c r="E36" s="1888"/>
      <c r="F36" s="1825"/>
      <c r="G36" s="1889"/>
      <c r="H36" s="1871"/>
      <c r="I36" s="1871"/>
      <c r="J36" s="1890"/>
      <c r="K36" s="1800"/>
      <c r="L36" s="2354"/>
      <c r="M36" s="2354"/>
      <c r="N36" s="2388"/>
      <c r="O36" s="1986"/>
      <c r="P36" s="310"/>
      <c r="Q36" s="311"/>
      <c r="R36" s="311" t="s">
        <v>255</v>
      </c>
      <c r="S36" s="1887"/>
      <c r="T36" s="1887"/>
      <c r="U36" s="1887"/>
      <c r="V36" s="1887"/>
      <c r="W36" s="312"/>
      <c r="X36" s="2875"/>
      <c r="Y36" s="1288"/>
      <c r="Z36" s="1288"/>
      <c r="AA36" s="1288"/>
      <c r="AB36" s="1288"/>
      <c r="AC36" s="1288"/>
      <c r="AD36" s="1288"/>
      <c r="AE36" s="1288"/>
      <c r="AF36" s="1288"/>
      <c r="AG36" s="1288"/>
      <c r="AH36" s="1288"/>
      <c r="AI36" s="1288"/>
      <c r="AJ36" s="1288"/>
      <c r="AK36" s="1288"/>
      <c r="AL36" s="2875"/>
      <c r="AM36" s="2875"/>
      <c r="AN36" s="2875"/>
      <c r="AO36" s="2875"/>
      <c r="AP36" s="2875"/>
      <c r="AQ36" s="2875"/>
      <c r="AR36" s="2875"/>
    </row>
    <row customHeight="1" ht="17.25">
      <c r="A37" s="1881"/>
      <c r="B37" s="2875"/>
      <c r="C37" s="1883"/>
      <c r="D37" s="1871"/>
      <c r="E37" s="1888"/>
      <c r="F37" s="1825"/>
      <c r="G37" s="1889"/>
      <c r="H37" s="1871"/>
      <c r="I37" s="1871"/>
      <c r="J37" s="1890"/>
      <c r="K37" s="1800"/>
      <c r="L37" s="1982" t="s">
        <v>105</v>
      </c>
      <c r="M37" s="1982" t="s">
        <v>116</v>
      </c>
      <c r="N37" s="2387" t="str">
        <f>IF(Z37="","",INDEX(TERRITORY_MR_LIST,MATCH(Z37,TERRITORY_LIST_ID,0)))</f>
        <v>Территория 5</v>
      </c>
      <c r="O37" s="2044" t="s">
        <v>58</v>
      </c>
      <c r="P37" s="1982"/>
      <c r="Q37" s="1982" t="s">
        <v>193</v>
      </c>
      <c r="R37" s="2911" t="s">
        <v>24</v>
      </c>
      <c r="S37" s="1981" t="s">
        <v>58</v>
      </c>
      <c r="T37" s="1852"/>
      <c r="U37" s="1852" t="s">
        <v>193</v>
      </c>
      <c r="V37" s="2912" t="s">
        <v>24</v>
      </c>
      <c r="W37" s="1842"/>
      <c r="X37" s="2875"/>
      <c r="Y37" s="1296"/>
      <c r="Z37" s="1296" t="s">
        <v>117</v>
      </c>
      <c r="AA37" s="1296"/>
      <c r="AB37" s="1296"/>
      <c r="AC37" s="2887" t="s">
        <v>245</v>
      </c>
      <c r="AD37" s="2887" t="s">
        <v>246</v>
      </c>
      <c r="AE37" s="1296" t="s">
        <v>265</v>
      </c>
      <c r="AF37" s="1296" t="s">
        <v>266</v>
      </c>
      <c r="AG37" s="1296" t="s">
        <v>267</v>
      </c>
      <c r="AH37" s="1296" t="str">
        <f>IF($E$23=0,"",$E$23)</f>
        <v>Тарифы на теплоноситель, поставляемый теплоснабжающими организациями потребителям, другим теплоснабжающим организациям</v>
      </c>
      <c r="AI37" s="1296" t="str">
        <f>IF($G$23=0,"",$G$23)</f>
        <v>Производство. Теплоноситель, Передача. Теплоноситель, Сбыт. Теплоноситель</v>
      </c>
      <c r="AJ37" s="1296" t="str">
        <f>IF($J$23=0,"",$J$23)</f>
        <v>Тариф на теплоноситель, поставляемый потребителям</v>
      </c>
      <c r="AK37" s="1296" t="str">
        <f>IF($K$37="нет","без дифференциации",IF($N$37=0,"",$N$37))</f>
        <v>Территория 5</v>
      </c>
      <c r="AL37" s="1885" t="str">
        <f>IF($O$37="нет","без дифференциации",IF($R$37=0,"",$R$37))</f>
        <v>без дифференциации</v>
      </c>
      <c r="AM37" s="1885" t="str">
        <f>IF($S$37="нет","без дифференциации",IF($V$37=0,"",$V$37))</f>
        <v>без дифференциации</v>
      </c>
      <c r="AN37" s="1296">
        <f>$I$23</f>
        <v>1</v>
      </c>
      <c r="AO37" s="1296" t="str">
        <f>$I$23&amp;"."&amp;$M$37</f>
        <v>1.5</v>
      </c>
      <c r="AP37" s="1296" t="str">
        <f>$I$23&amp;"."&amp;$M$37&amp;"."&amp;$Q$37</f>
        <v>1.5.1</v>
      </c>
      <c r="AQ37" s="1296" t="str">
        <f>$I$23&amp;"."&amp;$M$37&amp;"."&amp;$Q$37&amp;"."&amp;$U$37</f>
        <v>1.5.1.1</v>
      </c>
      <c r="AR37" s="2875"/>
    </row>
    <row customHeight="1" ht="17.25">
      <c r="A38" s="1881"/>
      <c r="B38" s="2875"/>
      <c r="C38" s="1886"/>
      <c r="D38" s="1871"/>
      <c r="E38" s="1888"/>
      <c r="F38" s="1825"/>
      <c r="G38" s="1889"/>
      <c r="H38" s="1871"/>
      <c r="I38" s="1871"/>
      <c r="J38" s="1890"/>
      <c r="K38" s="1800"/>
      <c r="L38" s="1982"/>
      <c r="M38" s="1982"/>
      <c r="N38" s="2387"/>
      <c r="O38" s="2045"/>
      <c r="P38" s="1982"/>
      <c r="Q38" s="1982"/>
      <c r="R38" s="2911" t="s">
        <v>24</v>
      </c>
      <c r="S38" s="1981"/>
      <c r="T38" s="310"/>
      <c r="U38" s="311"/>
      <c r="V38" s="311" t="s">
        <v>254</v>
      </c>
      <c r="W38" s="312"/>
      <c r="X38" s="2875"/>
      <c r="Y38" s="1288"/>
      <c r="Z38" s="1288"/>
      <c r="AA38" s="1288"/>
      <c r="AB38" s="1288"/>
      <c r="AC38" s="1288"/>
      <c r="AD38" s="1288"/>
      <c r="AE38" s="1288"/>
      <c r="AF38" s="1288"/>
      <c r="AG38" s="1288"/>
      <c r="AH38" s="1288"/>
      <c r="AI38" s="1288"/>
      <c r="AJ38" s="1288"/>
      <c r="AK38" s="1288"/>
      <c r="AL38" s="2875"/>
      <c r="AM38" s="2875"/>
      <c r="AN38" s="2875"/>
      <c r="AO38" s="2875"/>
      <c r="AP38" s="2875"/>
      <c r="AQ38" s="2875"/>
      <c r="AR38" s="2875"/>
    </row>
    <row customHeight="1" ht="17.25">
      <c r="A39" s="1881"/>
      <c r="B39" s="2875"/>
      <c r="C39" s="1886"/>
      <c r="D39" s="1871"/>
      <c r="E39" s="1888"/>
      <c r="F39" s="1825"/>
      <c r="G39" s="1889"/>
      <c r="H39" s="1871"/>
      <c r="I39" s="1871"/>
      <c r="J39" s="1890"/>
      <c r="K39" s="1800"/>
      <c r="L39" s="2354"/>
      <c r="M39" s="2354"/>
      <c r="N39" s="2388"/>
      <c r="O39" s="1986"/>
      <c r="P39" s="310"/>
      <c r="Q39" s="311"/>
      <c r="R39" s="311" t="s">
        <v>255</v>
      </c>
      <c r="S39" s="1887"/>
      <c r="T39" s="1887"/>
      <c r="U39" s="1887"/>
      <c r="V39" s="1887"/>
      <c r="W39" s="312"/>
      <c r="X39" s="2875"/>
      <c r="Y39" s="1288"/>
      <c r="Z39" s="1288"/>
      <c r="AA39" s="1288"/>
      <c r="AB39" s="1288"/>
      <c r="AC39" s="1288"/>
      <c r="AD39" s="1288"/>
      <c r="AE39" s="1288"/>
      <c r="AF39" s="1288"/>
      <c r="AG39" s="1288"/>
      <c r="AH39" s="1288"/>
      <c r="AI39" s="1288"/>
      <c r="AJ39" s="1288"/>
      <c r="AK39" s="1288"/>
      <c r="AL39" s="2875"/>
      <c r="AM39" s="2875"/>
      <c r="AN39" s="2875"/>
      <c r="AO39" s="2875"/>
      <c r="AP39" s="2875"/>
      <c r="AQ39" s="2875"/>
      <c r="AR39" s="2875"/>
    </row>
    <row customHeight="1" ht="17.25">
      <c r="A40" s="1881"/>
      <c r="B40" s="2875"/>
      <c r="C40" s="1883"/>
      <c r="D40" s="1871"/>
      <c r="E40" s="1888"/>
      <c r="F40" s="1825"/>
      <c r="G40" s="1889"/>
      <c r="H40" s="1871"/>
      <c r="I40" s="1871"/>
      <c r="J40" s="1890"/>
      <c r="K40" s="1800"/>
      <c r="L40" s="1982" t="s">
        <v>105</v>
      </c>
      <c r="M40" s="1982" t="s">
        <v>93</v>
      </c>
      <c r="N40" s="2387" t="str">
        <f>IF(Z40="","",INDEX(TERRITORY_MR_LIST,MATCH(Z40,TERRITORY_LIST_ID,0)))</f>
        <v>Территория 6</v>
      </c>
      <c r="O40" s="2044" t="s">
        <v>58</v>
      </c>
      <c r="P40" s="1982"/>
      <c r="Q40" s="1982" t="s">
        <v>193</v>
      </c>
      <c r="R40" s="2911" t="s">
        <v>24</v>
      </c>
      <c r="S40" s="1981" t="s">
        <v>63</v>
      </c>
      <c r="T40" s="1852"/>
      <c r="U40" s="1852" t="s">
        <v>193</v>
      </c>
      <c r="V40" s="1884" t="s">
        <v>268</v>
      </c>
      <c r="W40" s="1842"/>
      <c r="X40" s="2875"/>
      <c r="Y40" s="1296"/>
      <c r="Z40" s="1296" t="s">
        <v>121</v>
      </c>
      <c r="AA40" s="1296"/>
      <c r="AB40" s="1296"/>
      <c r="AC40" s="2887" t="s">
        <v>245</v>
      </c>
      <c r="AD40" s="2887" t="s">
        <v>246</v>
      </c>
      <c r="AE40" s="1296" t="s">
        <v>269</v>
      </c>
      <c r="AF40" s="1296" t="s">
        <v>270</v>
      </c>
      <c r="AG40" s="1296" t="s">
        <v>271</v>
      </c>
      <c r="AH40" s="1296" t="str">
        <f>IF($E$23=0,"",$E$23)</f>
        <v>Тарифы на теплоноситель, поставляемый теплоснабжающими организациями потребителям, другим теплоснабжающим организациям</v>
      </c>
      <c r="AI40" s="1296" t="str">
        <f>IF($G$23=0,"",$G$23)</f>
        <v>Производство. Теплоноситель, Передача. Теплоноситель, Сбыт. Теплоноситель</v>
      </c>
      <c r="AJ40" s="1296" t="str">
        <f>IF($J$23=0,"",$J$23)</f>
        <v>Тариф на теплоноситель, поставляемый потребителям</v>
      </c>
      <c r="AK40" s="1296" t="str">
        <f>IF($K$40="нет","без дифференциации",IF($N$40=0,"",$N$40))</f>
        <v>Территория 6</v>
      </c>
      <c r="AL40" s="1885" t="str">
        <f>IF($O$40="нет","без дифференциации",IF($R$40=0,"",$R$40))</f>
        <v>без дифференциации</v>
      </c>
      <c r="AM40" s="1885" t="str">
        <f>IF($S$40="нет","без дифференциации",IF($V$40=0,"",$V$40))</f>
        <v>г.п. Кильдинстрой, н.п.Шонгуй</v>
      </c>
      <c r="AN40" s="1296">
        <f>$I$23</f>
        <v>1</v>
      </c>
      <c r="AO40" s="1296" t="str">
        <f>$I$23&amp;"."&amp;$M$40</f>
        <v>1.6</v>
      </c>
      <c r="AP40" s="1296" t="str">
        <f>$I$23&amp;"."&amp;$M$40&amp;"."&amp;$Q$40</f>
        <v>1.6.1</v>
      </c>
      <c r="AQ40" s="1296" t="str">
        <f>$I$23&amp;"."&amp;$M$40&amp;"."&amp;$Q$40&amp;"."&amp;$U$40</f>
        <v>1.6.1.1</v>
      </c>
      <c r="AR40" s="2875"/>
    </row>
    <row customHeight="1" ht="17.25">
      <c r="A41" s="1881"/>
      <c r="B41" s="2875"/>
      <c r="C41" s="1886"/>
      <c r="D41" s="1871"/>
      <c r="E41" s="1888"/>
      <c r="F41" s="1825"/>
      <c r="G41" s="1889"/>
      <c r="H41" s="1871"/>
      <c r="I41" s="1871"/>
      <c r="J41" s="1890"/>
      <c r="K41" s="1800"/>
      <c r="L41" s="1982"/>
      <c r="M41" s="1982"/>
      <c r="N41" s="2387"/>
      <c r="O41" s="2045"/>
      <c r="P41" s="1982"/>
      <c r="Q41" s="1982"/>
      <c r="R41" s="2911" t="s">
        <v>24</v>
      </c>
      <c r="S41" s="1981"/>
      <c r="T41" s="310"/>
      <c r="U41" s="311"/>
      <c r="V41" s="311" t="s">
        <v>254</v>
      </c>
      <c r="W41" s="312"/>
      <c r="X41" s="2875"/>
      <c r="Y41" s="1288"/>
      <c r="Z41" s="1288"/>
      <c r="AA41" s="1288"/>
      <c r="AB41" s="1288"/>
      <c r="AC41" s="1288"/>
      <c r="AD41" s="1288"/>
      <c r="AE41" s="1288"/>
      <c r="AF41" s="1288"/>
      <c r="AG41" s="1288"/>
      <c r="AH41" s="1288"/>
      <c r="AI41" s="1288"/>
      <c r="AJ41" s="1288"/>
      <c r="AK41" s="1288"/>
      <c r="AL41" s="2875"/>
      <c r="AM41" s="2875"/>
      <c r="AN41" s="2875"/>
      <c r="AO41" s="2875"/>
      <c r="AP41" s="2875"/>
      <c r="AQ41" s="2875"/>
      <c r="AR41" s="2875"/>
    </row>
    <row customHeight="1" ht="17.25">
      <c r="A42" s="1881"/>
      <c r="B42" s="2875"/>
      <c r="C42" s="1886"/>
      <c r="D42" s="1871"/>
      <c r="E42" s="1888"/>
      <c r="F42" s="1825"/>
      <c r="G42" s="1889"/>
      <c r="H42" s="1871"/>
      <c r="I42" s="1871"/>
      <c r="J42" s="1890"/>
      <c r="K42" s="1800"/>
      <c r="L42" s="2354"/>
      <c r="M42" s="2354"/>
      <c r="N42" s="2388"/>
      <c r="O42" s="1986"/>
      <c r="P42" s="310"/>
      <c r="Q42" s="311"/>
      <c r="R42" s="311" t="s">
        <v>255</v>
      </c>
      <c r="S42" s="1887"/>
      <c r="T42" s="1887"/>
      <c r="U42" s="1887"/>
      <c r="V42" s="1887"/>
      <c r="W42" s="312"/>
      <c r="X42" s="2875"/>
      <c r="Y42" s="1288"/>
      <c r="Z42" s="1288"/>
      <c r="AA42" s="1288"/>
      <c r="AB42" s="1288"/>
      <c r="AC42" s="1288"/>
      <c r="AD42" s="1288"/>
      <c r="AE42" s="1288"/>
      <c r="AF42" s="1288"/>
      <c r="AG42" s="1288"/>
      <c r="AH42" s="1288"/>
      <c r="AI42" s="1288"/>
      <c r="AJ42" s="1288"/>
      <c r="AK42" s="1288"/>
      <c r="AL42" s="2875"/>
      <c r="AM42" s="2875"/>
      <c r="AN42" s="2875"/>
      <c r="AO42" s="2875"/>
      <c r="AP42" s="2875"/>
      <c r="AQ42" s="2875"/>
      <c r="AR42" s="2875"/>
    </row>
    <row customHeight="1" ht="17.25">
      <c r="A43" s="1881"/>
      <c r="B43" s="2875"/>
      <c r="C43" s="1883"/>
      <c r="D43" s="1871"/>
      <c r="E43" s="1888"/>
      <c r="F43" s="1825"/>
      <c r="G43" s="1889"/>
      <c r="H43" s="1871"/>
      <c r="I43" s="1871"/>
      <c r="J43" s="1890"/>
      <c r="K43" s="1800"/>
      <c r="L43" s="1982" t="s">
        <v>105</v>
      </c>
      <c r="M43" s="1982" t="s">
        <v>94</v>
      </c>
      <c r="N43" s="2387" t="str">
        <f>IF(Z43="","",INDEX(TERRITORY_MR_LIST,MATCH(Z43,TERRITORY_LIST_ID,0)))</f>
        <v>Территория 7</v>
      </c>
      <c r="O43" s="2044" t="s">
        <v>58</v>
      </c>
      <c r="P43" s="1982"/>
      <c r="Q43" s="1982" t="s">
        <v>193</v>
      </c>
      <c r="R43" s="2911" t="s">
        <v>24</v>
      </c>
      <c r="S43" s="1981" t="s">
        <v>58</v>
      </c>
      <c r="T43" s="1852"/>
      <c r="U43" s="1852" t="s">
        <v>193</v>
      </c>
      <c r="V43" s="2912" t="s">
        <v>24</v>
      </c>
      <c r="W43" s="1842"/>
      <c r="X43" s="2875"/>
      <c r="Y43" s="1296"/>
      <c r="Z43" s="1296" t="s">
        <v>125</v>
      </c>
      <c r="AA43" s="1296"/>
      <c r="AB43" s="1296"/>
      <c r="AC43" s="2887" t="s">
        <v>245</v>
      </c>
      <c r="AD43" s="2887" t="s">
        <v>246</v>
      </c>
      <c r="AE43" s="1296" t="s">
        <v>272</v>
      </c>
      <c r="AF43" s="1296" t="s">
        <v>273</v>
      </c>
      <c r="AG43" s="1296" t="s">
        <v>274</v>
      </c>
      <c r="AH43" s="1296" t="str">
        <f>IF($E$23=0,"",$E$23)</f>
        <v>Тарифы на теплоноситель, поставляемый теплоснабжающими организациями потребителям, другим теплоснабжающим организациям</v>
      </c>
      <c r="AI43" s="1296" t="str">
        <f>IF($G$23=0,"",$G$23)</f>
        <v>Производство. Теплоноситель, Передача. Теплоноситель, Сбыт. Теплоноситель</v>
      </c>
      <c r="AJ43" s="1296" t="str">
        <f>IF($J$23=0,"",$J$23)</f>
        <v>Тариф на теплоноситель, поставляемый потребителям</v>
      </c>
      <c r="AK43" s="1296" t="str">
        <f>IF($K$43="нет","без дифференциации",IF($N$43=0,"",$N$43))</f>
        <v>Территория 7</v>
      </c>
      <c r="AL43" s="1885" t="str">
        <f>IF($O$43="нет","без дифференциации",IF($R$43=0,"",$R$43))</f>
        <v>без дифференциации</v>
      </c>
      <c r="AM43" s="1885" t="str">
        <f>IF($S$43="нет","без дифференциации",IF($V$43=0,"",$V$43))</f>
        <v>без дифференциации</v>
      </c>
      <c r="AN43" s="1296">
        <f>$I$23</f>
        <v>1</v>
      </c>
      <c r="AO43" s="1296" t="str">
        <f>$I$23&amp;"."&amp;$M$43</f>
        <v>1.7</v>
      </c>
      <c r="AP43" s="1296" t="str">
        <f>$I$23&amp;"."&amp;$M$43&amp;"."&amp;$Q$43</f>
        <v>1.7.1</v>
      </c>
      <c r="AQ43" s="1296" t="str">
        <f>$I$23&amp;"."&amp;$M$43&amp;"."&amp;$Q$43&amp;"."&amp;$U$43</f>
        <v>1.7.1.1</v>
      </c>
      <c r="AR43" s="2875"/>
    </row>
    <row customHeight="1" ht="17.25">
      <c r="A44" s="1881"/>
      <c r="B44" s="2875"/>
      <c r="C44" s="1886"/>
      <c r="D44" s="1871"/>
      <c r="E44" s="1888"/>
      <c r="F44" s="1825"/>
      <c r="G44" s="1889"/>
      <c r="H44" s="1871"/>
      <c r="I44" s="1871"/>
      <c r="J44" s="1890"/>
      <c r="K44" s="1800"/>
      <c r="L44" s="1982"/>
      <c r="M44" s="1982"/>
      <c r="N44" s="2387"/>
      <c r="O44" s="2045"/>
      <c r="P44" s="1982"/>
      <c r="Q44" s="1982"/>
      <c r="R44" s="2911" t="s">
        <v>24</v>
      </c>
      <c r="S44" s="1981"/>
      <c r="T44" s="310"/>
      <c r="U44" s="311"/>
      <c r="V44" s="311" t="s">
        <v>254</v>
      </c>
      <c r="W44" s="312"/>
      <c r="X44" s="2875"/>
      <c r="Y44" s="1288"/>
      <c r="Z44" s="1288"/>
      <c r="AA44" s="1288"/>
      <c r="AB44" s="1288"/>
      <c r="AC44" s="1288"/>
      <c r="AD44" s="1288"/>
      <c r="AE44" s="1288"/>
      <c r="AF44" s="1288"/>
      <c r="AG44" s="1288"/>
      <c r="AH44" s="1288"/>
      <c r="AI44" s="1288"/>
      <c r="AJ44" s="1288"/>
      <c r="AK44" s="1288"/>
      <c r="AL44" s="2875"/>
      <c r="AM44" s="2875"/>
      <c r="AN44" s="2875"/>
      <c r="AO44" s="2875"/>
      <c r="AP44" s="2875"/>
      <c r="AQ44" s="2875"/>
      <c r="AR44" s="2875"/>
    </row>
    <row customHeight="1" ht="17.25">
      <c r="A45" s="1881"/>
      <c r="B45" s="2875"/>
      <c r="C45" s="1886"/>
      <c r="D45" s="1871"/>
      <c r="E45" s="1888"/>
      <c r="F45" s="1825"/>
      <c r="G45" s="1889"/>
      <c r="H45" s="1871"/>
      <c r="I45" s="1871"/>
      <c r="J45" s="1890"/>
      <c r="K45" s="1800"/>
      <c r="L45" s="2354"/>
      <c r="M45" s="2354"/>
      <c r="N45" s="2388"/>
      <c r="O45" s="1986"/>
      <c r="P45" s="310"/>
      <c r="Q45" s="311"/>
      <c r="R45" s="311" t="s">
        <v>255</v>
      </c>
      <c r="S45" s="1887"/>
      <c r="T45" s="1887"/>
      <c r="U45" s="1887"/>
      <c r="V45" s="1887"/>
      <c r="W45" s="312"/>
      <c r="X45" s="2875"/>
      <c r="Y45" s="1288"/>
      <c r="Z45" s="1288"/>
      <c r="AA45" s="1288"/>
      <c r="AB45" s="1288"/>
      <c r="AC45" s="1288"/>
      <c r="AD45" s="1288"/>
      <c r="AE45" s="1288"/>
      <c r="AF45" s="1288"/>
      <c r="AG45" s="1288"/>
      <c r="AH45" s="1288"/>
      <c r="AI45" s="1288"/>
      <c r="AJ45" s="1288"/>
      <c r="AK45" s="1288"/>
      <c r="AL45" s="2875"/>
      <c r="AM45" s="2875"/>
      <c r="AN45" s="2875"/>
      <c r="AO45" s="2875"/>
      <c r="AP45" s="2875"/>
      <c r="AQ45" s="2875"/>
      <c r="AR45" s="2875"/>
    </row>
    <row customHeight="1" ht="17.25">
      <c r="A46" s="1881"/>
      <c r="B46" s="2875"/>
      <c r="C46" s="1883"/>
      <c r="D46" s="1871"/>
      <c r="E46" s="1888"/>
      <c r="F46" s="1825"/>
      <c r="G46" s="1889"/>
      <c r="H46" s="1871"/>
      <c r="I46" s="1871"/>
      <c r="J46" s="1890"/>
      <c r="K46" s="1800"/>
      <c r="L46" s="1982" t="s">
        <v>105</v>
      </c>
      <c r="M46" s="1982" t="s">
        <v>130</v>
      </c>
      <c r="N46" s="2387" t="str">
        <f>IF(Z46="","",INDEX(TERRITORY_MR_LIST,MATCH(Z46,TERRITORY_LIST_ID,0)))</f>
        <v>Территория 8</v>
      </c>
      <c r="O46" s="2044" t="s">
        <v>58</v>
      </c>
      <c r="P46" s="1982"/>
      <c r="Q46" s="1982" t="s">
        <v>193</v>
      </c>
      <c r="R46" s="2911" t="s">
        <v>24</v>
      </c>
      <c r="S46" s="1981" t="s">
        <v>58</v>
      </c>
      <c r="T46" s="1852"/>
      <c r="U46" s="1852" t="s">
        <v>193</v>
      </c>
      <c r="V46" s="2912" t="s">
        <v>24</v>
      </c>
      <c r="W46" s="1842"/>
      <c r="X46" s="2875"/>
      <c r="Y46" s="1296"/>
      <c r="Z46" s="1296" t="s">
        <v>131</v>
      </c>
      <c r="AA46" s="1296"/>
      <c r="AB46" s="1296"/>
      <c r="AC46" s="2887" t="s">
        <v>245</v>
      </c>
      <c r="AD46" s="2887" t="s">
        <v>246</v>
      </c>
      <c r="AE46" s="1296" t="s">
        <v>275</v>
      </c>
      <c r="AF46" s="1296" t="s">
        <v>276</v>
      </c>
      <c r="AG46" s="1296" t="s">
        <v>277</v>
      </c>
      <c r="AH46" s="1296" t="str">
        <f>IF($E$23=0,"",$E$23)</f>
        <v>Тарифы на теплоноситель, поставляемый теплоснабжающими организациями потребителям, другим теплоснабжающим организациям</v>
      </c>
      <c r="AI46" s="1296" t="str">
        <f>IF($G$23=0,"",$G$23)</f>
        <v>Производство. Теплоноситель, Передача. Теплоноситель, Сбыт. Теплоноситель</v>
      </c>
      <c r="AJ46" s="1296" t="str">
        <f>IF($J$23=0,"",$J$23)</f>
        <v>Тариф на теплоноситель, поставляемый потребителям</v>
      </c>
      <c r="AK46" s="1296" t="str">
        <f>IF($K$46="нет","без дифференциации",IF($N$46=0,"",$N$46))</f>
        <v>Территория 8</v>
      </c>
      <c r="AL46" s="1885" t="str">
        <f>IF($O$46="нет","без дифференциации",IF($R$46=0,"",$R$46))</f>
        <v>без дифференциации</v>
      </c>
      <c r="AM46" s="1885" t="str">
        <f>IF($S$46="нет","без дифференциации",IF($V$46=0,"",$V$46))</f>
        <v>без дифференциации</v>
      </c>
      <c r="AN46" s="1296">
        <f>$I$23</f>
        <v>1</v>
      </c>
      <c r="AO46" s="1296" t="str">
        <f>$I$23&amp;"."&amp;$M$46</f>
        <v>1.8</v>
      </c>
      <c r="AP46" s="1296" t="str">
        <f>$I$23&amp;"."&amp;$M$46&amp;"."&amp;$Q$46</f>
        <v>1.8.1</v>
      </c>
      <c r="AQ46" s="1296" t="str">
        <f>$I$23&amp;"."&amp;$M$46&amp;"."&amp;$Q$46&amp;"."&amp;$U$46</f>
        <v>1.8.1.1</v>
      </c>
      <c r="AR46" s="2875"/>
    </row>
    <row customHeight="1" ht="17.25">
      <c r="A47" s="1881"/>
      <c r="B47" s="2875"/>
      <c r="C47" s="1886"/>
      <c r="D47" s="1871"/>
      <c r="E47" s="1888"/>
      <c r="F47" s="1825"/>
      <c r="G47" s="1889"/>
      <c r="H47" s="1871"/>
      <c r="I47" s="1871"/>
      <c r="J47" s="1890"/>
      <c r="K47" s="1800"/>
      <c r="L47" s="1982"/>
      <c r="M47" s="1982"/>
      <c r="N47" s="2387"/>
      <c r="O47" s="2045"/>
      <c r="P47" s="1982"/>
      <c r="Q47" s="1982"/>
      <c r="R47" s="2911" t="s">
        <v>24</v>
      </c>
      <c r="S47" s="1981"/>
      <c r="T47" s="310"/>
      <c r="U47" s="311"/>
      <c r="V47" s="311" t="s">
        <v>254</v>
      </c>
      <c r="W47" s="312"/>
      <c r="X47" s="2875"/>
      <c r="Y47" s="1288"/>
      <c r="Z47" s="1288"/>
      <c r="AA47" s="1288"/>
      <c r="AB47" s="1288"/>
      <c r="AC47" s="1288"/>
      <c r="AD47" s="1288"/>
      <c r="AE47" s="1288"/>
      <c r="AF47" s="1288"/>
      <c r="AG47" s="1288"/>
      <c r="AH47" s="1288"/>
      <c r="AI47" s="1288"/>
      <c r="AJ47" s="1288"/>
      <c r="AK47" s="1288"/>
      <c r="AL47" s="2875"/>
      <c r="AM47" s="2875"/>
      <c r="AN47" s="2875"/>
      <c r="AO47" s="2875"/>
      <c r="AP47" s="2875"/>
      <c r="AQ47" s="2875"/>
      <c r="AR47" s="2875"/>
    </row>
    <row customHeight="1" ht="17.25">
      <c r="A48" s="1881"/>
      <c r="B48" s="2875"/>
      <c r="C48" s="1886"/>
      <c r="D48" s="1871"/>
      <c r="E48" s="1888"/>
      <c r="F48" s="1825"/>
      <c r="G48" s="1889"/>
      <c r="H48" s="1871"/>
      <c r="I48" s="1871"/>
      <c r="J48" s="1890"/>
      <c r="K48" s="1800"/>
      <c r="L48" s="2354"/>
      <c r="M48" s="2354"/>
      <c r="N48" s="2388"/>
      <c r="O48" s="1986"/>
      <c r="P48" s="310"/>
      <c r="Q48" s="311"/>
      <c r="R48" s="311" t="s">
        <v>255</v>
      </c>
      <c r="S48" s="1887"/>
      <c r="T48" s="1887"/>
      <c r="U48" s="1887"/>
      <c r="V48" s="1887"/>
      <c r="W48" s="312"/>
      <c r="X48" s="2875"/>
      <c r="Y48" s="1288"/>
      <c r="Z48" s="1288"/>
      <c r="AA48" s="1288"/>
      <c r="AB48" s="1288"/>
      <c r="AC48" s="1288"/>
      <c r="AD48" s="1288"/>
      <c r="AE48" s="1288"/>
      <c r="AF48" s="1288"/>
      <c r="AG48" s="1288"/>
      <c r="AH48" s="1288"/>
      <c r="AI48" s="1288"/>
      <c r="AJ48" s="1288"/>
      <c r="AK48" s="1288"/>
      <c r="AL48" s="2875"/>
      <c r="AM48" s="2875"/>
      <c r="AN48" s="2875"/>
      <c r="AO48" s="2875"/>
      <c r="AP48" s="2875"/>
      <c r="AQ48" s="2875"/>
      <c r="AR48" s="2875"/>
    </row>
    <row customHeight="1" ht="17.25">
      <c r="A49" s="1881"/>
      <c r="B49" s="2875"/>
      <c r="C49" s="1883"/>
      <c r="D49" s="1871"/>
      <c r="E49" s="1888"/>
      <c r="F49" s="1825"/>
      <c r="G49" s="1889"/>
      <c r="H49" s="1871"/>
      <c r="I49" s="1871"/>
      <c r="J49" s="1890"/>
      <c r="K49" s="1800"/>
      <c r="L49" s="1982" t="s">
        <v>105</v>
      </c>
      <c r="M49" s="1982" t="s">
        <v>135</v>
      </c>
      <c r="N49" s="2387" t="str">
        <f>IF(Z49="","",INDEX(TERRITORY_MR_LIST,MATCH(Z49,TERRITORY_LIST_ID,0)))</f>
        <v>Территория 9</v>
      </c>
      <c r="O49" s="2044" t="s">
        <v>58</v>
      </c>
      <c r="P49" s="1982"/>
      <c r="Q49" s="1982" t="s">
        <v>193</v>
      </c>
      <c r="R49" s="2911" t="s">
        <v>24</v>
      </c>
      <c r="S49" s="1981" t="s">
        <v>63</v>
      </c>
      <c r="T49" s="1852"/>
      <c r="U49" s="1852" t="s">
        <v>193</v>
      </c>
      <c r="V49" s="1884" t="s">
        <v>278</v>
      </c>
      <c r="W49" s="1842"/>
      <c r="X49" s="2875"/>
      <c r="Y49" s="1296"/>
      <c r="Z49" s="1296" t="s">
        <v>136</v>
      </c>
      <c r="AA49" s="1296"/>
      <c r="AB49" s="1296"/>
      <c r="AC49" s="2887" t="s">
        <v>245</v>
      </c>
      <c r="AD49" s="2887" t="s">
        <v>246</v>
      </c>
      <c r="AE49" s="1296" t="s">
        <v>279</v>
      </c>
      <c r="AF49" s="1296" t="s">
        <v>280</v>
      </c>
      <c r="AG49" s="1296" t="s">
        <v>281</v>
      </c>
      <c r="AH49" s="1296" t="str">
        <f>IF($E$23=0,"",$E$23)</f>
        <v>Тарифы на теплоноситель, поставляемый теплоснабжающими организациями потребителям, другим теплоснабжающим организациям</v>
      </c>
      <c r="AI49" s="1296" t="str">
        <f>IF($G$23=0,"",$G$23)</f>
        <v>Производство. Теплоноситель, Передача. Теплоноситель, Сбыт. Теплоноситель</v>
      </c>
      <c r="AJ49" s="1296" t="str">
        <f>IF($J$23=0,"",$J$23)</f>
        <v>Тариф на теплоноситель, поставляемый потребителям</v>
      </c>
      <c r="AK49" s="1296" t="str">
        <f>IF($K$49="нет","без дифференциации",IF($N$49=0,"",$N$49))</f>
        <v>Территория 9</v>
      </c>
      <c r="AL49" s="1885" t="str">
        <f>IF($O$49="нет","без дифференциации",IF($R$49=0,"",$R$49))</f>
        <v>без дифференциации</v>
      </c>
      <c r="AM49" s="1885" t="str">
        <f>IF($S$49="нет","без дифференциации",IF($V$49=0,"",$V$49))</f>
        <v>населенный пункт Высокий</v>
      </c>
      <c r="AN49" s="1296">
        <f>$I$23</f>
        <v>1</v>
      </c>
      <c r="AO49" s="1296" t="str">
        <f>$I$23&amp;"."&amp;$M$49</f>
        <v>1.9</v>
      </c>
      <c r="AP49" s="1296" t="str">
        <f>$I$23&amp;"."&amp;$M$49&amp;"."&amp;$Q$49</f>
        <v>1.9.1</v>
      </c>
      <c r="AQ49" s="1296" t="str">
        <f>$I$23&amp;"."&amp;$M$49&amp;"."&amp;$Q$49&amp;"."&amp;$U$49</f>
        <v>1.9.1.1</v>
      </c>
      <c r="AR49" s="2875"/>
    </row>
    <row customHeight="1" ht="17.25">
      <c r="A50" s="1881"/>
      <c r="B50" s="2875"/>
      <c r="C50" s="1886"/>
      <c r="D50" s="1871"/>
      <c r="E50" s="1888"/>
      <c r="F50" s="1825"/>
      <c r="G50" s="1889"/>
      <c r="H50" s="1871"/>
      <c r="I50" s="1871"/>
      <c r="J50" s="1890"/>
      <c r="K50" s="1800"/>
      <c r="L50" s="1982"/>
      <c r="M50" s="1982"/>
      <c r="N50" s="2387"/>
      <c r="O50" s="2045"/>
      <c r="P50" s="1982"/>
      <c r="Q50" s="1982"/>
      <c r="R50" s="2911" t="s">
        <v>24</v>
      </c>
      <c r="S50" s="1981"/>
      <c r="T50" s="310"/>
      <c r="U50" s="311"/>
      <c r="V50" s="311" t="s">
        <v>254</v>
      </c>
      <c r="W50" s="312"/>
      <c r="X50" s="2875"/>
      <c r="Y50" s="1288"/>
      <c r="Z50" s="1288"/>
      <c r="AA50" s="1288"/>
      <c r="AB50" s="1288"/>
      <c r="AC50" s="1288"/>
      <c r="AD50" s="1288"/>
      <c r="AE50" s="1288"/>
      <c r="AF50" s="1288"/>
      <c r="AG50" s="1288"/>
      <c r="AH50" s="1288"/>
      <c r="AI50" s="1288"/>
      <c r="AJ50" s="1288"/>
      <c r="AK50" s="1288"/>
      <c r="AL50" s="2875"/>
      <c r="AM50" s="2875"/>
      <c r="AN50" s="2875"/>
      <c r="AO50" s="2875"/>
      <c r="AP50" s="2875"/>
      <c r="AQ50" s="2875"/>
      <c r="AR50" s="2875"/>
    </row>
    <row customHeight="1" ht="17.25">
      <c r="A51" s="1881"/>
      <c r="B51" s="2875"/>
      <c r="C51" s="1886"/>
      <c r="D51" s="1871"/>
      <c r="E51" s="1888"/>
      <c r="F51" s="1825"/>
      <c r="G51" s="1889"/>
      <c r="H51" s="1871"/>
      <c r="I51" s="1871"/>
      <c r="J51" s="1890"/>
      <c r="K51" s="1800"/>
      <c r="L51" s="2354"/>
      <c r="M51" s="2354"/>
      <c r="N51" s="2388"/>
      <c r="O51" s="1986"/>
      <c r="P51" s="310"/>
      <c r="Q51" s="311"/>
      <c r="R51" s="311" t="s">
        <v>255</v>
      </c>
      <c r="S51" s="1887"/>
      <c r="T51" s="1887"/>
      <c r="U51" s="1887"/>
      <c r="V51" s="1887"/>
      <c r="W51" s="312"/>
      <c r="X51" s="2875"/>
      <c r="Y51" s="1288"/>
      <c r="Z51" s="1288"/>
      <c r="AA51" s="1288"/>
      <c r="AB51" s="1288"/>
      <c r="AC51" s="1288"/>
      <c r="AD51" s="1288"/>
      <c r="AE51" s="1288"/>
      <c r="AF51" s="1288"/>
      <c r="AG51" s="1288"/>
      <c r="AH51" s="1288"/>
      <c r="AI51" s="1288"/>
      <c r="AJ51" s="1288"/>
      <c r="AK51" s="1288"/>
      <c r="AL51" s="2875"/>
      <c r="AM51" s="2875"/>
      <c r="AN51" s="2875"/>
      <c r="AO51" s="2875"/>
      <c r="AP51" s="2875"/>
      <c r="AQ51" s="2875"/>
      <c r="AR51" s="2875"/>
    </row>
    <row customHeight="1" ht="17.25">
      <c r="A52" s="1881"/>
      <c r="B52" s="2875"/>
      <c r="C52" s="1883"/>
      <c r="D52" s="1871"/>
      <c r="E52" s="1888"/>
      <c r="F52" s="1825"/>
      <c r="G52" s="1889"/>
      <c r="H52" s="1871"/>
      <c r="I52" s="1871"/>
      <c r="J52" s="1890"/>
      <c r="K52" s="1800"/>
      <c r="L52" s="1982" t="s">
        <v>105</v>
      </c>
      <c r="M52" s="1982" t="s">
        <v>139</v>
      </c>
      <c r="N52" s="2387" t="str">
        <f>IF(Z52="","",INDEX(TERRITORY_MR_LIST,MATCH(Z52,TERRITORY_LIST_ID,0)))</f>
        <v>Территория 10</v>
      </c>
      <c r="O52" s="2044" t="s">
        <v>58</v>
      </c>
      <c r="P52" s="1982"/>
      <c r="Q52" s="1982" t="s">
        <v>193</v>
      </c>
      <c r="R52" s="2911" t="s">
        <v>24</v>
      </c>
      <c r="S52" s="1981" t="s">
        <v>63</v>
      </c>
      <c r="T52" s="1852"/>
      <c r="U52" s="1852" t="s">
        <v>193</v>
      </c>
      <c r="V52" s="1884" t="s">
        <v>282</v>
      </c>
      <c r="W52" s="1842"/>
      <c r="X52" s="2875"/>
      <c r="Y52" s="1296"/>
      <c r="Z52" s="1296" t="s">
        <v>140</v>
      </c>
      <c r="AA52" s="1296"/>
      <c r="AB52" s="1296"/>
      <c r="AC52" s="2887" t="s">
        <v>245</v>
      </c>
      <c r="AD52" s="2887" t="s">
        <v>246</v>
      </c>
      <c r="AE52" s="1296" t="s">
        <v>283</v>
      </c>
      <c r="AF52" s="1296" t="s">
        <v>284</v>
      </c>
      <c r="AG52" s="1296" t="s">
        <v>285</v>
      </c>
      <c r="AH52" s="1296" t="str">
        <f>IF($E$23=0,"",$E$23)</f>
        <v>Тарифы на теплоноситель, поставляемый теплоснабжающими организациями потребителям, другим теплоснабжающим организациям</v>
      </c>
      <c r="AI52" s="1296" t="str">
        <f>IF($G$23=0,"",$G$23)</f>
        <v>Производство. Теплоноситель, Передача. Теплоноситель, Сбыт. Теплоноситель</v>
      </c>
      <c r="AJ52" s="1296" t="str">
        <f>IF($J$23=0,"",$J$23)</f>
        <v>Тариф на теплоноситель, поставляемый потребителям</v>
      </c>
      <c r="AK52" s="1296" t="str">
        <f>IF($K$52="нет","без дифференциации",IF($N$52=0,"",$N$52))</f>
        <v>Территория 10</v>
      </c>
      <c r="AL52" s="1885" t="str">
        <f>IF($O$52="нет","без дифференциации",IF($R$52=0,"",$R$52))</f>
        <v>без дифференциации</v>
      </c>
      <c r="AM52" s="1885" t="str">
        <f>IF($S$52="нет","без дифференциации",IF($V$52=0,"",$V$52))</f>
        <v>город Гаджиево, н.п.Оленья Губа, город Полярный</v>
      </c>
      <c r="AN52" s="1296">
        <f>$I$23</f>
        <v>1</v>
      </c>
      <c r="AO52" s="1296" t="str">
        <f>$I$23&amp;"."&amp;$M$52</f>
        <v>1.10</v>
      </c>
      <c r="AP52" s="1296" t="str">
        <f>$I$23&amp;"."&amp;$M$52&amp;"."&amp;$Q$52</f>
        <v>1.10.1</v>
      </c>
      <c r="AQ52" s="1296" t="str">
        <f>$I$23&amp;"."&amp;$M$52&amp;"."&amp;$Q$52&amp;"."&amp;$U$52</f>
        <v>1.10.1.1</v>
      </c>
      <c r="AR52" s="2875"/>
    </row>
    <row customHeight="1" ht="17.25">
      <c r="A53" s="1881"/>
      <c r="B53" s="2875"/>
      <c r="C53" s="1883"/>
      <c r="D53" s="1871"/>
      <c r="E53" s="1888"/>
      <c r="F53" s="1825"/>
      <c r="G53" s="1889"/>
      <c r="H53" s="1796"/>
      <c r="I53" s="1796"/>
      <c r="J53" s="1797"/>
      <c r="K53" s="1889"/>
      <c r="L53" s="1796"/>
      <c r="M53" s="1796"/>
      <c r="N53" s="1889"/>
      <c r="O53" s="1889"/>
      <c r="P53" s="1796"/>
      <c r="Q53" s="1796"/>
      <c r="R53" s="1798"/>
      <c r="S53" s="1889"/>
      <c r="T53" s="1852" t="s">
        <v>105</v>
      </c>
      <c r="U53" s="1852" t="s">
        <v>104</v>
      </c>
      <c r="V53" s="1884" t="s">
        <v>286</v>
      </c>
      <c r="W53" s="1842"/>
      <c r="X53" s="2875"/>
      <c r="Y53" s="1296"/>
      <c r="Z53" s="1296"/>
      <c r="AA53" s="1296"/>
      <c r="AB53" s="1296"/>
      <c r="AC53" s="2887" t="s">
        <v>245</v>
      </c>
      <c r="AD53" s="2887" t="s">
        <v>246</v>
      </c>
      <c r="AE53" s="2887" t="s">
        <v>283</v>
      </c>
      <c r="AF53" s="2887" t="s">
        <v>284</v>
      </c>
      <c r="AG53" s="1296" t="s">
        <v>287</v>
      </c>
      <c r="AH53" s="1296" t="str">
        <f>IF($E$23=0,"",$E$23)</f>
        <v>Тарифы на теплоноситель, поставляемый теплоснабжающими организациями потребителям, другим теплоснабжающим организациям</v>
      </c>
      <c r="AI53" s="1296" t="str">
        <f>IF($G$23=0,"",$G$23)</f>
        <v>Производство. Теплоноситель, Передача. Теплоноситель, Сбыт. Теплоноситель</v>
      </c>
      <c r="AJ53" s="1296" t="str">
        <f>IF($J$23=0,"",$J$23)</f>
        <v>Тариф на теплоноситель, поставляемый потребителям</v>
      </c>
      <c r="AK53" s="1296" t="str">
        <f>IF($K$52="нет","без дифференциации",IF($N$52=0,"",$N$52))</f>
        <v>Территория 10</v>
      </c>
      <c r="AL53" s="1885" t="str">
        <f>IF($O$52="нет","без дифференциации",IF($R$52=0,"",$R$52))</f>
        <v>без дифференциации</v>
      </c>
      <c r="AM53" s="1885" t="str">
        <f>IF($S$53="нет","без дифференциации",IF($V$53=0,"",$V$53))</f>
        <v>город Снежногорск</v>
      </c>
      <c r="AN53" s="1296">
        <f>$I$23</f>
        <v>1</v>
      </c>
      <c r="AO53" s="1296" t="str">
        <f>$I$23&amp;"."&amp;$M$52</f>
        <v>1.10</v>
      </c>
      <c r="AP53" s="1296" t="str">
        <f>$I$23&amp;"."&amp;$M$52&amp;"."&amp;$Q$52</f>
        <v>1.10.1</v>
      </c>
      <c r="AQ53" s="1296" t="str">
        <f>$I$23&amp;"."&amp;$M$52&amp;"."&amp;$Q$52&amp;"."&amp;$U$53</f>
        <v>1.10.1.2</v>
      </c>
      <c r="AR53" s="2875"/>
    </row>
    <row customHeight="1" ht="17.25">
      <c r="A54" s="1881"/>
      <c r="B54" s="2875"/>
      <c r="C54" s="1886"/>
      <c r="D54" s="1871"/>
      <c r="E54" s="1888"/>
      <c r="F54" s="1825"/>
      <c r="G54" s="1889"/>
      <c r="H54" s="1871"/>
      <c r="I54" s="1871"/>
      <c r="J54" s="1890"/>
      <c r="K54" s="1800"/>
      <c r="L54" s="1982"/>
      <c r="M54" s="1982"/>
      <c r="N54" s="2387"/>
      <c r="O54" s="2045"/>
      <c r="P54" s="1982"/>
      <c r="Q54" s="1982"/>
      <c r="R54" s="2911" t="s">
        <v>24</v>
      </c>
      <c r="S54" s="1981"/>
      <c r="T54" s="310"/>
      <c r="U54" s="311"/>
      <c r="V54" s="311" t="s">
        <v>254</v>
      </c>
      <c r="W54" s="312"/>
      <c r="X54" s="2875"/>
      <c r="Y54" s="1288"/>
      <c r="Z54" s="1288"/>
      <c r="AA54" s="1288"/>
      <c r="AB54" s="1288"/>
      <c r="AC54" s="1288"/>
      <c r="AD54" s="1288"/>
      <c r="AE54" s="1288"/>
      <c r="AF54" s="1288"/>
      <c r="AG54" s="1288"/>
      <c r="AH54" s="1288"/>
      <c r="AI54" s="1288"/>
      <c r="AJ54" s="1288"/>
      <c r="AK54" s="1288"/>
      <c r="AL54" s="2875"/>
      <c r="AM54" s="2875"/>
      <c r="AN54" s="2875"/>
      <c r="AO54" s="2875"/>
      <c r="AP54" s="2875"/>
      <c r="AQ54" s="2875"/>
      <c r="AR54" s="2875"/>
    </row>
    <row customHeight="1" ht="17.25">
      <c r="A55" s="1881"/>
      <c r="B55" s="2875"/>
      <c r="C55" s="1886"/>
      <c r="D55" s="1871"/>
      <c r="E55" s="1888"/>
      <c r="F55" s="1825"/>
      <c r="G55" s="1889"/>
      <c r="H55" s="1871"/>
      <c r="I55" s="1871"/>
      <c r="J55" s="1890"/>
      <c r="K55" s="1800"/>
      <c r="L55" s="2354"/>
      <c r="M55" s="2354"/>
      <c r="N55" s="2388"/>
      <c r="O55" s="1986"/>
      <c r="P55" s="310"/>
      <c r="Q55" s="311"/>
      <c r="R55" s="311" t="s">
        <v>255</v>
      </c>
      <c r="S55" s="1887"/>
      <c r="T55" s="1887"/>
      <c r="U55" s="1887"/>
      <c r="V55" s="1887"/>
      <c r="W55" s="312"/>
      <c r="X55" s="2875"/>
      <c r="Y55" s="1288"/>
      <c r="Z55" s="1288"/>
      <c r="AA55" s="1288"/>
      <c r="AB55" s="1288"/>
      <c r="AC55" s="1288"/>
      <c r="AD55" s="1288"/>
      <c r="AE55" s="1288"/>
      <c r="AF55" s="1288"/>
      <c r="AG55" s="1288"/>
      <c r="AH55" s="1288"/>
      <c r="AI55" s="1288"/>
      <c r="AJ55" s="1288"/>
      <c r="AK55" s="1288"/>
      <c r="AL55" s="2875"/>
      <c r="AM55" s="2875"/>
      <c r="AN55" s="2875"/>
      <c r="AO55" s="2875"/>
      <c r="AP55" s="2875"/>
      <c r="AQ55" s="2875"/>
      <c r="AR55" s="2875"/>
    </row>
    <row customHeight="1" ht="17.25">
      <c r="A56" s="1881"/>
      <c r="B56" s="2875"/>
      <c r="C56" s="1883"/>
      <c r="D56" s="1871"/>
      <c r="E56" s="1888"/>
      <c r="F56" s="1825"/>
      <c r="G56" s="1889"/>
      <c r="H56" s="1871"/>
      <c r="I56" s="1871"/>
      <c r="J56" s="1890"/>
      <c r="K56" s="1800"/>
      <c r="L56" s="1982" t="s">
        <v>105</v>
      </c>
      <c r="M56" s="1982" t="s">
        <v>143</v>
      </c>
      <c r="N56" s="2387" t="str">
        <f>IF(Z56="","",INDEX(TERRITORY_MR_LIST,MATCH(Z56,TERRITORY_LIST_ID,0)))</f>
        <v>Территория 11</v>
      </c>
      <c r="O56" s="2044" t="s">
        <v>58</v>
      </c>
      <c r="P56" s="1982"/>
      <c r="Q56" s="1982" t="s">
        <v>193</v>
      </c>
      <c r="R56" s="2911" t="s">
        <v>24</v>
      </c>
      <c r="S56" s="1981" t="s">
        <v>63</v>
      </c>
      <c r="T56" s="1852"/>
      <c r="U56" s="1852" t="s">
        <v>193</v>
      </c>
      <c r="V56" s="1884" t="s">
        <v>288</v>
      </c>
      <c r="W56" s="1842"/>
      <c r="X56" s="2875"/>
      <c r="Y56" s="1296"/>
      <c r="Z56" s="1296" t="s">
        <v>144</v>
      </c>
      <c r="AA56" s="1296"/>
      <c r="AB56" s="1296"/>
      <c r="AC56" s="2887" t="s">
        <v>245</v>
      </c>
      <c r="AD56" s="2887" t="s">
        <v>246</v>
      </c>
      <c r="AE56" s="1296" t="s">
        <v>289</v>
      </c>
      <c r="AF56" s="1296" t="s">
        <v>290</v>
      </c>
      <c r="AG56" s="1296" t="s">
        <v>291</v>
      </c>
      <c r="AH56" s="1296" t="str">
        <f>IF($E$23=0,"",$E$23)</f>
        <v>Тарифы на теплоноситель, поставляемый теплоснабжающими организациями потребителям, другим теплоснабжающим организациям</v>
      </c>
      <c r="AI56" s="1296" t="str">
        <f>IF($G$23=0,"",$G$23)</f>
        <v>Производство. Теплоноситель, Передача. Теплоноситель, Сбыт. Теплоноситель</v>
      </c>
      <c r="AJ56" s="1296" t="str">
        <f>IF($J$23=0,"",$J$23)</f>
        <v>Тариф на теплоноситель, поставляемый потребителям</v>
      </c>
      <c r="AK56" s="1296" t="str">
        <f>IF($K$56="нет","без дифференциации",IF($N$56=0,"",$N$56))</f>
        <v>Территория 11</v>
      </c>
      <c r="AL56" s="1885" t="str">
        <f>IF($O$56="нет","без дифференциации",IF($R$56=0,"",$R$56))</f>
        <v>без дифференциации</v>
      </c>
      <c r="AM56" s="1885" t="str">
        <f>IF($S$56="нет","без дифференциации",IF($V$56=0,"",$V$56))</f>
        <v>город Никель</v>
      </c>
      <c r="AN56" s="1296">
        <f>$I$23</f>
        <v>1</v>
      </c>
      <c r="AO56" s="1296" t="str">
        <f>$I$23&amp;"."&amp;$M$56</f>
        <v>1.11</v>
      </c>
      <c r="AP56" s="1296" t="str">
        <f>$I$23&amp;"."&amp;$M$56&amp;"."&amp;$Q$56</f>
        <v>1.11.1</v>
      </c>
      <c r="AQ56" s="1296" t="str">
        <f>$I$23&amp;"."&amp;$M$56&amp;"."&amp;$Q$56&amp;"."&amp;$U$56</f>
        <v>1.11.1.1</v>
      </c>
      <c r="AR56" s="2875"/>
    </row>
    <row customHeight="1" ht="17.25">
      <c r="A57" s="1881"/>
      <c r="B57" s="2875"/>
      <c r="C57" s="1883"/>
      <c r="D57" s="1871"/>
      <c r="E57" s="1888"/>
      <c r="F57" s="1825"/>
      <c r="G57" s="1889"/>
      <c r="H57" s="1796"/>
      <c r="I57" s="1796"/>
      <c r="J57" s="1797"/>
      <c r="K57" s="1889"/>
      <c r="L57" s="1796"/>
      <c r="M57" s="1796"/>
      <c r="N57" s="1889"/>
      <c r="O57" s="1889"/>
      <c r="P57" s="1796"/>
      <c r="Q57" s="1796"/>
      <c r="R57" s="1798"/>
      <c r="S57" s="1889"/>
      <c r="T57" s="1852" t="s">
        <v>105</v>
      </c>
      <c r="U57" s="1852" t="s">
        <v>104</v>
      </c>
      <c r="V57" s="1884" t="s">
        <v>292</v>
      </c>
      <c r="W57" s="1842"/>
      <c r="X57" s="2875"/>
      <c r="Y57" s="1296"/>
      <c r="Z57" s="1296"/>
      <c r="AA57" s="1296"/>
      <c r="AB57" s="1296"/>
      <c r="AC57" s="2887" t="s">
        <v>245</v>
      </c>
      <c r="AD57" s="2887" t="s">
        <v>246</v>
      </c>
      <c r="AE57" s="2887" t="s">
        <v>289</v>
      </c>
      <c r="AF57" s="2887" t="s">
        <v>290</v>
      </c>
      <c r="AG57" s="1296" t="s">
        <v>293</v>
      </c>
      <c r="AH57" s="1296" t="str">
        <f>IF($E$23=0,"",$E$23)</f>
        <v>Тарифы на теплоноситель, поставляемый теплоснабжающими организациями потребителям, другим теплоснабжающим организациям</v>
      </c>
      <c r="AI57" s="1296" t="str">
        <f>IF($G$23=0,"",$G$23)</f>
        <v>Производство. Теплоноситель, Передача. Теплоноситель, Сбыт. Теплоноситель</v>
      </c>
      <c r="AJ57" s="1296" t="str">
        <f>IF($J$23=0,"",$J$23)</f>
        <v>Тариф на теплоноситель, поставляемый потребителям</v>
      </c>
      <c r="AK57" s="1296" t="str">
        <f>IF($K$56="нет","без дифференциации",IF($N$56=0,"",$N$56))</f>
        <v>Территория 11</v>
      </c>
      <c r="AL57" s="1885" t="str">
        <f>IF($O$56="нет","без дифференциации",IF($R$56=0,"",$R$56))</f>
        <v>без дифференциации</v>
      </c>
      <c r="AM57" s="1885" t="str">
        <f>IF($S$57="нет","без дифференциации",IF($V$57=0,"",$V$57))</f>
        <v>город Заполярный</v>
      </c>
      <c r="AN57" s="1296">
        <f>$I$23</f>
        <v>1</v>
      </c>
      <c r="AO57" s="1296" t="str">
        <f>$I$23&amp;"."&amp;$M$56</f>
        <v>1.11</v>
      </c>
      <c r="AP57" s="1296" t="str">
        <f>$I$23&amp;"."&amp;$M$56&amp;"."&amp;$Q$56</f>
        <v>1.11.1</v>
      </c>
      <c r="AQ57" s="1296" t="str">
        <f>$I$23&amp;"."&amp;$M$56&amp;"."&amp;$Q$56&amp;"."&amp;$U$57</f>
        <v>1.11.1.2</v>
      </c>
      <c r="AR57" s="2875"/>
    </row>
    <row customHeight="1" ht="17.25">
      <c r="A58" s="1881"/>
      <c r="B58" s="2875"/>
      <c r="C58" s="1886"/>
      <c r="D58" s="1871"/>
      <c r="E58" s="1888"/>
      <c r="F58" s="1825"/>
      <c r="G58" s="1889"/>
      <c r="H58" s="1871"/>
      <c r="I58" s="1871"/>
      <c r="J58" s="1890"/>
      <c r="K58" s="1800"/>
      <c r="L58" s="1982"/>
      <c r="M58" s="1982"/>
      <c r="N58" s="2387"/>
      <c r="O58" s="2045"/>
      <c r="P58" s="1982"/>
      <c r="Q58" s="1982"/>
      <c r="R58" s="2911" t="s">
        <v>24</v>
      </c>
      <c r="S58" s="1981"/>
      <c r="T58" s="310"/>
      <c r="U58" s="311"/>
      <c r="V58" s="311" t="s">
        <v>254</v>
      </c>
      <c r="W58" s="312"/>
      <c r="X58" s="2875"/>
      <c r="Y58" s="1288"/>
      <c r="Z58" s="1288"/>
      <c r="AA58" s="1288"/>
      <c r="AB58" s="1288"/>
      <c r="AC58" s="1288"/>
      <c r="AD58" s="1288"/>
      <c r="AE58" s="1288"/>
      <c r="AF58" s="1288"/>
      <c r="AG58" s="1288"/>
      <c r="AH58" s="1288"/>
      <c r="AI58" s="1288"/>
      <c r="AJ58" s="1288"/>
      <c r="AK58" s="1288"/>
      <c r="AL58" s="2875"/>
      <c r="AM58" s="2875"/>
      <c r="AN58" s="2875"/>
      <c r="AO58" s="2875"/>
      <c r="AP58" s="2875"/>
      <c r="AQ58" s="2875"/>
      <c r="AR58" s="2875"/>
    </row>
    <row customHeight="1" ht="17.25">
      <c r="A59" s="1881"/>
      <c r="B59" s="2875"/>
      <c r="C59" s="1886"/>
      <c r="D59" s="1871"/>
      <c r="E59" s="1888"/>
      <c r="F59" s="1825"/>
      <c r="G59" s="1889"/>
      <c r="H59" s="1871"/>
      <c r="I59" s="1871"/>
      <c r="J59" s="1890"/>
      <c r="K59" s="1800"/>
      <c r="L59" s="2354"/>
      <c r="M59" s="2354"/>
      <c r="N59" s="2388"/>
      <c r="O59" s="1986"/>
      <c r="P59" s="310"/>
      <c r="Q59" s="311"/>
      <c r="R59" s="311" t="s">
        <v>255</v>
      </c>
      <c r="S59" s="1887"/>
      <c r="T59" s="1887"/>
      <c r="U59" s="1887"/>
      <c r="V59" s="1887"/>
      <c r="W59" s="312"/>
      <c r="X59" s="2875"/>
      <c r="Y59" s="1288"/>
      <c r="Z59" s="1288"/>
      <c r="AA59" s="1288"/>
      <c r="AB59" s="1288"/>
      <c r="AC59" s="1288"/>
      <c r="AD59" s="1288"/>
      <c r="AE59" s="1288"/>
      <c r="AF59" s="1288"/>
      <c r="AG59" s="1288"/>
      <c r="AH59" s="1288"/>
      <c r="AI59" s="1288"/>
      <c r="AJ59" s="1288"/>
      <c r="AK59" s="1288"/>
      <c r="AL59" s="2875"/>
      <c r="AM59" s="2875"/>
      <c r="AN59" s="2875"/>
      <c r="AO59" s="2875"/>
      <c r="AP59" s="2875"/>
      <c r="AQ59" s="2875"/>
      <c r="AR59" s="2875"/>
    </row>
    <row customHeight="1" ht="17.25">
      <c r="A60" s="1881"/>
      <c r="B60" s="2875"/>
      <c r="C60" s="1883"/>
      <c r="D60" s="1871"/>
      <c r="E60" s="1888"/>
      <c r="F60" s="1825"/>
      <c r="G60" s="1889"/>
      <c r="H60" s="1871"/>
      <c r="I60" s="1871"/>
      <c r="J60" s="1890"/>
      <c r="K60" s="1800"/>
      <c r="L60" s="1982" t="s">
        <v>105</v>
      </c>
      <c r="M60" s="1982" t="s">
        <v>148</v>
      </c>
      <c r="N60" s="2387" t="str">
        <f>IF(Z60="","",INDEX(TERRITORY_MR_LIST,MATCH(Z60,TERRITORY_LIST_ID,0)))</f>
        <v>Территория 12</v>
      </c>
      <c r="O60" s="2044" t="s">
        <v>58</v>
      </c>
      <c r="P60" s="1982"/>
      <c r="Q60" s="1982" t="s">
        <v>193</v>
      </c>
      <c r="R60" s="2911" t="s">
        <v>24</v>
      </c>
      <c r="S60" s="1981" t="s">
        <v>58</v>
      </c>
      <c r="T60" s="1852"/>
      <c r="U60" s="1852" t="s">
        <v>193</v>
      </c>
      <c r="V60" s="2912" t="s">
        <v>24</v>
      </c>
      <c r="W60" s="1842"/>
      <c r="X60" s="2875"/>
      <c r="Y60" s="1296"/>
      <c r="Z60" s="1296" t="s">
        <v>149</v>
      </c>
      <c r="AA60" s="1296"/>
      <c r="AB60" s="1296"/>
      <c r="AC60" s="2887" t="s">
        <v>245</v>
      </c>
      <c r="AD60" s="2887" t="s">
        <v>246</v>
      </c>
      <c r="AE60" s="1296" t="s">
        <v>294</v>
      </c>
      <c r="AF60" s="1296" t="s">
        <v>295</v>
      </c>
      <c r="AG60" s="1296" t="s">
        <v>296</v>
      </c>
      <c r="AH60" s="1296" t="str">
        <f>IF($E$23=0,"",$E$23)</f>
        <v>Тарифы на теплоноситель, поставляемый теплоснабжающими организациями потребителям, другим теплоснабжающим организациям</v>
      </c>
      <c r="AI60" s="1296" t="str">
        <f>IF($G$23=0,"",$G$23)</f>
        <v>Производство. Теплоноситель, Передача. Теплоноситель, Сбыт. Теплоноситель</v>
      </c>
      <c r="AJ60" s="1296" t="str">
        <f>IF($J$23=0,"",$J$23)</f>
        <v>Тариф на теплоноситель, поставляемый потребителям</v>
      </c>
      <c r="AK60" s="1296" t="str">
        <f>IF($K$60="нет","без дифференциации",IF($N$60=0,"",$N$60))</f>
        <v>Территория 12</v>
      </c>
      <c r="AL60" s="1885" t="str">
        <f>IF($O$60="нет","без дифференциации",IF($R$60=0,"",$R$60))</f>
        <v>без дифференциации</v>
      </c>
      <c r="AM60" s="1885" t="str">
        <f>IF($S$60="нет","без дифференциации",IF($V$60=0,"",$V$60))</f>
        <v>без дифференциации</v>
      </c>
      <c r="AN60" s="1296">
        <f>$I$23</f>
        <v>1</v>
      </c>
      <c r="AO60" s="1296" t="str">
        <f>$I$23&amp;"."&amp;$M$60</f>
        <v>1.12</v>
      </c>
      <c r="AP60" s="1296" t="str">
        <f>$I$23&amp;"."&amp;$M$60&amp;"."&amp;$Q$60</f>
        <v>1.12.1</v>
      </c>
      <c r="AQ60" s="1296" t="str">
        <f>$I$23&amp;"."&amp;$M$60&amp;"."&amp;$Q$60&amp;"."&amp;$U$60</f>
        <v>1.12.1.1</v>
      </c>
      <c r="AR60" s="2875"/>
    </row>
    <row customHeight="1" ht="17.25">
      <c r="A61" s="1881"/>
      <c r="B61" s="2875"/>
      <c r="C61" s="1886"/>
      <c r="D61" s="1871"/>
      <c r="E61" s="1888"/>
      <c r="F61" s="1825"/>
      <c r="G61" s="1889"/>
      <c r="H61" s="1871"/>
      <c r="I61" s="1871"/>
      <c r="J61" s="1890"/>
      <c r="K61" s="1800"/>
      <c r="L61" s="1982"/>
      <c r="M61" s="1982"/>
      <c r="N61" s="2387"/>
      <c r="O61" s="2045"/>
      <c r="P61" s="1982"/>
      <c r="Q61" s="1982"/>
      <c r="R61" s="2911" t="s">
        <v>24</v>
      </c>
      <c r="S61" s="1981"/>
      <c r="T61" s="310"/>
      <c r="U61" s="311"/>
      <c r="V61" s="311" t="s">
        <v>254</v>
      </c>
      <c r="W61" s="312"/>
      <c r="X61" s="2875"/>
      <c r="Y61" s="1288"/>
      <c r="Z61" s="1288"/>
      <c r="AA61" s="1288"/>
      <c r="AB61" s="1288"/>
      <c r="AC61" s="1288"/>
      <c r="AD61" s="1288"/>
      <c r="AE61" s="1288"/>
      <c r="AF61" s="1288"/>
      <c r="AG61" s="1288"/>
      <c r="AH61" s="1288"/>
      <c r="AI61" s="1288"/>
      <c r="AJ61" s="1288"/>
      <c r="AK61" s="1288"/>
      <c r="AL61" s="2875"/>
      <c r="AM61" s="2875"/>
      <c r="AN61" s="2875"/>
      <c r="AO61" s="2875"/>
      <c r="AP61" s="2875"/>
      <c r="AQ61" s="2875"/>
      <c r="AR61" s="2875"/>
    </row>
    <row customHeight="1" ht="17.25">
      <c r="A62" s="1881"/>
      <c r="B62" s="2875"/>
      <c r="C62" s="1886"/>
      <c r="D62" s="1871"/>
      <c r="E62" s="1888"/>
      <c r="F62" s="1825"/>
      <c r="G62" s="1889"/>
      <c r="H62" s="1871"/>
      <c r="I62" s="1871"/>
      <c r="J62" s="1890"/>
      <c r="K62" s="1800"/>
      <c r="L62" s="2354"/>
      <c r="M62" s="2354"/>
      <c r="N62" s="2388"/>
      <c r="O62" s="1986"/>
      <c r="P62" s="310"/>
      <c r="Q62" s="311"/>
      <c r="R62" s="311" t="s">
        <v>255</v>
      </c>
      <c r="S62" s="1887"/>
      <c r="T62" s="1887"/>
      <c r="U62" s="1887"/>
      <c r="V62" s="1887"/>
      <c r="W62" s="312"/>
      <c r="X62" s="2875"/>
      <c r="Y62" s="1288"/>
      <c r="Z62" s="1288"/>
      <c r="AA62" s="1288"/>
      <c r="AB62" s="1288"/>
      <c r="AC62" s="1288"/>
      <c r="AD62" s="1288"/>
      <c r="AE62" s="1288"/>
      <c r="AF62" s="1288"/>
      <c r="AG62" s="1288"/>
      <c r="AH62" s="1288"/>
      <c r="AI62" s="1288"/>
      <c r="AJ62" s="1288"/>
      <c r="AK62" s="1288"/>
      <c r="AL62" s="2875"/>
      <c r="AM62" s="2875"/>
      <c r="AN62" s="2875"/>
      <c r="AO62" s="2875"/>
      <c r="AP62" s="2875"/>
      <c r="AQ62" s="2875"/>
      <c r="AR62" s="2875"/>
    </row>
    <row customHeight="1" ht="17.25">
      <c r="A63" s="1881"/>
      <c r="B63" s="2875"/>
      <c r="C63" s="1883"/>
      <c r="D63" s="1871"/>
      <c r="E63" s="1888"/>
      <c r="F63" s="1825"/>
      <c r="G63" s="1889"/>
      <c r="H63" s="1871"/>
      <c r="I63" s="1871"/>
      <c r="J63" s="1890"/>
      <c r="K63" s="1800"/>
      <c r="L63" s="1982" t="s">
        <v>105</v>
      </c>
      <c r="M63" s="1982" t="s">
        <v>152</v>
      </c>
      <c r="N63" s="2387" t="str">
        <f>IF(Z63="","",INDEX(TERRITORY_MR_LIST,MATCH(Z63,TERRITORY_LIST_ID,0)))</f>
        <v>Территория 13</v>
      </c>
      <c r="O63" s="2044" t="s">
        <v>58</v>
      </c>
      <c r="P63" s="1982"/>
      <c r="Q63" s="1982" t="s">
        <v>193</v>
      </c>
      <c r="R63" s="2911" t="s">
        <v>24</v>
      </c>
      <c r="S63" s="1981" t="s">
        <v>63</v>
      </c>
      <c r="T63" s="1852"/>
      <c r="U63" s="1852" t="s">
        <v>193</v>
      </c>
      <c r="V63" s="1884" t="s">
        <v>297</v>
      </c>
      <c r="W63" s="1842"/>
      <c r="X63" s="2875"/>
      <c r="Y63" s="1296"/>
      <c r="Z63" s="1296" t="s">
        <v>153</v>
      </c>
      <c r="AA63" s="1296"/>
      <c r="AB63" s="1296"/>
      <c r="AC63" s="2887" t="s">
        <v>245</v>
      </c>
      <c r="AD63" s="2887" t="s">
        <v>246</v>
      </c>
      <c r="AE63" s="1296" t="s">
        <v>298</v>
      </c>
      <c r="AF63" s="1296" t="s">
        <v>299</v>
      </c>
      <c r="AG63" s="1296" t="s">
        <v>300</v>
      </c>
      <c r="AH63" s="1296" t="str">
        <f>IF($E$23=0,"",$E$23)</f>
        <v>Тарифы на теплоноситель, поставляемый теплоснабжающими организациями потребителям, другим теплоснабжающим организациям</v>
      </c>
      <c r="AI63" s="1296" t="str">
        <f>IF($G$23=0,"",$G$23)</f>
        <v>Производство. Теплоноситель, Передача. Теплоноситель, Сбыт. Теплоноситель</v>
      </c>
      <c r="AJ63" s="1296" t="str">
        <f>IF($J$23=0,"",$J$23)</f>
        <v>Тариф на теплоноситель, поставляемый потребителям</v>
      </c>
      <c r="AK63" s="1296" t="str">
        <f>IF($K$63="нет","без дифференциации",IF($N$63=0,"",$N$63))</f>
        <v>Территория 13</v>
      </c>
      <c r="AL63" s="1885" t="str">
        <f>IF($O$63="нет","без дифференциации",IF($R$63=0,"",$R$63))</f>
        <v>без дифференциации</v>
      </c>
      <c r="AM63" s="1885" t="str">
        <f>IF($S$63="нет","без дифференциации",IF($V$63=0,"",$V$63))</f>
        <v>город Кандалакша</v>
      </c>
      <c r="AN63" s="1296">
        <f>$I$23</f>
        <v>1</v>
      </c>
      <c r="AO63" s="1296" t="str">
        <f>$I$23&amp;"."&amp;$M$63</f>
        <v>1.13</v>
      </c>
      <c r="AP63" s="1296" t="str">
        <f>$I$23&amp;"."&amp;$M$63&amp;"."&amp;$Q$63</f>
        <v>1.13.1</v>
      </c>
      <c r="AQ63" s="1296" t="str">
        <f>$I$23&amp;"."&amp;$M$63&amp;"."&amp;$Q$63&amp;"."&amp;$U$63</f>
        <v>1.13.1.1</v>
      </c>
      <c r="AR63" s="2875"/>
    </row>
    <row customHeight="1" ht="17.25">
      <c r="A64" s="1881"/>
      <c r="B64" s="2875"/>
      <c r="C64" s="1883"/>
      <c r="D64" s="1871"/>
      <c r="E64" s="1888"/>
      <c r="F64" s="1825"/>
      <c r="G64" s="1889"/>
      <c r="H64" s="1796"/>
      <c r="I64" s="1796"/>
      <c r="J64" s="1797"/>
      <c r="K64" s="1889"/>
      <c r="L64" s="1796"/>
      <c r="M64" s="1796"/>
      <c r="N64" s="1889"/>
      <c r="O64" s="1889"/>
      <c r="P64" s="1796"/>
      <c r="Q64" s="1796"/>
      <c r="R64" s="1798"/>
      <c r="S64" s="1889"/>
      <c r="T64" s="1852" t="s">
        <v>105</v>
      </c>
      <c r="U64" s="1852" t="s">
        <v>104</v>
      </c>
      <c r="V64" s="1884" t="s">
        <v>301</v>
      </c>
      <c r="W64" s="1842"/>
      <c r="X64" s="2875"/>
      <c r="Y64" s="1296"/>
      <c r="Z64" s="1296"/>
      <c r="AA64" s="1296"/>
      <c r="AB64" s="1296"/>
      <c r="AC64" s="2887" t="s">
        <v>245</v>
      </c>
      <c r="AD64" s="2887" t="s">
        <v>246</v>
      </c>
      <c r="AE64" s="2887" t="s">
        <v>298</v>
      </c>
      <c r="AF64" s="2887" t="s">
        <v>299</v>
      </c>
      <c r="AG64" s="1296" t="s">
        <v>302</v>
      </c>
      <c r="AH64" s="1296" t="str">
        <f>IF($E$23=0,"",$E$23)</f>
        <v>Тарифы на теплоноситель, поставляемый теплоснабжающими организациями потребителям, другим теплоснабжающим организациям</v>
      </c>
      <c r="AI64" s="1296" t="str">
        <f>IF($G$23=0,"",$G$23)</f>
        <v>Производство. Теплоноситель, Передача. Теплоноситель, Сбыт. Теплоноситель</v>
      </c>
      <c r="AJ64" s="1296" t="str">
        <f>IF($J$23=0,"",$J$23)</f>
        <v>Тариф на теплоноситель, поставляемый потребителям</v>
      </c>
      <c r="AK64" s="1296" t="str">
        <f>IF($K$63="нет","без дифференциации",IF($N$63=0,"",$N$63))</f>
        <v>Территория 13</v>
      </c>
      <c r="AL64" s="1885" t="str">
        <f>IF($O$63="нет","без дифференциации",IF($R$63=0,"",$R$63))</f>
        <v>без дифференциации</v>
      </c>
      <c r="AM64" s="1885" t="str">
        <f>IF($S$64="нет","без дифференциации",IF($V$64=0,"",$V$64))</f>
        <v>город Кандалакша (микрорайон Нива-3)</v>
      </c>
      <c r="AN64" s="1296">
        <f>$I$23</f>
        <v>1</v>
      </c>
      <c r="AO64" s="1296" t="str">
        <f>$I$23&amp;"."&amp;$M$63</f>
        <v>1.13</v>
      </c>
      <c r="AP64" s="1296" t="str">
        <f>$I$23&amp;"."&amp;$M$63&amp;"."&amp;$Q$63</f>
        <v>1.13.1</v>
      </c>
      <c r="AQ64" s="1296" t="str">
        <f>$I$23&amp;"."&amp;$M$63&amp;"."&amp;$Q$63&amp;"."&amp;$U$64</f>
        <v>1.13.1.2</v>
      </c>
      <c r="AR64" s="2875"/>
    </row>
    <row customHeight="1" ht="17.25">
      <c r="A65" s="1881"/>
      <c r="B65" s="2875"/>
      <c r="C65" s="1886"/>
      <c r="D65" s="1871"/>
      <c r="E65" s="1888"/>
      <c r="F65" s="1825"/>
      <c r="G65" s="1889"/>
      <c r="H65" s="1871"/>
      <c r="I65" s="1871"/>
      <c r="J65" s="1890"/>
      <c r="K65" s="1800"/>
      <c r="L65" s="1982"/>
      <c r="M65" s="1982"/>
      <c r="N65" s="2387"/>
      <c r="O65" s="2045"/>
      <c r="P65" s="1982"/>
      <c r="Q65" s="1982"/>
      <c r="R65" s="2911" t="s">
        <v>24</v>
      </c>
      <c r="S65" s="1981"/>
      <c r="T65" s="310"/>
      <c r="U65" s="311"/>
      <c r="V65" s="311" t="s">
        <v>254</v>
      </c>
      <c r="W65" s="312"/>
      <c r="X65" s="2875"/>
      <c r="Y65" s="1288"/>
      <c r="Z65" s="1288"/>
      <c r="AA65" s="1288"/>
      <c r="AB65" s="1288"/>
      <c r="AC65" s="1288"/>
      <c r="AD65" s="1288"/>
      <c r="AE65" s="1288"/>
      <c r="AF65" s="1288"/>
      <c r="AG65" s="1288"/>
      <c r="AH65" s="1288"/>
      <c r="AI65" s="1288"/>
      <c r="AJ65" s="1288"/>
      <c r="AK65" s="1288"/>
      <c r="AL65" s="2875"/>
      <c r="AM65" s="2875"/>
      <c r="AN65" s="2875"/>
      <c r="AO65" s="2875"/>
      <c r="AP65" s="2875"/>
      <c r="AQ65" s="2875"/>
      <c r="AR65" s="2875"/>
    </row>
    <row customHeight="1" ht="17.25">
      <c r="A66" s="1881"/>
      <c r="B66" s="2875"/>
      <c r="C66" s="1886"/>
      <c r="D66" s="1871"/>
      <c r="E66" s="1888"/>
      <c r="F66" s="1825"/>
      <c r="G66" s="1889"/>
      <c r="H66" s="1871"/>
      <c r="I66" s="1871"/>
      <c r="J66" s="1890"/>
      <c r="K66" s="1800"/>
      <c r="L66" s="2354"/>
      <c r="M66" s="2354"/>
      <c r="N66" s="2388"/>
      <c r="O66" s="1986"/>
      <c r="P66" s="310"/>
      <c r="Q66" s="311"/>
      <c r="R66" s="311" t="s">
        <v>255</v>
      </c>
      <c r="S66" s="1887"/>
      <c r="T66" s="1887"/>
      <c r="U66" s="1887"/>
      <c r="V66" s="1887"/>
      <c r="W66" s="312"/>
      <c r="X66" s="2875"/>
      <c r="Y66" s="1288"/>
      <c r="Z66" s="1288"/>
      <c r="AA66" s="1288"/>
      <c r="AB66" s="1288"/>
      <c r="AC66" s="1288"/>
      <c r="AD66" s="1288"/>
      <c r="AE66" s="1288"/>
      <c r="AF66" s="1288"/>
      <c r="AG66" s="1288"/>
      <c r="AH66" s="1288"/>
      <c r="AI66" s="1288"/>
      <c r="AJ66" s="1288"/>
      <c r="AK66" s="1288"/>
      <c r="AL66" s="2875"/>
      <c r="AM66" s="2875"/>
      <c r="AN66" s="2875"/>
      <c r="AO66" s="2875"/>
      <c r="AP66" s="2875"/>
      <c r="AQ66" s="2875"/>
      <c r="AR66" s="2875"/>
    </row>
    <row customHeight="1" ht="17.25">
      <c r="A67" s="1881"/>
      <c r="B67" s="2875"/>
      <c r="C67" s="1883"/>
      <c r="D67" s="1871"/>
      <c r="E67" s="1888"/>
      <c r="F67" s="1825"/>
      <c r="G67" s="1889"/>
      <c r="H67" s="1871"/>
      <c r="I67" s="1871"/>
      <c r="J67" s="1890"/>
      <c r="K67" s="1800"/>
      <c r="L67" s="1982" t="s">
        <v>105</v>
      </c>
      <c r="M67" s="1982" t="s">
        <v>157</v>
      </c>
      <c r="N67" s="2387" t="str">
        <f>IF(Z67="","",INDEX(TERRITORY_MR_LIST,MATCH(Z67,TERRITORY_LIST_ID,0)))</f>
        <v>Территория 14</v>
      </c>
      <c r="O67" s="2044" t="s">
        <v>58</v>
      </c>
      <c r="P67" s="1982"/>
      <c r="Q67" s="1982" t="s">
        <v>193</v>
      </c>
      <c r="R67" s="2911" t="s">
        <v>24</v>
      </c>
      <c r="S67" s="1981" t="s">
        <v>58</v>
      </c>
      <c r="T67" s="1852"/>
      <c r="U67" s="1852" t="s">
        <v>193</v>
      </c>
      <c r="V67" s="2912" t="s">
        <v>24</v>
      </c>
      <c r="W67" s="1842"/>
      <c r="X67" s="2875"/>
      <c r="Y67" s="1296"/>
      <c r="Z67" s="1296" t="s">
        <v>158</v>
      </c>
      <c r="AA67" s="1296"/>
      <c r="AB67" s="1296"/>
      <c r="AC67" s="2887" t="s">
        <v>245</v>
      </c>
      <c r="AD67" s="2887" t="s">
        <v>246</v>
      </c>
      <c r="AE67" s="1296" t="s">
        <v>303</v>
      </c>
      <c r="AF67" s="1296" t="s">
        <v>304</v>
      </c>
      <c r="AG67" s="1296" t="s">
        <v>305</v>
      </c>
      <c r="AH67" s="1296" t="str">
        <f>IF($E$23=0,"",$E$23)</f>
        <v>Тарифы на теплоноситель, поставляемый теплоснабжающими организациями потребителям, другим теплоснабжающим организациям</v>
      </c>
      <c r="AI67" s="1296" t="str">
        <f>IF($G$23=0,"",$G$23)</f>
        <v>Производство. Теплоноситель, Передача. Теплоноситель, Сбыт. Теплоноситель</v>
      </c>
      <c r="AJ67" s="1296" t="str">
        <f>IF($J$23=0,"",$J$23)</f>
        <v>Тариф на теплоноситель, поставляемый потребителям</v>
      </c>
      <c r="AK67" s="1296" t="str">
        <f>IF($K$67="нет","без дифференциации",IF($N$67=0,"",$N$67))</f>
        <v>Территория 14</v>
      </c>
      <c r="AL67" s="1885" t="str">
        <f>IF($O$67="нет","без дифференциации",IF($R$67=0,"",$R$67))</f>
        <v>без дифференциации</v>
      </c>
      <c r="AM67" s="1885" t="str">
        <f>IF($S$67="нет","без дифференциации",IF($V$67=0,"",$V$67))</f>
        <v>без дифференциации</v>
      </c>
      <c r="AN67" s="1296">
        <f>$I$23</f>
        <v>1</v>
      </c>
      <c r="AO67" s="1296" t="str">
        <f>$I$23&amp;"."&amp;$M$67</f>
        <v>1.14</v>
      </c>
      <c r="AP67" s="1296" t="str">
        <f>$I$23&amp;"."&amp;$M$67&amp;"."&amp;$Q$67</f>
        <v>1.14.1</v>
      </c>
      <c r="AQ67" s="1296" t="str">
        <f>$I$23&amp;"."&amp;$M$67&amp;"."&amp;$Q$67&amp;"."&amp;$U$67</f>
        <v>1.14.1.1</v>
      </c>
      <c r="AR67" s="2875"/>
    </row>
    <row customHeight="1" ht="17.25">
      <c r="A68" s="1881"/>
      <c r="B68" s="2875"/>
      <c r="C68" s="1886"/>
      <c r="D68" s="1871"/>
      <c r="E68" s="1888"/>
      <c r="F68" s="1825"/>
      <c r="G68" s="1889"/>
      <c r="H68" s="1871"/>
      <c r="I68" s="1871"/>
      <c r="J68" s="1890"/>
      <c r="K68" s="1800"/>
      <c r="L68" s="1982"/>
      <c r="M68" s="1982"/>
      <c r="N68" s="2387"/>
      <c r="O68" s="2045"/>
      <c r="P68" s="1982"/>
      <c r="Q68" s="1982"/>
      <c r="R68" s="2911" t="s">
        <v>24</v>
      </c>
      <c r="S68" s="1981"/>
      <c r="T68" s="310"/>
      <c r="U68" s="311"/>
      <c r="V68" s="311" t="s">
        <v>254</v>
      </c>
      <c r="W68" s="312"/>
      <c r="X68" s="2875"/>
      <c r="Y68" s="1288"/>
      <c r="Z68" s="1288"/>
      <c r="AA68" s="1288"/>
      <c r="AB68" s="1288"/>
      <c r="AC68" s="1288"/>
      <c r="AD68" s="1288"/>
      <c r="AE68" s="1288"/>
      <c r="AF68" s="1288"/>
      <c r="AG68" s="1288"/>
      <c r="AH68" s="1288"/>
      <c r="AI68" s="1288"/>
      <c r="AJ68" s="1288"/>
      <c r="AK68" s="1288"/>
      <c r="AL68" s="2875"/>
      <c r="AM68" s="2875"/>
      <c r="AN68" s="2875"/>
      <c r="AO68" s="2875"/>
      <c r="AP68" s="2875"/>
      <c r="AQ68" s="2875"/>
      <c r="AR68" s="2875"/>
    </row>
    <row customHeight="1" ht="17.25">
      <c r="A69" s="1881"/>
      <c r="B69" s="2875"/>
      <c r="C69" s="1886"/>
      <c r="D69" s="1871"/>
      <c r="E69" s="1888"/>
      <c r="F69" s="1825"/>
      <c r="G69" s="1889"/>
      <c r="H69" s="1871"/>
      <c r="I69" s="1871"/>
      <c r="J69" s="1890"/>
      <c r="K69" s="1800"/>
      <c r="L69" s="2354"/>
      <c r="M69" s="2354"/>
      <c r="N69" s="2388"/>
      <c r="O69" s="1986"/>
      <c r="P69" s="310"/>
      <c r="Q69" s="311"/>
      <c r="R69" s="311" t="s">
        <v>255</v>
      </c>
      <c r="S69" s="1887"/>
      <c r="T69" s="1887"/>
      <c r="U69" s="1887"/>
      <c r="V69" s="1887"/>
      <c r="W69" s="312"/>
      <c r="X69" s="2875"/>
      <c r="Y69" s="1288"/>
      <c r="Z69" s="1288"/>
      <c r="AA69" s="1288"/>
      <c r="AB69" s="1288"/>
      <c r="AC69" s="1288"/>
      <c r="AD69" s="1288"/>
      <c r="AE69" s="1288"/>
      <c r="AF69" s="1288"/>
      <c r="AG69" s="1288"/>
      <c r="AH69" s="1288"/>
      <c r="AI69" s="1288"/>
      <c r="AJ69" s="1288"/>
      <c r="AK69" s="1288"/>
      <c r="AL69" s="2875"/>
      <c r="AM69" s="2875"/>
      <c r="AN69" s="2875"/>
      <c r="AO69" s="2875"/>
      <c r="AP69" s="2875"/>
      <c r="AQ69" s="2875"/>
      <c r="AR69" s="2875"/>
    </row>
    <row customHeight="1" ht="17.25">
      <c r="A70" s="1881"/>
      <c r="B70" s="2875"/>
      <c r="C70" s="1883"/>
      <c r="D70" s="1871"/>
      <c r="E70" s="1888"/>
      <c r="F70" s="1825"/>
      <c r="G70" s="1889"/>
      <c r="H70" s="1871"/>
      <c r="I70" s="1871"/>
      <c r="J70" s="1890"/>
      <c r="K70" s="1800"/>
      <c r="L70" s="1982" t="s">
        <v>105</v>
      </c>
      <c r="M70" s="1982" t="s">
        <v>159</v>
      </c>
      <c r="N70" s="2387" t="str">
        <f>IF(Z70="","",INDEX(TERRITORY_MR_LIST,MATCH(Z70,TERRITORY_LIST_ID,0)))</f>
        <v>Территория 15</v>
      </c>
      <c r="O70" s="2044" t="s">
        <v>58</v>
      </c>
      <c r="P70" s="1982"/>
      <c r="Q70" s="1982" t="s">
        <v>193</v>
      </c>
      <c r="R70" s="2911" t="s">
        <v>24</v>
      </c>
      <c r="S70" s="1981" t="s">
        <v>63</v>
      </c>
      <c r="T70" s="1852"/>
      <c r="U70" s="1852" t="s">
        <v>193</v>
      </c>
      <c r="V70" s="1884" t="s">
        <v>306</v>
      </c>
      <c r="W70" s="1842"/>
      <c r="X70" s="2875"/>
      <c r="Y70" s="1296"/>
      <c r="Z70" s="1296" t="s">
        <v>162</v>
      </c>
      <c r="AA70" s="1296"/>
      <c r="AB70" s="1296"/>
      <c r="AC70" s="2887" t="s">
        <v>245</v>
      </c>
      <c r="AD70" s="2887" t="s">
        <v>246</v>
      </c>
      <c r="AE70" s="1296" t="s">
        <v>307</v>
      </c>
      <c r="AF70" s="1296" t="s">
        <v>308</v>
      </c>
      <c r="AG70" s="1296" t="s">
        <v>309</v>
      </c>
      <c r="AH70" s="1296" t="str">
        <f>IF($E$23=0,"",$E$23)</f>
        <v>Тарифы на теплоноситель, поставляемый теплоснабжающими организациями потребителям, другим теплоснабжающим организациям</v>
      </c>
      <c r="AI70" s="1296" t="str">
        <f>IF($G$23=0,"",$G$23)</f>
        <v>Производство. Теплоноситель, Передача. Теплоноситель, Сбыт. Теплоноситель</v>
      </c>
      <c r="AJ70" s="1296" t="str">
        <f>IF($J$23=0,"",$J$23)</f>
        <v>Тариф на теплоноситель, поставляемый потребителям</v>
      </c>
      <c r="AK70" s="1296" t="str">
        <f>IF($K$70="нет","без дифференциации",IF($N$70=0,"",$N$70))</f>
        <v>Территория 15</v>
      </c>
      <c r="AL70" s="1885" t="str">
        <f>IF($O$70="нет","без дифференциации",IF($R$70=0,"",$R$70))</f>
        <v>без дифференциации</v>
      </c>
      <c r="AM70" s="1885" t="str">
        <f>IF($S$70="нет","без дифференциации",IF($V$70=0,"",$V$70))</f>
        <v>с.п.Териберка (мазутная котельная)</v>
      </c>
      <c r="AN70" s="1296">
        <f>$I$23</f>
        <v>1</v>
      </c>
      <c r="AO70" s="1296" t="str">
        <f>$I$23&amp;"."&amp;$M$70</f>
        <v>1.15</v>
      </c>
      <c r="AP70" s="1296" t="str">
        <f>$I$23&amp;"."&amp;$M$70&amp;"."&amp;$Q$70</f>
        <v>1.15.1</v>
      </c>
      <c r="AQ70" s="1296" t="str">
        <f>$I$23&amp;"."&amp;$M$70&amp;"."&amp;$Q$70&amp;"."&amp;$U$70</f>
        <v>1.15.1.1</v>
      </c>
      <c r="AR70" s="2875"/>
    </row>
    <row customHeight="1" ht="17.25">
      <c r="A71" s="1881"/>
      <c r="B71" s="2875"/>
      <c r="C71" s="1886"/>
      <c r="D71" s="1871"/>
      <c r="E71" s="1888"/>
      <c r="F71" s="1825"/>
      <c r="G71" s="1889"/>
      <c r="H71" s="1871"/>
      <c r="I71" s="1871"/>
      <c r="J71" s="1890"/>
      <c r="K71" s="1800"/>
      <c r="L71" s="1982"/>
      <c r="M71" s="1982"/>
      <c r="N71" s="2387"/>
      <c r="O71" s="2045"/>
      <c r="P71" s="1982"/>
      <c r="Q71" s="1982"/>
      <c r="R71" s="2911" t="s">
        <v>24</v>
      </c>
      <c r="S71" s="1981"/>
      <c r="T71" s="310"/>
      <c r="U71" s="311"/>
      <c r="V71" s="311" t="s">
        <v>254</v>
      </c>
      <c r="W71" s="312"/>
      <c r="X71" s="2875"/>
      <c r="Y71" s="1288"/>
      <c r="Z71" s="1288"/>
      <c r="AA71" s="1288"/>
      <c r="AB71" s="1288"/>
      <c r="AC71" s="1288"/>
      <c r="AD71" s="1288"/>
      <c r="AE71" s="1288"/>
      <c r="AF71" s="1288"/>
      <c r="AG71" s="1288"/>
      <c r="AH71" s="1288"/>
      <c r="AI71" s="1288"/>
      <c r="AJ71" s="1288"/>
      <c r="AK71" s="1288"/>
      <c r="AL71" s="2875"/>
      <c r="AM71" s="2875"/>
      <c r="AN71" s="2875"/>
      <c r="AO71" s="2875"/>
      <c r="AP71" s="2875"/>
      <c r="AQ71" s="2875"/>
      <c r="AR71" s="2875"/>
    </row>
    <row customHeight="1" ht="17.25">
      <c r="A72" s="1881"/>
      <c r="B72" s="2875"/>
      <c r="C72" s="1886"/>
      <c r="D72" s="1871"/>
      <c r="E72" s="1888"/>
      <c r="F72" s="1825"/>
      <c r="G72" s="1889"/>
      <c r="H72" s="1871"/>
      <c r="I72" s="1871"/>
      <c r="J72" s="1890"/>
      <c r="K72" s="1800"/>
      <c r="L72" s="2354"/>
      <c r="M72" s="2354"/>
      <c r="N72" s="2388"/>
      <c r="O72" s="1986"/>
      <c r="P72" s="310"/>
      <c r="Q72" s="311"/>
      <c r="R72" s="311" t="s">
        <v>255</v>
      </c>
      <c r="S72" s="1887"/>
      <c r="T72" s="1887"/>
      <c r="U72" s="1887"/>
      <c r="V72" s="1887"/>
      <c r="W72" s="312"/>
      <c r="X72" s="2875"/>
      <c r="Y72" s="1288"/>
      <c r="Z72" s="1288"/>
      <c r="AA72" s="1288"/>
      <c r="AB72" s="1288"/>
      <c r="AC72" s="1288"/>
      <c r="AD72" s="1288"/>
      <c r="AE72" s="1288"/>
      <c r="AF72" s="1288"/>
      <c r="AG72" s="1288"/>
      <c r="AH72" s="1288"/>
      <c r="AI72" s="1288"/>
      <c r="AJ72" s="1288"/>
      <c r="AK72" s="1288"/>
      <c r="AL72" s="2875"/>
      <c r="AM72" s="2875"/>
      <c r="AN72" s="2875"/>
      <c r="AO72" s="2875"/>
      <c r="AP72" s="2875"/>
      <c r="AQ72" s="2875"/>
      <c r="AR72" s="2875"/>
    </row>
    <row customHeight="1" ht="17.25">
      <c r="A73" s="1881"/>
      <c r="B73" s="2875"/>
      <c r="C73" s="1883"/>
      <c r="D73" s="1871"/>
      <c r="E73" s="1888"/>
      <c r="F73" s="1825"/>
      <c r="G73" s="1889"/>
      <c r="H73" s="1871"/>
      <c r="I73" s="1871"/>
      <c r="J73" s="1890"/>
      <c r="K73" s="1800"/>
      <c r="L73" s="1982" t="s">
        <v>105</v>
      </c>
      <c r="M73" s="1982" t="s">
        <v>166</v>
      </c>
      <c r="N73" s="2387" t="str">
        <f>IF(Z73="","",INDEX(TERRITORY_MR_LIST,MATCH(Z73,TERRITORY_LIST_ID,0)))</f>
        <v>Территория 16</v>
      </c>
      <c r="O73" s="2044" t="s">
        <v>58</v>
      </c>
      <c r="P73" s="1982"/>
      <c r="Q73" s="1982" t="s">
        <v>193</v>
      </c>
      <c r="R73" s="2911" t="s">
        <v>24</v>
      </c>
      <c r="S73" s="1981" t="s">
        <v>63</v>
      </c>
      <c r="T73" s="1852"/>
      <c r="U73" s="1852" t="s">
        <v>193</v>
      </c>
      <c r="V73" s="1884" t="s">
        <v>310</v>
      </c>
      <c r="W73" s="1842"/>
      <c r="X73" s="2875"/>
      <c r="Y73" s="1296"/>
      <c r="Z73" s="1296" t="s">
        <v>167</v>
      </c>
      <c r="AA73" s="1296"/>
      <c r="AB73" s="1296"/>
      <c r="AC73" s="2887" t="s">
        <v>245</v>
      </c>
      <c r="AD73" s="2887" t="s">
        <v>246</v>
      </c>
      <c r="AE73" s="1296" t="s">
        <v>311</v>
      </c>
      <c r="AF73" s="1296" t="s">
        <v>312</v>
      </c>
      <c r="AG73" s="1296" t="s">
        <v>313</v>
      </c>
      <c r="AH73" s="1296" t="str">
        <f>IF($E$23=0,"",$E$23)</f>
        <v>Тарифы на теплоноситель, поставляемый теплоснабжающими организациями потребителям, другим теплоснабжающим организациям</v>
      </c>
      <c r="AI73" s="1296" t="str">
        <f>IF($G$23=0,"",$G$23)</f>
        <v>Производство. Теплоноситель, Передача. Теплоноситель, Сбыт. Теплоноситель</v>
      </c>
      <c r="AJ73" s="1296" t="str">
        <f>IF($J$23=0,"",$J$23)</f>
        <v>Тариф на теплоноситель, поставляемый потребителям</v>
      </c>
      <c r="AK73" s="1296" t="str">
        <f>IF($K$73="нет","без дифференциации",IF($N$73=0,"",$N$73))</f>
        <v>Территория 16</v>
      </c>
      <c r="AL73" s="1885" t="str">
        <f>IF($O$73="нет","без дифференциации",IF($R$73=0,"",$R$73))</f>
        <v>без дифференциации</v>
      </c>
      <c r="AM73" s="1885" t="str">
        <f>IF($S$73="нет","без дифференциации",IF($V$73=0,"",$V$73))</f>
        <v>н.п.Енский (мазутная котельная)</v>
      </c>
      <c r="AN73" s="1296">
        <f>$I$23</f>
        <v>1</v>
      </c>
      <c r="AO73" s="1296" t="str">
        <f>$I$23&amp;"."&amp;$M$73</f>
        <v>1.16</v>
      </c>
      <c r="AP73" s="1296" t="str">
        <f>$I$23&amp;"."&amp;$M$73&amp;"."&amp;$Q$73</f>
        <v>1.16.1</v>
      </c>
      <c r="AQ73" s="1296" t="str">
        <f>$I$23&amp;"."&amp;$M$73&amp;"."&amp;$Q$73&amp;"."&amp;$U$73</f>
        <v>1.16.1.1</v>
      </c>
      <c r="AR73" s="2875"/>
    </row>
    <row customHeight="1" ht="17.25">
      <c r="A74" s="1881"/>
      <c r="B74" s="2875"/>
      <c r="C74" s="1883"/>
      <c r="D74" s="1871"/>
      <c r="E74" s="1888"/>
      <c r="F74" s="1825"/>
      <c r="G74" s="1889"/>
      <c r="H74" s="1796"/>
      <c r="I74" s="1796"/>
      <c r="J74" s="1797"/>
      <c r="K74" s="1889"/>
      <c r="L74" s="1796"/>
      <c r="M74" s="1796"/>
      <c r="N74" s="1889"/>
      <c r="O74" s="1889"/>
      <c r="P74" s="1796"/>
      <c r="Q74" s="1796"/>
      <c r="R74" s="1798"/>
      <c r="S74" s="1889"/>
      <c r="T74" s="1852" t="s">
        <v>105</v>
      </c>
      <c r="U74" s="1852" t="s">
        <v>104</v>
      </c>
      <c r="V74" s="1884" t="s">
        <v>314</v>
      </c>
      <c r="W74" s="1842"/>
      <c r="X74" s="2875"/>
      <c r="Y74" s="1296"/>
      <c r="Z74" s="1296"/>
      <c r="AA74" s="1296"/>
      <c r="AB74" s="1296"/>
      <c r="AC74" s="2887" t="s">
        <v>245</v>
      </c>
      <c r="AD74" s="2887" t="s">
        <v>246</v>
      </c>
      <c r="AE74" s="2887" t="s">
        <v>311</v>
      </c>
      <c r="AF74" s="2887" t="s">
        <v>312</v>
      </c>
      <c r="AG74" s="1296" t="s">
        <v>315</v>
      </c>
      <c r="AH74" s="1296" t="str">
        <f>IF($E$23=0,"",$E$23)</f>
        <v>Тарифы на теплоноситель, поставляемый теплоснабжающими организациями потребителям, другим теплоснабжающим организациям</v>
      </c>
      <c r="AI74" s="1296" t="str">
        <f>IF($G$23=0,"",$G$23)</f>
        <v>Производство. Теплоноситель, Передача. Теплоноситель, Сбыт. Теплоноситель</v>
      </c>
      <c r="AJ74" s="1296" t="str">
        <f>IF($J$23=0,"",$J$23)</f>
        <v>Тариф на теплоноситель, поставляемый потребителям</v>
      </c>
      <c r="AK74" s="1296" t="str">
        <f>IF($K$73="нет","без дифференциации",IF($N$73=0,"",$N$73))</f>
        <v>Территория 16</v>
      </c>
      <c r="AL74" s="1885" t="str">
        <f>IF($O$73="нет","без дифференциации",IF($R$73=0,"",$R$73))</f>
        <v>без дифференциации</v>
      </c>
      <c r="AM74" s="1885" t="str">
        <f>IF($S$74="нет","без дифференциации",IF($V$74=0,"",$V$74))</f>
        <v>н.п.Лейпи </v>
      </c>
      <c r="AN74" s="1296">
        <f>$I$23</f>
        <v>1</v>
      </c>
      <c r="AO74" s="1296" t="str">
        <f>$I$23&amp;"."&amp;$M$73</f>
        <v>1.16</v>
      </c>
      <c r="AP74" s="1296" t="str">
        <f>$I$23&amp;"."&amp;$M$73&amp;"."&amp;$Q$73</f>
        <v>1.16.1</v>
      </c>
      <c r="AQ74" s="1296" t="str">
        <f>$I$23&amp;"."&amp;$M$73&amp;"."&amp;$Q$73&amp;"."&amp;$U$74</f>
        <v>1.16.1.2</v>
      </c>
      <c r="AR74" s="2875"/>
    </row>
    <row customHeight="1" ht="17.25">
      <c r="A75" s="1881"/>
      <c r="B75" s="2875"/>
      <c r="C75" s="1886"/>
      <c r="D75" s="1871"/>
      <c r="E75" s="1888"/>
      <c r="F75" s="1825"/>
      <c r="G75" s="1889"/>
      <c r="H75" s="1871"/>
      <c r="I75" s="1871"/>
      <c r="J75" s="1890"/>
      <c r="K75" s="1800"/>
      <c r="L75" s="1982"/>
      <c r="M75" s="1982"/>
      <c r="N75" s="2387"/>
      <c r="O75" s="2045"/>
      <c r="P75" s="1982"/>
      <c r="Q75" s="1982"/>
      <c r="R75" s="2911" t="s">
        <v>24</v>
      </c>
      <c r="S75" s="1981"/>
      <c r="T75" s="310"/>
      <c r="U75" s="311"/>
      <c r="V75" s="311" t="s">
        <v>254</v>
      </c>
      <c r="W75" s="312"/>
      <c r="X75" s="2875"/>
      <c r="Y75" s="1288"/>
      <c r="Z75" s="1288"/>
      <c r="AA75" s="1288"/>
      <c r="AB75" s="1288"/>
      <c r="AC75" s="1288"/>
      <c r="AD75" s="1288"/>
      <c r="AE75" s="1288"/>
      <c r="AF75" s="1288"/>
      <c r="AG75" s="1288"/>
      <c r="AH75" s="1288"/>
      <c r="AI75" s="1288"/>
      <c r="AJ75" s="1288"/>
      <c r="AK75" s="1288"/>
      <c r="AL75" s="2875"/>
      <c r="AM75" s="2875"/>
      <c r="AN75" s="2875"/>
      <c r="AO75" s="2875"/>
      <c r="AP75" s="2875"/>
      <c r="AQ75" s="2875"/>
      <c r="AR75" s="2875"/>
    </row>
    <row customHeight="1" ht="17.25">
      <c r="A76" s="1881"/>
      <c r="B76" s="2875"/>
      <c r="C76" s="1886"/>
      <c r="D76" s="1871"/>
      <c r="E76" s="1888"/>
      <c r="F76" s="1825"/>
      <c r="G76" s="1889"/>
      <c r="H76" s="1871"/>
      <c r="I76" s="1871"/>
      <c r="J76" s="1890"/>
      <c r="K76" s="1800"/>
      <c r="L76" s="2354"/>
      <c r="M76" s="2354"/>
      <c r="N76" s="2388"/>
      <c r="O76" s="1986"/>
      <c r="P76" s="310"/>
      <c r="Q76" s="311"/>
      <c r="R76" s="311" t="s">
        <v>255</v>
      </c>
      <c r="S76" s="1887"/>
      <c r="T76" s="1887"/>
      <c r="U76" s="1887"/>
      <c r="V76" s="1887"/>
      <c r="W76" s="312"/>
      <c r="X76" s="2875"/>
      <c r="Y76" s="1288"/>
      <c r="Z76" s="1288"/>
      <c r="AA76" s="1288"/>
      <c r="AB76" s="1288"/>
      <c r="AC76" s="1288"/>
      <c r="AD76" s="1288"/>
      <c r="AE76" s="1288"/>
      <c r="AF76" s="1288"/>
      <c r="AG76" s="1288"/>
      <c r="AH76" s="1288"/>
      <c r="AI76" s="1288"/>
      <c r="AJ76" s="1288"/>
      <c r="AK76" s="1288"/>
      <c r="AL76" s="2875"/>
      <c r="AM76" s="2875"/>
      <c r="AN76" s="2875"/>
      <c r="AO76" s="2875"/>
      <c r="AP76" s="2875"/>
      <c r="AQ76" s="2875"/>
      <c r="AR76" s="2875"/>
    </row>
    <row customHeight="1" ht="17.25">
      <c r="A77" s="1881"/>
      <c r="B77" s="2875"/>
      <c r="C77" s="1883"/>
      <c r="D77" s="1871"/>
      <c r="E77" s="1888"/>
      <c r="F77" s="1825"/>
      <c r="G77" s="1889"/>
      <c r="H77" s="1871"/>
      <c r="I77" s="1871"/>
      <c r="J77" s="1890"/>
      <c r="K77" s="1800"/>
      <c r="L77" s="1982" t="s">
        <v>105</v>
      </c>
      <c r="M77" s="1982" t="s">
        <v>170</v>
      </c>
      <c r="N77" s="2387" t="str">
        <f>IF(Z77="","",INDEX(TERRITORY_MR_LIST,MATCH(Z77,TERRITORY_LIST_ID,0)))</f>
        <v>Территория 17</v>
      </c>
      <c r="O77" s="2044" t="s">
        <v>58</v>
      </c>
      <c r="P77" s="1982"/>
      <c r="Q77" s="1982" t="s">
        <v>193</v>
      </c>
      <c r="R77" s="2911" t="s">
        <v>24</v>
      </c>
      <c r="S77" s="1981" t="s">
        <v>58</v>
      </c>
      <c r="T77" s="1852"/>
      <c r="U77" s="1852" t="s">
        <v>193</v>
      </c>
      <c r="V77" s="2912" t="s">
        <v>24</v>
      </c>
      <c r="W77" s="1842"/>
      <c r="X77" s="2875"/>
      <c r="Y77" s="1296"/>
      <c r="Z77" s="1296" t="s">
        <v>171</v>
      </c>
      <c r="AA77" s="1296"/>
      <c r="AB77" s="1296"/>
      <c r="AC77" s="2887" t="s">
        <v>245</v>
      </c>
      <c r="AD77" s="2887" t="s">
        <v>246</v>
      </c>
      <c r="AE77" s="1296" t="s">
        <v>316</v>
      </c>
      <c r="AF77" s="1296" t="s">
        <v>317</v>
      </c>
      <c r="AG77" s="1296" t="s">
        <v>318</v>
      </c>
      <c r="AH77" s="1296" t="str">
        <f>IF($E$23=0,"",$E$23)</f>
        <v>Тарифы на теплоноситель, поставляемый теплоснабжающими организациями потребителям, другим теплоснабжающим организациям</v>
      </c>
      <c r="AI77" s="1296" t="str">
        <f>IF($G$23=0,"",$G$23)</f>
        <v>Производство. Теплоноситель, Передача. Теплоноситель, Сбыт. Теплоноситель</v>
      </c>
      <c r="AJ77" s="1296" t="str">
        <f>IF($J$23=0,"",$J$23)</f>
        <v>Тариф на теплоноситель, поставляемый потребителям</v>
      </c>
      <c r="AK77" s="1296" t="str">
        <f>IF($K$77="нет","без дифференциации",IF($N$77=0,"",$N$77))</f>
        <v>Территория 17</v>
      </c>
      <c r="AL77" s="1885" t="str">
        <f>IF($O$77="нет","без дифференциации",IF($R$77=0,"",$R$77))</f>
        <v>без дифференциации</v>
      </c>
      <c r="AM77" s="1885" t="str">
        <f>IF($S$77="нет","без дифференциации",IF($V$77=0,"",$V$77))</f>
        <v>без дифференциации</v>
      </c>
      <c r="AN77" s="1296">
        <f>$I$23</f>
        <v>1</v>
      </c>
      <c r="AO77" s="1296" t="str">
        <f>$I$23&amp;"."&amp;$M$77</f>
        <v>1.17</v>
      </c>
      <c r="AP77" s="1296" t="str">
        <f>$I$23&amp;"."&amp;$M$77&amp;"."&amp;$Q$77</f>
        <v>1.17.1</v>
      </c>
      <c r="AQ77" s="1296" t="str">
        <f>$I$23&amp;"."&amp;$M$77&amp;"."&amp;$Q$77&amp;"."&amp;$U$77</f>
        <v>1.17.1.1</v>
      </c>
      <c r="AR77" s="2875"/>
    </row>
    <row customHeight="1" ht="17.25">
      <c r="A78" s="1881"/>
      <c r="B78" s="2875"/>
      <c r="C78" s="1886"/>
      <c r="D78" s="1871"/>
      <c r="E78" s="1888"/>
      <c r="F78" s="1825"/>
      <c r="G78" s="1889"/>
      <c r="H78" s="1871"/>
      <c r="I78" s="1871"/>
      <c r="J78" s="1890"/>
      <c r="K78" s="1800"/>
      <c r="L78" s="1982"/>
      <c r="M78" s="1982"/>
      <c r="N78" s="2387"/>
      <c r="O78" s="2045"/>
      <c r="P78" s="1982"/>
      <c r="Q78" s="1982"/>
      <c r="R78" s="2911" t="s">
        <v>24</v>
      </c>
      <c r="S78" s="1981"/>
      <c r="T78" s="310"/>
      <c r="U78" s="311"/>
      <c r="V78" s="311" t="s">
        <v>254</v>
      </c>
      <c r="W78" s="312"/>
      <c r="X78" s="2875"/>
      <c r="Y78" s="1288"/>
      <c r="Z78" s="1288"/>
      <c r="AA78" s="1288"/>
      <c r="AB78" s="1288"/>
      <c r="AC78" s="1288"/>
      <c r="AD78" s="1288"/>
      <c r="AE78" s="1288"/>
      <c r="AF78" s="1288"/>
      <c r="AG78" s="1288"/>
      <c r="AH78" s="1288"/>
      <c r="AI78" s="1288"/>
      <c r="AJ78" s="1288"/>
      <c r="AK78" s="1288"/>
      <c r="AL78" s="2875"/>
      <c r="AM78" s="2875"/>
      <c r="AN78" s="2875"/>
      <c r="AO78" s="2875"/>
      <c r="AP78" s="2875"/>
      <c r="AQ78" s="2875"/>
      <c r="AR78" s="2875"/>
    </row>
    <row customHeight="1" ht="17.25">
      <c r="A79" s="1881"/>
      <c r="B79" s="2875"/>
      <c r="C79" s="1886"/>
      <c r="D79" s="1871"/>
      <c r="E79" s="1888"/>
      <c r="F79" s="1825"/>
      <c r="G79" s="1889"/>
      <c r="H79" s="1871"/>
      <c r="I79" s="1871"/>
      <c r="J79" s="1890"/>
      <c r="K79" s="1800"/>
      <c r="L79" s="2354"/>
      <c r="M79" s="2354"/>
      <c r="N79" s="2388"/>
      <c r="O79" s="1986"/>
      <c r="P79" s="310"/>
      <c r="Q79" s="311"/>
      <c r="R79" s="311" t="s">
        <v>255</v>
      </c>
      <c r="S79" s="1887"/>
      <c r="T79" s="1887"/>
      <c r="U79" s="1887"/>
      <c r="V79" s="1887"/>
      <c r="W79" s="312"/>
      <c r="X79" s="2875"/>
      <c r="Y79" s="1288"/>
      <c r="Z79" s="1288"/>
      <c r="AA79" s="1288"/>
      <c r="AB79" s="1288"/>
      <c r="AC79" s="1288"/>
      <c r="AD79" s="1288"/>
      <c r="AE79" s="1288"/>
      <c r="AF79" s="1288"/>
      <c r="AG79" s="1288"/>
      <c r="AH79" s="1288"/>
      <c r="AI79" s="1288"/>
      <c r="AJ79" s="1288"/>
      <c r="AK79" s="1288"/>
      <c r="AL79" s="2875"/>
      <c r="AM79" s="2875"/>
      <c r="AN79" s="2875"/>
      <c r="AO79" s="2875"/>
      <c r="AP79" s="2875"/>
      <c r="AQ79" s="2875"/>
      <c r="AR79" s="2875"/>
    </row>
    <row customHeight="1" ht="17.25">
      <c r="A80" s="1881"/>
      <c r="B80" s="2875"/>
      <c r="C80" s="1883"/>
      <c r="D80" s="1871"/>
      <c r="E80" s="1888"/>
      <c r="F80" s="1825"/>
      <c r="G80" s="1889"/>
      <c r="H80" s="1871"/>
      <c r="I80" s="1871"/>
      <c r="J80" s="1890"/>
      <c r="K80" s="1800"/>
      <c r="L80" s="1982" t="s">
        <v>105</v>
      </c>
      <c r="M80" s="1982" t="s">
        <v>175</v>
      </c>
      <c r="N80" s="2387" t="str">
        <f>IF(Z80="","",INDEX(TERRITORY_MR_LIST,MATCH(Z80,TERRITORY_LIST_ID,0)))</f>
        <v>Территория 18</v>
      </c>
      <c r="O80" s="2044" t="s">
        <v>58</v>
      </c>
      <c r="P80" s="1982"/>
      <c r="Q80" s="1982" t="s">
        <v>193</v>
      </c>
      <c r="R80" s="2911" t="s">
        <v>24</v>
      </c>
      <c r="S80" s="1981" t="s">
        <v>63</v>
      </c>
      <c r="T80" s="1852"/>
      <c r="U80" s="1852" t="s">
        <v>193</v>
      </c>
      <c r="V80" s="1884" t="s">
        <v>319</v>
      </c>
      <c r="W80" s="1842"/>
      <c r="X80" s="2875"/>
      <c r="Y80" s="1296"/>
      <c r="Z80" s="1296" t="s">
        <v>176</v>
      </c>
      <c r="AA80" s="1296"/>
      <c r="AB80" s="1296"/>
      <c r="AC80" s="2887" t="s">
        <v>245</v>
      </c>
      <c r="AD80" s="2887" t="s">
        <v>246</v>
      </c>
      <c r="AE80" s="1296" t="s">
        <v>320</v>
      </c>
      <c r="AF80" s="1296" t="s">
        <v>321</v>
      </c>
      <c r="AG80" s="1296" t="s">
        <v>322</v>
      </c>
      <c r="AH80" s="1296" t="str">
        <f>IF($E$23=0,"",$E$23)</f>
        <v>Тарифы на теплоноситель, поставляемый теплоснабжающими организациями потребителям, другим теплоснабжающим организациям</v>
      </c>
      <c r="AI80" s="1296" t="str">
        <f>IF($G$23=0,"",$G$23)</f>
        <v>Производство. Теплоноситель, Передача. Теплоноситель, Сбыт. Теплоноситель</v>
      </c>
      <c r="AJ80" s="1296" t="str">
        <f>IF($J$23=0,"",$J$23)</f>
        <v>Тариф на теплоноситель, поставляемый потребителям</v>
      </c>
      <c r="AK80" s="1296" t="str">
        <f>IF($K$80="нет","без дифференциации",IF($N$80=0,"",$N$80))</f>
        <v>Территория 18</v>
      </c>
      <c r="AL80" s="1885" t="str">
        <f>IF($O$80="нет","без дифференциации",IF($R$80=0,"",$R$80))</f>
        <v>без дифференциации</v>
      </c>
      <c r="AM80" s="1885" t="str">
        <f>IF($S$80="нет","без дифференциации",IF($V$80=0,"",$V$80))</f>
        <v>ж.д.ст. Лопарская</v>
      </c>
      <c r="AN80" s="1296">
        <f>$I$23</f>
        <v>1</v>
      </c>
      <c r="AO80" s="1296" t="str">
        <f>$I$23&amp;"."&amp;$M$80</f>
        <v>1.18</v>
      </c>
      <c r="AP80" s="1296" t="str">
        <f>$I$23&amp;"."&amp;$M$80&amp;"."&amp;$Q$80</f>
        <v>1.18.1</v>
      </c>
      <c r="AQ80" s="1296" t="str">
        <f>$I$23&amp;"."&amp;$M$80&amp;"."&amp;$Q$80&amp;"."&amp;$U$80</f>
        <v>1.18.1.1</v>
      </c>
      <c r="AR80" s="2875"/>
    </row>
    <row customHeight="1" ht="17.25">
      <c r="A81" s="1881"/>
      <c r="B81" s="2875"/>
      <c r="C81" s="1886"/>
      <c r="D81" s="1871"/>
      <c r="E81" s="1888"/>
      <c r="F81" s="1825"/>
      <c r="G81" s="1889"/>
      <c r="H81" s="1871"/>
      <c r="I81" s="1871"/>
      <c r="J81" s="1890"/>
      <c r="K81" s="1800"/>
      <c r="L81" s="1982"/>
      <c r="M81" s="1982"/>
      <c r="N81" s="2387"/>
      <c r="O81" s="2045"/>
      <c r="P81" s="1982"/>
      <c r="Q81" s="1982"/>
      <c r="R81" s="2911" t="s">
        <v>24</v>
      </c>
      <c r="S81" s="1981"/>
      <c r="T81" s="310"/>
      <c r="U81" s="311"/>
      <c r="V81" s="311" t="s">
        <v>254</v>
      </c>
      <c r="W81" s="312"/>
      <c r="X81" s="2875"/>
      <c r="Y81" s="1288"/>
      <c r="Z81" s="1288"/>
      <c r="AA81" s="1288"/>
      <c r="AB81" s="1288"/>
      <c r="AC81" s="1288"/>
      <c r="AD81" s="1288"/>
      <c r="AE81" s="1288"/>
      <c r="AF81" s="1288"/>
      <c r="AG81" s="1288"/>
      <c r="AH81" s="1288"/>
      <c r="AI81" s="1288"/>
      <c r="AJ81" s="1288"/>
      <c r="AK81" s="1288"/>
      <c r="AL81" s="2875"/>
      <c r="AM81" s="2875"/>
      <c r="AN81" s="2875"/>
      <c r="AO81" s="2875"/>
      <c r="AP81" s="2875"/>
      <c r="AQ81" s="2875"/>
      <c r="AR81" s="2875"/>
    </row>
    <row customHeight="1" ht="17.25">
      <c r="A82" s="1881"/>
      <c r="B82" s="2875"/>
      <c r="C82" s="1886"/>
      <c r="D82" s="1871"/>
      <c r="E82" s="1888"/>
      <c r="F82" s="1825"/>
      <c r="G82" s="1889"/>
      <c r="H82" s="1871"/>
      <c r="I82" s="1871"/>
      <c r="J82" s="1890"/>
      <c r="K82" s="1800"/>
      <c r="L82" s="2354"/>
      <c r="M82" s="2354"/>
      <c r="N82" s="2388"/>
      <c r="O82" s="1986"/>
      <c r="P82" s="310"/>
      <c r="Q82" s="311"/>
      <c r="R82" s="311" t="s">
        <v>255</v>
      </c>
      <c r="S82" s="1887"/>
      <c r="T82" s="1887"/>
      <c r="U82" s="1887"/>
      <c r="V82" s="1887"/>
      <c r="W82" s="312"/>
      <c r="X82" s="2875"/>
      <c r="Y82" s="1288"/>
      <c r="Z82" s="1288"/>
      <c r="AA82" s="1288"/>
      <c r="AB82" s="1288"/>
      <c r="AC82" s="1288"/>
      <c r="AD82" s="1288"/>
      <c r="AE82" s="1288"/>
      <c r="AF82" s="1288"/>
      <c r="AG82" s="1288"/>
      <c r="AH82" s="1288"/>
      <c r="AI82" s="1288"/>
      <c r="AJ82" s="1288"/>
      <c r="AK82" s="1288"/>
      <c r="AL82" s="2875"/>
      <c r="AM82" s="2875"/>
      <c r="AN82" s="2875"/>
      <c r="AO82" s="2875"/>
      <c r="AP82" s="2875"/>
      <c r="AQ82" s="2875"/>
      <c r="AR82" s="2875"/>
    </row>
    <row customHeight="1" ht="17.25">
      <c r="A83" s="1881"/>
      <c r="B83" s="2875"/>
      <c r="C83" s="1883"/>
      <c r="D83" s="1871"/>
      <c r="E83" s="1888"/>
      <c r="F83" s="1825"/>
      <c r="G83" s="1889"/>
      <c r="H83" s="1871"/>
      <c r="I83" s="1871"/>
      <c r="J83" s="1890"/>
      <c r="K83" s="1800"/>
      <c r="L83" s="1982" t="s">
        <v>105</v>
      </c>
      <c r="M83" s="1982" t="s">
        <v>180</v>
      </c>
      <c r="N83" s="2387" t="str">
        <f>IF(Z83="","",INDEX(TERRITORY_MR_LIST,MATCH(Z83,TERRITORY_LIST_ID,0)))</f>
        <v>Территория 19</v>
      </c>
      <c r="O83" s="2044" t="s">
        <v>58</v>
      </c>
      <c r="P83" s="1982"/>
      <c r="Q83" s="1982" t="s">
        <v>193</v>
      </c>
      <c r="R83" s="2911" t="s">
        <v>24</v>
      </c>
      <c r="S83" s="1981" t="s">
        <v>58</v>
      </c>
      <c r="T83" s="1852"/>
      <c r="U83" s="1852" t="s">
        <v>193</v>
      </c>
      <c r="V83" s="2912" t="s">
        <v>24</v>
      </c>
      <c r="W83" s="1842"/>
      <c r="X83" s="2875"/>
      <c r="Y83" s="1296"/>
      <c r="Z83" s="1296" t="s">
        <v>181</v>
      </c>
      <c r="AA83" s="1296"/>
      <c r="AB83" s="1296"/>
      <c r="AC83" s="2887" t="s">
        <v>245</v>
      </c>
      <c r="AD83" s="2887" t="s">
        <v>246</v>
      </c>
      <c r="AE83" s="1296" t="s">
        <v>323</v>
      </c>
      <c r="AF83" s="1296" t="s">
        <v>324</v>
      </c>
      <c r="AG83" s="1296" t="s">
        <v>325</v>
      </c>
      <c r="AH83" s="1296" t="str">
        <f>IF($E$23=0,"",$E$23)</f>
        <v>Тарифы на теплоноситель, поставляемый теплоснабжающими организациями потребителям, другим теплоснабжающим организациям</v>
      </c>
      <c r="AI83" s="1296" t="str">
        <f>IF($G$23=0,"",$G$23)</f>
        <v>Производство. Теплоноситель, Передача. Теплоноситель, Сбыт. Теплоноситель</v>
      </c>
      <c r="AJ83" s="1296" t="str">
        <f>IF($J$23=0,"",$J$23)</f>
        <v>Тариф на теплоноситель, поставляемый потребителям</v>
      </c>
      <c r="AK83" s="1296" t="str">
        <f>IF($K$83="нет","без дифференциации",IF($N$83=0,"",$N$83))</f>
        <v>Территория 19</v>
      </c>
      <c r="AL83" s="1885" t="str">
        <f>IF($O$83="нет","без дифференциации",IF($R$83=0,"",$R$83))</f>
        <v>без дифференциации</v>
      </c>
      <c r="AM83" s="1885" t="str">
        <f>IF($S$83="нет","без дифференциации",IF($V$83=0,"",$V$83))</f>
        <v>без дифференциации</v>
      </c>
      <c r="AN83" s="1296">
        <f>$I$23</f>
        <v>1</v>
      </c>
      <c r="AO83" s="1296" t="str">
        <f>$I$23&amp;"."&amp;$M$83</f>
        <v>1.19</v>
      </c>
      <c r="AP83" s="1296" t="str">
        <f>$I$23&amp;"."&amp;$M$83&amp;"."&amp;$Q$83</f>
        <v>1.19.1</v>
      </c>
      <c r="AQ83" s="1296" t="str">
        <f>$I$23&amp;"."&amp;$M$83&amp;"."&amp;$Q$83&amp;"."&amp;$U$83</f>
        <v>1.19.1.1</v>
      </c>
      <c r="AR83" s="2875"/>
    </row>
    <row customHeight="1" ht="17.25">
      <c r="A84" s="1881"/>
      <c r="B84" s="2875"/>
      <c r="C84" s="1886"/>
      <c r="D84" s="1871"/>
      <c r="E84" s="1888"/>
      <c r="F84" s="1825"/>
      <c r="G84" s="1889"/>
      <c r="H84" s="1871"/>
      <c r="I84" s="1871"/>
      <c r="J84" s="1890"/>
      <c r="K84" s="1800"/>
      <c r="L84" s="1982"/>
      <c r="M84" s="1982"/>
      <c r="N84" s="2387"/>
      <c r="O84" s="2045"/>
      <c r="P84" s="1982"/>
      <c r="Q84" s="1982"/>
      <c r="R84" s="2911" t="s">
        <v>24</v>
      </c>
      <c r="S84" s="1981"/>
      <c r="T84" s="310"/>
      <c r="U84" s="311"/>
      <c r="V84" s="311" t="s">
        <v>254</v>
      </c>
      <c r="W84" s="312"/>
      <c r="X84" s="2875"/>
      <c r="Y84" s="1288"/>
      <c r="Z84" s="1288"/>
      <c r="AA84" s="1288"/>
      <c r="AB84" s="1288"/>
      <c r="AC84" s="1288"/>
      <c r="AD84" s="1288"/>
      <c r="AE84" s="1288"/>
      <c r="AF84" s="1288"/>
      <c r="AG84" s="1288"/>
      <c r="AH84" s="1288"/>
      <c r="AI84" s="1288"/>
      <c r="AJ84" s="1288"/>
      <c r="AK84" s="1288"/>
      <c r="AL84" s="2875"/>
      <c r="AM84" s="2875"/>
      <c r="AN84" s="2875"/>
      <c r="AO84" s="2875"/>
      <c r="AP84" s="2875"/>
      <c r="AQ84" s="2875"/>
      <c r="AR84" s="2875"/>
    </row>
    <row customHeight="1" ht="17.25">
      <c r="A85" s="1881"/>
      <c r="B85" s="2875"/>
      <c r="C85" s="1886"/>
      <c r="D85" s="1871"/>
      <c r="E85" s="1888"/>
      <c r="F85" s="1825"/>
      <c r="G85" s="1889"/>
      <c r="H85" s="1871"/>
      <c r="I85" s="1871"/>
      <c r="J85" s="1890"/>
      <c r="K85" s="1800"/>
      <c r="L85" s="2354"/>
      <c r="M85" s="2354"/>
      <c r="N85" s="2388"/>
      <c r="O85" s="1986"/>
      <c r="P85" s="310"/>
      <c r="Q85" s="311"/>
      <c r="R85" s="311" t="s">
        <v>255</v>
      </c>
      <c r="S85" s="1887"/>
      <c r="T85" s="1887"/>
      <c r="U85" s="1887"/>
      <c r="V85" s="1887"/>
      <c r="W85" s="312"/>
      <c r="X85" s="2875"/>
      <c r="Y85" s="1288"/>
      <c r="Z85" s="1288"/>
      <c r="AA85" s="1288"/>
      <c r="AB85" s="1288"/>
      <c r="AC85" s="1288"/>
      <c r="AD85" s="1288"/>
      <c r="AE85" s="1288"/>
      <c r="AF85" s="1288"/>
      <c r="AG85" s="1288"/>
      <c r="AH85" s="1288"/>
      <c r="AI85" s="1288"/>
      <c r="AJ85" s="1288"/>
      <c r="AK85" s="1288"/>
      <c r="AL85" s="2875"/>
      <c r="AM85" s="2875"/>
      <c r="AN85" s="2875"/>
      <c r="AO85" s="2875"/>
      <c r="AP85" s="2875"/>
      <c r="AQ85" s="2875"/>
      <c r="AR85" s="2875"/>
    </row>
    <row customHeight="1" ht="17.25">
      <c r="A86" s="1881"/>
      <c r="B86" s="2875"/>
      <c r="C86" s="1883"/>
      <c r="D86" s="1871"/>
      <c r="E86" s="1888"/>
      <c r="F86" s="1825"/>
      <c r="G86" s="1889"/>
      <c r="H86" s="1871"/>
      <c r="I86" s="1871"/>
      <c r="J86" s="1890"/>
      <c r="K86" s="1800"/>
      <c r="L86" s="1982" t="s">
        <v>105</v>
      </c>
      <c r="M86" s="1982" t="s">
        <v>118</v>
      </c>
      <c r="N86" s="2387" t="str">
        <f>IF(Z86="","",INDEX(TERRITORY_MR_LIST,MATCH(Z86,TERRITORY_LIST_ID,0)))</f>
        <v>Территория 20</v>
      </c>
      <c r="O86" s="2044" t="s">
        <v>58</v>
      </c>
      <c r="P86" s="1982"/>
      <c r="Q86" s="1982" t="s">
        <v>193</v>
      </c>
      <c r="R86" s="2911" t="s">
        <v>24</v>
      </c>
      <c r="S86" s="1981" t="s">
        <v>58</v>
      </c>
      <c r="T86" s="1852"/>
      <c r="U86" s="1852" t="s">
        <v>193</v>
      </c>
      <c r="V86" s="2912" t="s">
        <v>24</v>
      </c>
      <c r="W86" s="1842"/>
      <c r="X86" s="2875"/>
      <c r="Y86" s="1296"/>
      <c r="Z86" s="1296" t="s">
        <v>184</v>
      </c>
      <c r="AA86" s="1296"/>
      <c r="AB86" s="1296"/>
      <c r="AC86" s="2887" t="s">
        <v>245</v>
      </c>
      <c r="AD86" s="2887" t="s">
        <v>246</v>
      </c>
      <c r="AE86" s="1296" t="s">
        <v>326</v>
      </c>
      <c r="AF86" s="1296" t="s">
        <v>327</v>
      </c>
      <c r="AG86" s="1296" t="s">
        <v>328</v>
      </c>
      <c r="AH86" s="1296" t="str">
        <f>IF($E$23=0,"",$E$23)</f>
        <v>Тарифы на теплоноситель, поставляемый теплоснабжающими организациями потребителям, другим теплоснабжающим организациям</v>
      </c>
      <c r="AI86" s="1296" t="str">
        <f>IF($G$23=0,"",$G$23)</f>
        <v>Производство. Теплоноситель, Передача. Теплоноситель, Сбыт. Теплоноситель</v>
      </c>
      <c r="AJ86" s="1296" t="str">
        <f>IF($J$23=0,"",$J$23)</f>
        <v>Тариф на теплоноситель, поставляемый потребителям</v>
      </c>
      <c r="AK86" s="1296" t="str">
        <f>IF($K$86="нет","без дифференциации",IF($N$86=0,"",$N$86))</f>
        <v>Территория 20</v>
      </c>
      <c r="AL86" s="1885" t="str">
        <f>IF($O$86="нет","без дифференциации",IF($R$86=0,"",$R$86))</f>
        <v>без дифференциации</v>
      </c>
      <c r="AM86" s="1885" t="str">
        <f>IF($S$86="нет","без дифференциации",IF($V$86=0,"",$V$86))</f>
        <v>без дифференциации</v>
      </c>
      <c r="AN86" s="1296">
        <f>$I$23</f>
        <v>1</v>
      </c>
      <c r="AO86" s="1296" t="str">
        <f>$I$23&amp;"."&amp;$M$86</f>
        <v>1.20</v>
      </c>
      <c r="AP86" s="1296" t="str">
        <f>$I$23&amp;"."&amp;$M$86&amp;"."&amp;$Q$86</f>
        <v>1.20.1</v>
      </c>
      <c r="AQ86" s="1296" t="str">
        <f>$I$23&amp;"."&amp;$M$86&amp;"."&amp;$Q$86&amp;"."&amp;$U$86</f>
        <v>1.20.1.1</v>
      </c>
      <c r="AR86" s="2875"/>
    </row>
    <row customHeight="1" ht="17.25">
      <c r="A87" s="1881"/>
      <c r="B87" s="2875"/>
      <c r="C87" s="1886"/>
      <c r="D87" s="1871"/>
      <c r="E87" s="1888"/>
      <c r="F87" s="1825"/>
      <c r="G87" s="1889"/>
      <c r="H87" s="1871"/>
      <c r="I87" s="1871"/>
      <c r="J87" s="1890"/>
      <c r="K87" s="1800"/>
      <c r="L87" s="1982"/>
      <c r="M87" s="1982"/>
      <c r="N87" s="2387"/>
      <c r="O87" s="2045"/>
      <c r="P87" s="1982"/>
      <c r="Q87" s="1982"/>
      <c r="R87" s="2911" t="s">
        <v>24</v>
      </c>
      <c r="S87" s="1981"/>
      <c r="T87" s="310"/>
      <c r="U87" s="311"/>
      <c r="V87" s="311" t="s">
        <v>254</v>
      </c>
      <c r="W87" s="312"/>
      <c r="X87" s="2875"/>
      <c r="Y87" s="1288"/>
      <c r="Z87" s="1288"/>
      <c r="AA87" s="1288"/>
      <c r="AB87" s="1288"/>
      <c r="AC87" s="1288"/>
      <c r="AD87" s="1288"/>
      <c r="AE87" s="1288"/>
      <c r="AF87" s="1288"/>
      <c r="AG87" s="1288"/>
      <c r="AH87" s="1288"/>
      <c r="AI87" s="1288"/>
      <c r="AJ87" s="1288"/>
      <c r="AK87" s="1288"/>
      <c r="AL87" s="2875"/>
      <c r="AM87" s="2875"/>
      <c r="AN87" s="2875"/>
      <c r="AO87" s="2875"/>
      <c r="AP87" s="2875"/>
      <c r="AQ87" s="2875"/>
      <c r="AR87" s="2875"/>
    </row>
    <row customHeight="1" ht="17.25">
      <c r="A88" s="1881"/>
      <c r="B88" s="2875"/>
      <c r="C88" s="1886"/>
      <c r="D88" s="1871"/>
      <c r="E88" s="1888"/>
      <c r="F88" s="1825"/>
      <c r="G88" s="1889"/>
      <c r="H88" s="1871"/>
      <c r="I88" s="1871"/>
      <c r="J88" s="1890"/>
      <c r="K88" s="1800"/>
      <c r="L88" s="2354"/>
      <c r="M88" s="2354"/>
      <c r="N88" s="2388"/>
      <c r="O88" s="1986"/>
      <c r="P88" s="310"/>
      <c r="Q88" s="311"/>
      <c r="R88" s="311" t="s">
        <v>255</v>
      </c>
      <c r="S88" s="1887"/>
      <c r="T88" s="1887"/>
      <c r="U88" s="1887"/>
      <c r="V88" s="1887"/>
      <c r="W88" s="312"/>
      <c r="X88" s="2875"/>
      <c r="Y88" s="1288"/>
      <c r="Z88" s="1288"/>
      <c r="AA88" s="1288"/>
      <c r="AB88" s="1288"/>
      <c r="AC88" s="1288"/>
      <c r="AD88" s="1288"/>
      <c r="AE88" s="1288"/>
      <c r="AF88" s="1288"/>
      <c r="AG88" s="1288"/>
      <c r="AH88" s="1288"/>
      <c r="AI88" s="1288"/>
      <c r="AJ88" s="1288"/>
      <c r="AK88" s="1288"/>
      <c r="AL88" s="2875"/>
      <c r="AM88" s="2875"/>
      <c r="AN88" s="2875"/>
      <c r="AO88" s="2875"/>
      <c r="AP88" s="2875"/>
      <c r="AQ88" s="2875"/>
      <c r="AR88" s="2875"/>
    </row>
    <row s="2863" customFormat="1" customHeight="1" ht="17.25">
      <c r="A89" s="314"/>
      <c r="C89" s="313"/>
      <c r="D89" s="1992"/>
      <c r="E89" s="1994"/>
      <c r="F89" s="1996"/>
      <c r="G89" s="2894"/>
      <c r="H89" s="2895"/>
      <c r="I89" s="2895"/>
      <c r="J89" s="2896"/>
      <c r="K89" s="2898"/>
      <c r="L89" s="2921"/>
      <c r="M89" s="2922"/>
      <c r="N89" s="2923" t="s">
        <v>329</v>
      </c>
      <c r="O89" s="2924"/>
      <c r="P89" s="2925"/>
      <c r="Q89" s="2926"/>
      <c r="R89" s="2927"/>
      <c r="S89" s="2928"/>
      <c r="T89" s="2929"/>
      <c r="U89" s="2930"/>
      <c r="V89" s="2931"/>
      <c r="W89" s="2932"/>
      <c r="X89" s="1288"/>
      <c r="Y89" s="1288"/>
      <c r="Z89" s="1288"/>
      <c r="AA89" s="1288"/>
      <c r="AB89" s="1288"/>
      <c r="AC89" s="1288"/>
      <c r="AD89" s="1288"/>
      <c r="AE89" s="1288"/>
      <c r="AF89" s="1288"/>
      <c r="AG89" s="1288"/>
      <c r="AH89" s="1288"/>
      <c r="AI89" s="1288"/>
      <c r="AJ89" s="1288"/>
      <c r="AK89" s="1288"/>
      <c r="AL89" s="1288"/>
      <c r="AM89" s="1288"/>
      <c r="AN89" s="1288"/>
      <c r="AO89" s="1288"/>
      <c r="AP89" s="1288"/>
      <c r="AQ89" s="1288"/>
    </row>
    <row customHeight="1" ht="17.25">
      <c r="A90" s="1881"/>
      <c r="B90" s="2875"/>
      <c r="C90" s="1883"/>
      <c r="D90" s="1871"/>
      <c r="E90" s="1888"/>
      <c r="F90" s="1825"/>
      <c r="G90" s="1889"/>
      <c r="H90" s="2353" t="s">
        <v>105</v>
      </c>
      <c r="I90" s="2353" t="s">
        <v>104</v>
      </c>
      <c r="J90" s="2389" t="s">
        <v>330</v>
      </c>
      <c r="K90" s="2044" t="s">
        <v>63</v>
      </c>
      <c r="L90" s="1982"/>
      <c r="M90" s="1982" t="s">
        <v>193</v>
      </c>
      <c r="N90" s="2387" t="str">
        <f>IF(Z90="","",INDEX(TERRITORY_MR_LIST,MATCH(Z90,TERRITORY_LIST_ID,0)))</f>
        <v>Территория 1</v>
      </c>
      <c r="O90" s="2044" t="s">
        <v>58</v>
      </c>
      <c r="P90" s="1982"/>
      <c r="Q90" s="1982" t="s">
        <v>193</v>
      </c>
      <c r="R90" s="2911" t="s">
        <v>24</v>
      </c>
      <c r="S90" s="1981" t="s">
        <v>63</v>
      </c>
      <c r="T90" s="1852"/>
      <c r="U90" s="1852" t="s">
        <v>193</v>
      </c>
      <c r="V90" s="1884" t="s">
        <v>243</v>
      </c>
      <c r="W90" s="1842"/>
      <c r="X90" s="2875"/>
      <c r="Y90" s="1296"/>
      <c r="Z90" s="1296" t="s">
        <v>99</v>
      </c>
      <c r="AA90" s="1296"/>
      <c r="AB90" s="1296"/>
      <c r="AC90" s="2887" t="s">
        <v>245</v>
      </c>
      <c r="AD90" s="1296" t="s">
        <v>331</v>
      </c>
      <c r="AE90" s="1296" t="s">
        <v>332</v>
      </c>
      <c r="AF90" s="1296" t="s">
        <v>333</v>
      </c>
      <c r="AG90" s="1296" t="s">
        <v>334</v>
      </c>
      <c r="AH90" s="1296" t="str">
        <f>IF($E$23=0,"",$E$23)</f>
        <v>Тарифы на теплоноситель, поставляемый теплоснабжающими организациями потребителям, другим теплоснабжающим организациям</v>
      </c>
      <c r="AI90" s="1296" t="str">
        <f>IF($G$23=0,"",$G$23)</f>
        <v>Производство. Теплоноситель, Передача. Теплоноситель, Сбыт. Теплоноситель</v>
      </c>
      <c r="AJ90" s="1296" t="str">
        <f>IF($J$90=0,"",$J$90)</f>
        <v>Тариф на теплоноситель, поставляемый населению</v>
      </c>
      <c r="AK90" s="1296" t="str">
        <f>IF($K$90="нет","без дифференциации",IF($N$90=0,"",$N$90))</f>
        <v>Территория 1</v>
      </c>
      <c r="AL90" s="1885" t="str">
        <f>IF($O$90="нет","без дифференциации",IF($R$90=0,"",$R$90))</f>
        <v>без дифференциации</v>
      </c>
      <c r="AM90" s="1885" t="str">
        <f>IF($S$90="нет","без дифференциации",IF($V$90=0,"",$V$90))</f>
        <v>г.о. город-герой Мурманск (с учетом транспортировки по сетям АО "Звездочка" филиал "35 СРЗ")</v>
      </c>
      <c r="AN90" s="1296" t="str">
        <f>$I$90</f>
        <v>2</v>
      </c>
      <c r="AO90" s="1296" t="str">
        <f>$I$90&amp;"."&amp;$M$90</f>
        <v>2.1</v>
      </c>
      <c r="AP90" s="1296" t="str">
        <f>$I$90&amp;"."&amp;$M$90&amp;"."&amp;$Q$90</f>
        <v>2.1.1</v>
      </c>
      <c r="AQ90" s="1296" t="str">
        <f>$I$90&amp;"."&amp;$M$90&amp;"."&amp;$Q$90&amp;"."&amp;$U$90</f>
        <v>2.1.1.1</v>
      </c>
      <c r="AR90" s="2875"/>
    </row>
    <row customHeight="1" ht="17.25">
      <c r="A91" s="1881"/>
      <c r="B91" s="2875"/>
      <c r="C91" s="1883"/>
      <c r="D91" s="1871"/>
      <c r="E91" s="1888"/>
      <c r="F91" s="1825"/>
      <c r="G91" s="1889"/>
      <c r="H91" s="1796"/>
      <c r="I91" s="1796"/>
      <c r="J91" s="1797"/>
      <c r="K91" s="1889"/>
      <c r="L91" s="1796"/>
      <c r="M91" s="1796"/>
      <c r="N91" s="1889"/>
      <c r="O91" s="1889"/>
      <c r="P91" s="1796"/>
      <c r="Q91" s="1796"/>
      <c r="R91" s="1798"/>
      <c r="S91" s="1889"/>
      <c r="T91" s="1852" t="s">
        <v>105</v>
      </c>
      <c r="U91" s="1852" t="s">
        <v>104</v>
      </c>
      <c r="V91" s="1884" t="s">
        <v>250</v>
      </c>
      <c r="W91" s="1842"/>
      <c r="X91" s="2875"/>
      <c r="Y91" s="1296"/>
      <c r="Z91" s="1296"/>
      <c r="AA91" s="1296"/>
      <c r="AB91" s="1296"/>
      <c r="AC91" s="2887" t="s">
        <v>245</v>
      </c>
      <c r="AD91" s="2887" t="s">
        <v>331</v>
      </c>
      <c r="AE91" s="2887" t="s">
        <v>332</v>
      </c>
      <c r="AF91" s="2887" t="s">
        <v>333</v>
      </c>
      <c r="AG91" s="1296" t="s">
        <v>335</v>
      </c>
      <c r="AH91" s="1296" t="str">
        <f>IF($E$23=0,"",$E$23)</f>
        <v>Тарифы на теплоноситель, поставляемый теплоснабжающими организациями потребителям, другим теплоснабжающим организациям</v>
      </c>
      <c r="AI91" s="1296" t="str">
        <f>IF($G$23=0,"",$G$23)</f>
        <v>Производство. Теплоноситель, Передача. Теплоноситель, Сбыт. Теплоноситель</v>
      </c>
      <c r="AJ91" s="1296" t="str">
        <f>IF($J$90=0,"",$J$90)</f>
        <v>Тариф на теплоноситель, поставляемый населению</v>
      </c>
      <c r="AK91" s="1296" t="str">
        <f>IF($K$90="нет","без дифференциации",IF($N$90=0,"",$N$90))</f>
        <v>Территория 1</v>
      </c>
      <c r="AL91" s="1885" t="str">
        <f>IF($O$90="нет","без дифференциации",IF($R$90=0,"",$R$90))</f>
        <v>без дифференциации</v>
      </c>
      <c r="AM91" s="1885" t="str">
        <f>IF($S$91="нет","без дифференциации",IF($V$91=0,"",$V$91))</f>
        <v>г.о. город-герой Мурманск (кроме п.Росляково и без транспортировки по сетям АО "Звездочка" филиал "35 СРЗ")</v>
      </c>
      <c r="AN91" s="1296" t="str">
        <f>$I$90</f>
        <v>2</v>
      </c>
      <c r="AO91" s="1296" t="str">
        <f>$I$90&amp;"."&amp;$M$90</f>
        <v>2.1</v>
      </c>
      <c r="AP91" s="1296" t="str">
        <f>$I$90&amp;"."&amp;$M$90&amp;"."&amp;$Q$90</f>
        <v>2.1.1</v>
      </c>
      <c r="AQ91" s="1296" t="str">
        <f>$I$90&amp;"."&amp;$M$90&amp;"."&amp;$Q$90&amp;"."&amp;$U$91</f>
        <v>2.1.1.2</v>
      </c>
      <c r="AR91" s="2875"/>
    </row>
    <row customHeight="1" ht="17.25">
      <c r="A92" s="1881"/>
      <c r="B92" s="2875"/>
      <c r="C92" s="1883"/>
      <c r="D92" s="1871"/>
      <c r="E92" s="1888"/>
      <c r="F92" s="1825"/>
      <c r="G92" s="1889"/>
      <c r="H92" s="1796"/>
      <c r="I92" s="1796"/>
      <c r="J92" s="1797"/>
      <c r="K92" s="1889"/>
      <c r="L92" s="1796"/>
      <c r="M92" s="1796"/>
      <c r="N92" s="1889"/>
      <c r="O92" s="1889"/>
      <c r="P92" s="1796"/>
      <c r="Q92" s="1796"/>
      <c r="R92" s="1798"/>
      <c r="S92" s="1889"/>
      <c r="T92" s="1852" t="s">
        <v>105</v>
      </c>
      <c r="U92" s="1852" t="s">
        <v>91</v>
      </c>
      <c r="V92" s="1884" t="s">
        <v>252</v>
      </c>
      <c r="W92" s="1842"/>
      <c r="X92" s="2875"/>
      <c r="Y92" s="1296"/>
      <c r="Z92" s="1296"/>
      <c r="AA92" s="1296"/>
      <c r="AB92" s="1296"/>
      <c r="AC92" s="2887" t="s">
        <v>245</v>
      </c>
      <c r="AD92" s="2887" t="s">
        <v>331</v>
      </c>
      <c r="AE92" s="2887" t="s">
        <v>332</v>
      </c>
      <c r="AF92" s="2887" t="s">
        <v>333</v>
      </c>
      <c r="AG92" s="1296" t="s">
        <v>336</v>
      </c>
      <c r="AH92" s="1296" t="str">
        <f>IF($E$23=0,"",$E$23)</f>
        <v>Тарифы на теплоноситель, поставляемый теплоснабжающими организациями потребителям, другим теплоснабжающим организациям</v>
      </c>
      <c r="AI92" s="1296" t="str">
        <f>IF($G$23=0,"",$G$23)</f>
        <v>Производство. Теплоноситель, Передача. Теплоноситель, Сбыт. Теплоноситель</v>
      </c>
      <c r="AJ92" s="1296" t="str">
        <f>IF($J$90=0,"",$J$90)</f>
        <v>Тариф на теплоноситель, поставляемый населению</v>
      </c>
      <c r="AK92" s="1296" t="str">
        <f>IF($K$90="нет","без дифференциации",IF($N$90=0,"",$N$90))</f>
        <v>Территория 1</v>
      </c>
      <c r="AL92" s="1885" t="str">
        <f>IF($O$90="нет","без дифференциации",IF($R$90=0,"",$R$90))</f>
        <v>без дифференциации</v>
      </c>
      <c r="AM92" s="1885" t="str">
        <f>IF($S$92="нет","без дифференциации",IF($V$92=0,"",$V$92))</f>
        <v>г.о.город-герой Мурманск (п.Росляково)</v>
      </c>
      <c r="AN92" s="1296" t="str">
        <f>$I$90</f>
        <v>2</v>
      </c>
      <c r="AO92" s="1296" t="str">
        <f>$I$90&amp;"."&amp;$M$90</f>
        <v>2.1</v>
      </c>
      <c r="AP92" s="1296" t="str">
        <f>$I$90&amp;"."&amp;$M$90&amp;"."&amp;$Q$90</f>
        <v>2.1.1</v>
      </c>
      <c r="AQ92" s="1296" t="str">
        <f>$I$90&amp;"."&amp;$M$90&amp;"."&amp;$Q$90&amp;"."&amp;$U$92</f>
        <v>2.1.1.3</v>
      </c>
      <c r="AR92" s="2875"/>
    </row>
    <row customHeight="1" ht="17.25">
      <c r="A93" s="1881"/>
      <c r="B93" s="2875"/>
      <c r="C93" s="1886"/>
      <c r="D93" s="1871"/>
      <c r="E93" s="1888"/>
      <c r="F93" s="1825"/>
      <c r="G93" s="1889"/>
      <c r="H93" s="2353"/>
      <c r="I93" s="2353"/>
      <c r="J93" s="2389"/>
      <c r="K93" s="2045"/>
      <c r="L93" s="1982"/>
      <c r="M93" s="1982"/>
      <c r="N93" s="2387"/>
      <c r="O93" s="2045"/>
      <c r="P93" s="1982"/>
      <c r="Q93" s="1982"/>
      <c r="R93" s="2911" t="s">
        <v>24</v>
      </c>
      <c r="S93" s="1981"/>
      <c r="T93" s="310"/>
      <c r="U93" s="311"/>
      <c r="V93" s="311" t="s">
        <v>254</v>
      </c>
      <c r="W93" s="312"/>
      <c r="X93" s="2875"/>
      <c r="Y93" s="1288"/>
      <c r="Z93" s="1288"/>
      <c r="AA93" s="1288"/>
      <c r="AB93" s="1288"/>
      <c r="AC93" s="1288"/>
      <c r="AD93" s="1288"/>
      <c r="AE93" s="1288"/>
      <c r="AF93" s="1288"/>
      <c r="AG93" s="1288"/>
      <c r="AH93" s="1288"/>
      <c r="AI93" s="1288"/>
      <c r="AJ93" s="1288"/>
      <c r="AK93" s="1288"/>
      <c r="AL93" s="2875"/>
      <c r="AM93" s="2875"/>
      <c r="AN93" s="2875"/>
      <c r="AO93" s="2875"/>
      <c r="AP93" s="2875"/>
      <c r="AQ93" s="2875"/>
      <c r="AR93" s="2875"/>
    </row>
    <row customHeight="1" ht="17.25">
      <c r="A94" s="1881"/>
      <c r="B94" s="2875"/>
      <c r="C94" s="1886"/>
      <c r="D94" s="1871"/>
      <c r="E94" s="1888"/>
      <c r="F94" s="1825"/>
      <c r="G94" s="1889"/>
      <c r="H94" s="2354"/>
      <c r="I94" s="2354"/>
      <c r="J94" s="2390"/>
      <c r="K94" s="2045"/>
      <c r="L94" s="2354"/>
      <c r="M94" s="2354"/>
      <c r="N94" s="2388"/>
      <c r="O94" s="1986"/>
      <c r="P94" s="310"/>
      <c r="Q94" s="311"/>
      <c r="R94" s="311" t="s">
        <v>255</v>
      </c>
      <c r="S94" s="1887"/>
      <c r="T94" s="1887"/>
      <c r="U94" s="1887"/>
      <c r="V94" s="1887"/>
      <c r="W94" s="312"/>
      <c r="X94" s="2875"/>
      <c r="Y94" s="1288"/>
      <c r="Z94" s="1288"/>
      <c r="AA94" s="1288"/>
      <c r="AB94" s="1288"/>
      <c r="AC94" s="1288"/>
      <c r="AD94" s="1288"/>
      <c r="AE94" s="1288"/>
      <c r="AF94" s="1288"/>
      <c r="AG94" s="1288"/>
      <c r="AH94" s="1288"/>
      <c r="AI94" s="1288"/>
      <c r="AJ94" s="1288"/>
      <c r="AK94" s="1288"/>
      <c r="AL94" s="2875"/>
      <c r="AM94" s="2875"/>
      <c r="AN94" s="2875"/>
      <c r="AO94" s="2875"/>
      <c r="AP94" s="2875"/>
      <c r="AQ94" s="2875"/>
      <c r="AR94" s="2875"/>
    </row>
    <row customHeight="1" ht="17.25">
      <c r="A95" s="1881"/>
      <c r="B95" s="2875"/>
      <c r="C95" s="1883"/>
      <c r="D95" s="1871"/>
      <c r="E95" s="1888"/>
      <c r="F95" s="1825"/>
      <c r="G95" s="1889"/>
      <c r="H95" s="1871"/>
      <c r="I95" s="1871"/>
      <c r="J95" s="1890"/>
      <c r="K95" s="1800"/>
      <c r="L95" s="1982" t="s">
        <v>105</v>
      </c>
      <c r="M95" s="1982" t="s">
        <v>104</v>
      </c>
      <c r="N95" s="2387" t="str">
        <f>IF(Z95="","",INDEX(TERRITORY_MR_LIST,MATCH(Z95,TERRITORY_LIST_ID,0)))</f>
        <v>Территория 2</v>
      </c>
      <c r="O95" s="2044" t="s">
        <v>58</v>
      </c>
      <c r="P95" s="1982"/>
      <c r="Q95" s="1982" t="s">
        <v>193</v>
      </c>
      <c r="R95" s="2911" t="s">
        <v>24</v>
      </c>
      <c r="S95" s="1981" t="s">
        <v>58</v>
      </c>
      <c r="T95" s="1852"/>
      <c r="U95" s="1852" t="s">
        <v>193</v>
      </c>
      <c r="V95" s="2912" t="s">
        <v>24</v>
      </c>
      <c r="W95" s="1842"/>
      <c r="X95" s="2875"/>
      <c r="Y95" s="1296"/>
      <c r="Z95" s="1296" t="s">
        <v>106</v>
      </c>
      <c r="AA95" s="1296"/>
      <c r="AB95" s="1296"/>
      <c r="AC95" s="2887" t="s">
        <v>245</v>
      </c>
      <c r="AD95" s="2887" t="s">
        <v>331</v>
      </c>
      <c r="AE95" s="1296" t="s">
        <v>337</v>
      </c>
      <c r="AF95" s="1296" t="s">
        <v>338</v>
      </c>
      <c r="AG95" s="1296" t="s">
        <v>339</v>
      </c>
      <c r="AH95" s="1296" t="str">
        <f>IF($E$23=0,"",$E$23)</f>
        <v>Тарифы на теплоноситель, поставляемый теплоснабжающими организациями потребителям, другим теплоснабжающим организациям</v>
      </c>
      <c r="AI95" s="1296" t="str">
        <f>IF($G$23=0,"",$G$23)</f>
        <v>Производство. Теплоноситель, Передача. Теплоноситель, Сбыт. Теплоноситель</v>
      </c>
      <c r="AJ95" s="1296" t="str">
        <f>IF($J$90=0,"",$J$90)</f>
        <v>Тариф на теплоноситель, поставляемый населению</v>
      </c>
      <c r="AK95" s="1296" t="str">
        <f>IF($K$95="нет","без дифференциации",IF($N$95=0,"",$N$95))</f>
        <v>Территория 2</v>
      </c>
      <c r="AL95" s="1885" t="str">
        <f>IF($O$95="нет","без дифференциации",IF($R$95=0,"",$R$95))</f>
        <v>без дифференциации</v>
      </c>
      <c r="AM95" s="1885" t="str">
        <f>IF($S$95="нет","без дифференциации",IF($V$95=0,"",$V$95))</f>
        <v>без дифференциации</v>
      </c>
      <c r="AN95" s="1296" t="str">
        <f>$I$90</f>
        <v>2</v>
      </c>
      <c r="AO95" s="1296" t="str">
        <f>$I$90&amp;"."&amp;$M$95</f>
        <v>2.2</v>
      </c>
      <c r="AP95" s="1296" t="str">
        <f>$I$90&amp;"."&amp;$M$95&amp;"."&amp;$Q$95</f>
        <v>2.2.1</v>
      </c>
      <c r="AQ95" s="1296" t="str">
        <f>$I$90&amp;"."&amp;$M$95&amp;"."&amp;$Q$95&amp;"."&amp;$U$95</f>
        <v>2.2.1.1</v>
      </c>
      <c r="AR95" s="2875"/>
    </row>
    <row customHeight="1" ht="17.25">
      <c r="A96" s="1881"/>
      <c r="B96" s="2875"/>
      <c r="C96" s="1886"/>
      <c r="D96" s="1871"/>
      <c r="E96" s="1888"/>
      <c r="F96" s="1825"/>
      <c r="G96" s="1889"/>
      <c r="H96" s="1871"/>
      <c r="I96" s="1871"/>
      <c r="J96" s="1890"/>
      <c r="K96" s="1800"/>
      <c r="L96" s="1982"/>
      <c r="M96" s="1982"/>
      <c r="N96" s="2387"/>
      <c r="O96" s="2045"/>
      <c r="P96" s="1982"/>
      <c r="Q96" s="1982"/>
      <c r="R96" s="2911" t="s">
        <v>24</v>
      </c>
      <c r="S96" s="1981"/>
      <c r="T96" s="310"/>
      <c r="U96" s="311"/>
      <c r="V96" s="311" t="s">
        <v>254</v>
      </c>
      <c r="W96" s="312"/>
      <c r="X96" s="2875"/>
      <c r="Y96" s="1288"/>
      <c r="Z96" s="1288"/>
      <c r="AA96" s="1288"/>
      <c r="AB96" s="1288"/>
      <c r="AC96" s="1288"/>
      <c r="AD96" s="1288"/>
      <c r="AE96" s="1288"/>
      <c r="AF96" s="1288"/>
      <c r="AG96" s="1288"/>
      <c r="AH96" s="1288"/>
      <c r="AI96" s="1288"/>
      <c r="AJ96" s="1288"/>
      <c r="AK96" s="1288"/>
      <c r="AL96" s="2875"/>
      <c r="AM96" s="2875"/>
      <c r="AN96" s="2875"/>
      <c r="AO96" s="2875"/>
      <c r="AP96" s="2875"/>
      <c r="AQ96" s="2875"/>
      <c r="AR96" s="2875"/>
    </row>
    <row customHeight="1" ht="17.25">
      <c r="A97" s="1881"/>
      <c r="B97" s="2875"/>
      <c r="C97" s="1886"/>
      <c r="D97" s="1871"/>
      <c r="E97" s="1888"/>
      <c r="F97" s="1825"/>
      <c r="G97" s="1889"/>
      <c r="H97" s="1871"/>
      <c r="I97" s="1871"/>
      <c r="J97" s="1890"/>
      <c r="K97" s="1800"/>
      <c r="L97" s="2354"/>
      <c r="M97" s="2354"/>
      <c r="N97" s="2388"/>
      <c r="O97" s="1986"/>
      <c r="P97" s="310"/>
      <c r="Q97" s="311"/>
      <c r="R97" s="311" t="s">
        <v>255</v>
      </c>
      <c r="S97" s="1887"/>
      <c r="T97" s="1887"/>
      <c r="U97" s="1887"/>
      <c r="V97" s="1887"/>
      <c r="W97" s="312"/>
      <c r="X97" s="2875"/>
      <c r="Y97" s="1288"/>
      <c r="Z97" s="1288"/>
      <c r="AA97" s="1288"/>
      <c r="AB97" s="1288"/>
      <c r="AC97" s="1288"/>
      <c r="AD97" s="1288"/>
      <c r="AE97" s="1288"/>
      <c r="AF97" s="1288"/>
      <c r="AG97" s="1288"/>
      <c r="AH97" s="1288"/>
      <c r="AI97" s="1288"/>
      <c r="AJ97" s="1288"/>
      <c r="AK97" s="1288"/>
      <c r="AL97" s="2875"/>
      <c r="AM97" s="2875"/>
      <c r="AN97" s="2875"/>
      <c r="AO97" s="2875"/>
      <c r="AP97" s="2875"/>
      <c r="AQ97" s="2875"/>
      <c r="AR97" s="2875"/>
    </row>
    <row customHeight="1" ht="17.25">
      <c r="A98" s="1881"/>
      <c r="B98" s="2875"/>
      <c r="C98" s="1883"/>
      <c r="D98" s="1871"/>
      <c r="E98" s="1888"/>
      <c r="F98" s="1825"/>
      <c r="G98" s="1889"/>
      <c r="H98" s="1871"/>
      <c r="I98" s="1871"/>
      <c r="J98" s="1890"/>
      <c r="K98" s="1800"/>
      <c r="L98" s="1982" t="s">
        <v>105</v>
      </c>
      <c r="M98" s="1982" t="s">
        <v>91</v>
      </c>
      <c r="N98" s="2387" t="str">
        <f>IF(Z98="","",INDEX(TERRITORY_MR_LIST,MATCH(Z98,TERRITORY_LIST_ID,0)))</f>
        <v>Территория 3</v>
      </c>
      <c r="O98" s="2044" t="s">
        <v>58</v>
      </c>
      <c r="P98" s="1982"/>
      <c r="Q98" s="1982" t="s">
        <v>193</v>
      </c>
      <c r="R98" s="2911" t="s">
        <v>24</v>
      </c>
      <c r="S98" s="1981" t="s">
        <v>58</v>
      </c>
      <c r="T98" s="1852"/>
      <c r="U98" s="1852" t="s">
        <v>193</v>
      </c>
      <c r="V98" s="2912" t="s">
        <v>24</v>
      </c>
      <c r="W98" s="1842"/>
      <c r="X98" s="2875"/>
      <c r="Y98" s="1296"/>
      <c r="Z98" s="1296" t="s">
        <v>111</v>
      </c>
      <c r="AA98" s="1296"/>
      <c r="AB98" s="1296"/>
      <c r="AC98" s="2887" t="s">
        <v>245</v>
      </c>
      <c r="AD98" s="2887" t="s">
        <v>331</v>
      </c>
      <c r="AE98" s="1296" t="s">
        <v>340</v>
      </c>
      <c r="AF98" s="1296" t="s">
        <v>341</v>
      </c>
      <c r="AG98" s="1296" t="s">
        <v>342</v>
      </c>
      <c r="AH98" s="1296" t="str">
        <f>IF($E$23=0,"",$E$23)</f>
        <v>Тарифы на теплоноситель, поставляемый теплоснабжающими организациями потребителям, другим теплоснабжающим организациям</v>
      </c>
      <c r="AI98" s="1296" t="str">
        <f>IF($G$23=0,"",$G$23)</f>
        <v>Производство. Теплоноситель, Передача. Теплоноситель, Сбыт. Теплоноситель</v>
      </c>
      <c r="AJ98" s="1296" t="str">
        <f>IF($J$90=0,"",$J$90)</f>
        <v>Тариф на теплоноситель, поставляемый населению</v>
      </c>
      <c r="AK98" s="1296" t="str">
        <f>IF($K$98="нет","без дифференциации",IF($N$98=0,"",$N$98))</f>
        <v>Территория 3</v>
      </c>
      <c r="AL98" s="1885" t="str">
        <f>IF($O$98="нет","без дифференциации",IF($R$98=0,"",$R$98))</f>
        <v>без дифференциации</v>
      </c>
      <c r="AM98" s="1885" t="str">
        <f>IF($S$98="нет","без дифференциации",IF($V$98=0,"",$V$98))</f>
        <v>без дифференциации</v>
      </c>
      <c r="AN98" s="1296" t="str">
        <f>$I$90</f>
        <v>2</v>
      </c>
      <c r="AO98" s="1296" t="str">
        <f>$I$90&amp;"."&amp;$M$98</f>
        <v>2.3</v>
      </c>
      <c r="AP98" s="1296" t="str">
        <f>$I$90&amp;"."&amp;$M$98&amp;"."&amp;$Q$98</f>
        <v>2.3.1</v>
      </c>
      <c r="AQ98" s="1296" t="str">
        <f>$I$90&amp;"."&amp;$M$98&amp;"."&amp;$Q$98&amp;"."&amp;$U$98</f>
        <v>2.3.1.1</v>
      </c>
      <c r="AR98" s="2875"/>
    </row>
    <row customHeight="1" ht="17.25">
      <c r="A99" s="1881"/>
      <c r="B99" s="2875"/>
      <c r="C99" s="1886"/>
      <c r="D99" s="1871"/>
      <c r="E99" s="1888"/>
      <c r="F99" s="1825"/>
      <c r="G99" s="1889"/>
      <c r="H99" s="1871"/>
      <c r="I99" s="1871"/>
      <c r="J99" s="1890"/>
      <c r="K99" s="1800"/>
      <c r="L99" s="1982"/>
      <c r="M99" s="1982"/>
      <c r="N99" s="2387"/>
      <c r="O99" s="2045"/>
      <c r="P99" s="1982"/>
      <c r="Q99" s="1982"/>
      <c r="R99" s="2911" t="s">
        <v>24</v>
      </c>
      <c r="S99" s="1981"/>
      <c r="T99" s="310"/>
      <c r="U99" s="311"/>
      <c r="V99" s="311" t="s">
        <v>254</v>
      </c>
      <c r="W99" s="312"/>
      <c r="X99" s="2875"/>
      <c r="Y99" s="1288"/>
      <c r="Z99" s="1288"/>
      <c r="AA99" s="1288"/>
      <c r="AB99" s="1288"/>
      <c r="AC99" s="1288"/>
      <c r="AD99" s="1288"/>
      <c r="AE99" s="1288"/>
      <c r="AF99" s="1288"/>
      <c r="AG99" s="1288"/>
      <c r="AH99" s="1288"/>
      <c r="AI99" s="1288"/>
      <c r="AJ99" s="1288"/>
      <c r="AK99" s="1288"/>
      <c r="AL99" s="2875"/>
      <c r="AM99" s="2875"/>
      <c r="AN99" s="2875"/>
      <c r="AO99" s="2875"/>
      <c r="AP99" s="2875"/>
      <c r="AQ99" s="2875"/>
      <c r="AR99" s="2875"/>
    </row>
    <row customHeight="1" ht="17.25">
      <c r="A100" s="1881"/>
      <c r="B100" s="2875"/>
      <c r="C100" s="1886"/>
      <c r="D100" s="1871"/>
      <c r="E100" s="1888"/>
      <c r="F100" s="1825"/>
      <c r="G100" s="1889"/>
      <c r="H100" s="1871"/>
      <c r="I100" s="1871"/>
      <c r="J100" s="1890"/>
      <c r="K100" s="1800"/>
      <c r="L100" s="2354"/>
      <c r="M100" s="2354"/>
      <c r="N100" s="2388"/>
      <c r="O100" s="1986"/>
      <c r="P100" s="310"/>
      <c r="Q100" s="311"/>
      <c r="R100" s="311" t="s">
        <v>255</v>
      </c>
      <c r="S100" s="1887"/>
      <c r="T100" s="1887"/>
      <c r="U100" s="1887"/>
      <c r="V100" s="1887"/>
      <c r="W100" s="312"/>
      <c r="X100" s="2875"/>
      <c r="Y100" s="1288"/>
      <c r="Z100" s="1288"/>
      <c r="AA100" s="1288"/>
      <c r="AB100" s="1288"/>
      <c r="AC100" s="1288"/>
      <c r="AD100" s="1288"/>
      <c r="AE100" s="1288"/>
      <c r="AF100" s="1288"/>
      <c r="AG100" s="1288"/>
      <c r="AH100" s="1288"/>
      <c r="AI100" s="1288"/>
      <c r="AJ100" s="1288"/>
      <c r="AK100" s="1288"/>
      <c r="AL100" s="2875"/>
      <c r="AM100" s="2875"/>
      <c r="AN100" s="2875"/>
      <c r="AO100" s="2875"/>
      <c r="AP100" s="2875"/>
      <c r="AQ100" s="2875"/>
      <c r="AR100" s="2875"/>
    </row>
    <row customHeight="1" ht="17.25">
      <c r="A101" s="1881"/>
      <c r="B101" s="2875"/>
      <c r="C101" s="1883"/>
      <c r="D101" s="1871"/>
      <c r="E101" s="1888"/>
      <c r="F101" s="1825"/>
      <c r="G101" s="1889"/>
      <c r="H101" s="1871"/>
      <c r="I101" s="1871"/>
      <c r="J101" s="1890"/>
      <c r="K101" s="1800"/>
      <c r="L101" s="1982" t="s">
        <v>105</v>
      </c>
      <c r="M101" s="1982" t="s">
        <v>92</v>
      </c>
      <c r="N101" s="2387" t="str">
        <f>IF(Z101="","",INDEX(TERRITORY_MR_LIST,MATCH(Z101,TERRITORY_LIST_ID,0)))</f>
        <v>Территория 4</v>
      </c>
      <c r="O101" s="2044" t="s">
        <v>58</v>
      </c>
      <c r="P101" s="1982"/>
      <c r="Q101" s="1982" t="s">
        <v>193</v>
      </c>
      <c r="R101" s="2911" t="s">
        <v>24</v>
      </c>
      <c r="S101" s="1981" t="s">
        <v>58</v>
      </c>
      <c r="T101" s="1852"/>
      <c r="U101" s="1852" t="s">
        <v>193</v>
      </c>
      <c r="V101" s="2912" t="s">
        <v>24</v>
      </c>
      <c r="W101" s="1842"/>
      <c r="X101" s="2875"/>
      <c r="Y101" s="1296"/>
      <c r="Z101" s="1296" t="s">
        <v>115</v>
      </c>
      <c r="AA101" s="1296"/>
      <c r="AB101" s="1296"/>
      <c r="AC101" s="2887" t="s">
        <v>245</v>
      </c>
      <c r="AD101" s="2887" t="s">
        <v>331</v>
      </c>
      <c r="AE101" s="1296" t="s">
        <v>343</v>
      </c>
      <c r="AF101" s="1296" t="s">
        <v>344</v>
      </c>
      <c r="AG101" s="1296" t="s">
        <v>345</v>
      </c>
      <c r="AH101" s="1296" t="str">
        <f>IF($E$23=0,"",$E$23)</f>
        <v>Тарифы на теплоноситель, поставляемый теплоснабжающими организациями потребителям, другим теплоснабжающим организациям</v>
      </c>
      <c r="AI101" s="1296" t="str">
        <f>IF($G$23=0,"",$G$23)</f>
        <v>Производство. Теплоноситель, Передача. Теплоноситель, Сбыт. Теплоноситель</v>
      </c>
      <c r="AJ101" s="1296" t="str">
        <f>IF($J$90=0,"",$J$90)</f>
        <v>Тариф на теплоноситель, поставляемый населению</v>
      </c>
      <c r="AK101" s="1296" t="str">
        <f>IF($K$101="нет","без дифференциации",IF($N$101=0,"",$N$101))</f>
        <v>Территория 4</v>
      </c>
      <c r="AL101" s="1885" t="str">
        <f>IF($O$101="нет","без дифференциации",IF($R$101=0,"",$R$101))</f>
        <v>без дифференциации</v>
      </c>
      <c r="AM101" s="1885" t="str">
        <f>IF($S$101="нет","без дифференциации",IF($V$101=0,"",$V$101))</f>
        <v>без дифференциации</v>
      </c>
      <c r="AN101" s="1296" t="str">
        <f>$I$90</f>
        <v>2</v>
      </c>
      <c r="AO101" s="1296" t="str">
        <f>$I$90&amp;"."&amp;$M$101</f>
        <v>2.4</v>
      </c>
      <c r="AP101" s="1296" t="str">
        <f>$I$90&amp;"."&amp;$M$101&amp;"."&amp;$Q$101</f>
        <v>2.4.1</v>
      </c>
      <c r="AQ101" s="1296" t="str">
        <f>$I$90&amp;"."&amp;$M$101&amp;"."&amp;$Q$101&amp;"."&amp;$U$101</f>
        <v>2.4.1.1</v>
      </c>
      <c r="AR101" s="2875"/>
    </row>
    <row customHeight="1" ht="17.25">
      <c r="A102" s="1881"/>
      <c r="B102" s="2875"/>
      <c r="C102" s="1886"/>
      <c r="D102" s="1871"/>
      <c r="E102" s="1888"/>
      <c r="F102" s="1825"/>
      <c r="G102" s="1889"/>
      <c r="H102" s="1871"/>
      <c r="I102" s="1871"/>
      <c r="J102" s="1890"/>
      <c r="K102" s="1800"/>
      <c r="L102" s="1982"/>
      <c r="M102" s="1982"/>
      <c r="N102" s="2387"/>
      <c r="O102" s="2045"/>
      <c r="P102" s="1982"/>
      <c r="Q102" s="1982"/>
      <c r="R102" s="2911" t="s">
        <v>24</v>
      </c>
      <c r="S102" s="1981"/>
      <c r="T102" s="310"/>
      <c r="U102" s="311"/>
      <c r="V102" s="311" t="s">
        <v>254</v>
      </c>
      <c r="W102" s="312"/>
      <c r="X102" s="2875"/>
      <c r="Y102" s="1288"/>
      <c r="Z102" s="1288"/>
      <c r="AA102" s="1288"/>
      <c r="AB102" s="1288"/>
      <c r="AC102" s="1288"/>
      <c r="AD102" s="1288"/>
      <c r="AE102" s="1288"/>
      <c r="AF102" s="1288"/>
      <c r="AG102" s="1288"/>
      <c r="AH102" s="1288"/>
      <c r="AI102" s="1288"/>
      <c r="AJ102" s="1288"/>
      <c r="AK102" s="1288"/>
      <c r="AL102" s="2875"/>
      <c r="AM102" s="2875"/>
      <c r="AN102" s="2875"/>
      <c r="AO102" s="2875"/>
      <c r="AP102" s="2875"/>
      <c r="AQ102" s="2875"/>
      <c r="AR102" s="2875"/>
    </row>
    <row customHeight="1" ht="17.25">
      <c r="A103" s="1881"/>
      <c r="B103" s="2875"/>
      <c r="C103" s="1886"/>
      <c r="D103" s="1871"/>
      <c r="E103" s="1888"/>
      <c r="F103" s="1825"/>
      <c r="G103" s="1889"/>
      <c r="H103" s="1871"/>
      <c r="I103" s="1871"/>
      <c r="J103" s="1890"/>
      <c r="K103" s="1800"/>
      <c r="L103" s="2354"/>
      <c r="M103" s="2354"/>
      <c r="N103" s="2388"/>
      <c r="O103" s="1986"/>
      <c r="P103" s="310"/>
      <c r="Q103" s="311"/>
      <c r="R103" s="311" t="s">
        <v>255</v>
      </c>
      <c r="S103" s="1887"/>
      <c r="T103" s="1887"/>
      <c r="U103" s="1887"/>
      <c r="V103" s="1887"/>
      <c r="W103" s="312"/>
      <c r="X103" s="2875"/>
      <c r="Y103" s="1288"/>
      <c r="Z103" s="1288"/>
      <c r="AA103" s="1288"/>
      <c r="AB103" s="1288"/>
      <c r="AC103" s="1288"/>
      <c r="AD103" s="1288"/>
      <c r="AE103" s="1288"/>
      <c r="AF103" s="1288"/>
      <c r="AG103" s="1288"/>
      <c r="AH103" s="1288"/>
      <c r="AI103" s="1288"/>
      <c r="AJ103" s="1288"/>
      <c r="AK103" s="1288"/>
      <c r="AL103" s="2875"/>
      <c r="AM103" s="2875"/>
      <c r="AN103" s="2875"/>
      <c r="AO103" s="2875"/>
      <c r="AP103" s="2875"/>
      <c r="AQ103" s="2875"/>
      <c r="AR103" s="2875"/>
    </row>
    <row customHeight="1" ht="17.25">
      <c r="A104" s="1881"/>
      <c r="B104" s="2875"/>
      <c r="C104" s="1883"/>
      <c r="D104" s="1871"/>
      <c r="E104" s="1888"/>
      <c r="F104" s="1825"/>
      <c r="G104" s="1889"/>
      <c r="H104" s="1871"/>
      <c r="I104" s="1871"/>
      <c r="J104" s="1890"/>
      <c r="K104" s="1800"/>
      <c r="L104" s="1982" t="s">
        <v>105</v>
      </c>
      <c r="M104" s="1982" t="s">
        <v>116</v>
      </c>
      <c r="N104" s="2387" t="str">
        <f>IF(Z104="","",INDEX(TERRITORY_MR_LIST,MATCH(Z104,TERRITORY_LIST_ID,0)))</f>
        <v>Территория 5</v>
      </c>
      <c r="O104" s="2044" t="s">
        <v>58</v>
      </c>
      <c r="P104" s="1982"/>
      <c r="Q104" s="1982" t="s">
        <v>193</v>
      </c>
      <c r="R104" s="2911" t="s">
        <v>24</v>
      </c>
      <c r="S104" s="1981" t="s">
        <v>58</v>
      </c>
      <c r="T104" s="1852"/>
      <c r="U104" s="1852" t="s">
        <v>193</v>
      </c>
      <c r="V104" s="2912" t="s">
        <v>24</v>
      </c>
      <c r="W104" s="1842"/>
      <c r="X104" s="2875"/>
      <c r="Y104" s="1296"/>
      <c r="Z104" s="1296" t="s">
        <v>117</v>
      </c>
      <c r="AA104" s="1296"/>
      <c r="AB104" s="1296"/>
      <c r="AC104" s="2887" t="s">
        <v>245</v>
      </c>
      <c r="AD104" s="2887" t="s">
        <v>331</v>
      </c>
      <c r="AE104" s="1296" t="s">
        <v>346</v>
      </c>
      <c r="AF104" s="1296" t="s">
        <v>347</v>
      </c>
      <c r="AG104" s="1296" t="s">
        <v>348</v>
      </c>
      <c r="AH104" s="1296" t="str">
        <f>IF($E$23=0,"",$E$23)</f>
        <v>Тарифы на теплоноситель, поставляемый теплоснабжающими организациями потребителям, другим теплоснабжающим организациям</v>
      </c>
      <c r="AI104" s="1296" t="str">
        <f>IF($G$23=0,"",$G$23)</f>
        <v>Производство. Теплоноситель, Передача. Теплоноситель, Сбыт. Теплоноситель</v>
      </c>
      <c r="AJ104" s="1296" t="str">
        <f>IF($J$90=0,"",$J$90)</f>
        <v>Тариф на теплоноситель, поставляемый населению</v>
      </c>
      <c r="AK104" s="1296" t="str">
        <f>IF($K$104="нет","без дифференциации",IF($N$104=0,"",$N$104))</f>
        <v>Территория 5</v>
      </c>
      <c r="AL104" s="1885" t="str">
        <f>IF($O$104="нет","без дифференциации",IF($R$104=0,"",$R$104))</f>
        <v>без дифференциации</v>
      </c>
      <c r="AM104" s="1885" t="str">
        <f>IF($S$104="нет","без дифференциации",IF($V$104=0,"",$V$104))</f>
        <v>без дифференциации</v>
      </c>
      <c r="AN104" s="1296" t="str">
        <f>$I$90</f>
        <v>2</v>
      </c>
      <c r="AO104" s="1296" t="str">
        <f>$I$90&amp;"."&amp;$M$104</f>
        <v>2.5</v>
      </c>
      <c r="AP104" s="1296" t="str">
        <f>$I$90&amp;"."&amp;$M$104&amp;"."&amp;$Q$104</f>
        <v>2.5.1</v>
      </c>
      <c r="AQ104" s="1296" t="str">
        <f>$I$90&amp;"."&amp;$M$104&amp;"."&amp;$Q$104&amp;"."&amp;$U$104</f>
        <v>2.5.1.1</v>
      </c>
      <c r="AR104" s="2875"/>
    </row>
    <row customHeight="1" ht="17.25">
      <c r="A105" s="1881"/>
      <c r="B105" s="2875"/>
      <c r="C105" s="1886"/>
      <c r="D105" s="1871"/>
      <c r="E105" s="1888"/>
      <c r="F105" s="1825"/>
      <c r="G105" s="1889"/>
      <c r="H105" s="1871"/>
      <c r="I105" s="1871"/>
      <c r="J105" s="1890"/>
      <c r="K105" s="1800"/>
      <c r="L105" s="1982"/>
      <c r="M105" s="1982"/>
      <c r="N105" s="2387"/>
      <c r="O105" s="2045"/>
      <c r="P105" s="1982"/>
      <c r="Q105" s="1982"/>
      <c r="R105" s="2911" t="s">
        <v>24</v>
      </c>
      <c r="S105" s="1981"/>
      <c r="T105" s="310"/>
      <c r="U105" s="311"/>
      <c r="V105" s="311" t="s">
        <v>254</v>
      </c>
      <c r="W105" s="312"/>
      <c r="X105" s="2875"/>
      <c r="Y105" s="1288"/>
      <c r="Z105" s="1288"/>
      <c r="AA105" s="1288"/>
      <c r="AB105" s="1288"/>
      <c r="AC105" s="1288"/>
      <c r="AD105" s="1288"/>
      <c r="AE105" s="1288"/>
      <c r="AF105" s="1288"/>
      <c r="AG105" s="1288"/>
      <c r="AH105" s="1288"/>
      <c r="AI105" s="1288"/>
      <c r="AJ105" s="1288"/>
      <c r="AK105" s="1288"/>
      <c r="AL105" s="2875"/>
      <c r="AM105" s="2875"/>
      <c r="AN105" s="2875"/>
      <c r="AO105" s="2875"/>
      <c r="AP105" s="2875"/>
      <c r="AQ105" s="2875"/>
      <c r="AR105" s="2875"/>
    </row>
    <row customHeight="1" ht="17.25">
      <c r="A106" s="1881"/>
      <c r="B106" s="2875"/>
      <c r="C106" s="1886"/>
      <c r="D106" s="1871"/>
      <c r="E106" s="1888"/>
      <c r="F106" s="1825"/>
      <c r="G106" s="1889"/>
      <c r="H106" s="1871"/>
      <c r="I106" s="1871"/>
      <c r="J106" s="1890"/>
      <c r="K106" s="1800"/>
      <c r="L106" s="2354"/>
      <c r="M106" s="2354"/>
      <c r="N106" s="2388"/>
      <c r="O106" s="1986"/>
      <c r="P106" s="310"/>
      <c r="Q106" s="311"/>
      <c r="R106" s="311" t="s">
        <v>255</v>
      </c>
      <c r="S106" s="1887"/>
      <c r="T106" s="1887"/>
      <c r="U106" s="1887"/>
      <c r="V106" s="1887"/>
      <c r="W106" s="312"/>
      <c r="X106" s="2875"/>
      <c r="Y106" s="1288"/>
      <c r="Z106" s="1288"/>
      <c r="AA106" s="1288"/>
      <c r="AB106" s="1288"/>
      <c r="AC106" s="1288"/>
      <c r="AD106" s="1288"/>
      <c r="AE106" s="1288"/>
      <c r="AF106" s="1288"/>
      <c r="AG106" s="1288"/>
      <c r="AH106" s="1288"/>
      <c r="AI106" s="1288"/>
      <c r="AJ106" s="1288"/>
      <c r="AK106" s="1288"/>
      <c r="AL106" s="2875"/>
      <c r="AM106" s="2875"/>
      <c r="AN106" s="2875"/>
      <c r="AO106" s="2875"/>
      <c r="AP106" s="2875"/>
      <c r="AQ106" s="2875"/>
      <c r="AR106" s="2875"/>
    </row>
    <row customHeight="1" ht="17.25">
      <c r="A107" s="1881"/>
      <c r="B107" s="2875"/>
      <c r="C107" s="1883"/>
      <c r="D107" s="1871"/>
      <c r="E107" s="1888"/>
      <c r="F107" s="1825"/>
      <c r="G107" s="1889"/>
      <c r="H107" s="1871"/>
      <c r="I107" s="1871"/>
      <c r="J107" s="1890"/>
      <c r="K107" s="1800"/>
      <c r="L107" s="1982" t="s">
        <v>105</v>
      </c>
      <c r="M107" s="1982" t="s">
        <v>93</v>
      </c>
      <c r="N107" s="2387" t="str">
        <f>IF(Z107="","",INDEX(TERRITORY_MR_LIST,MATCH(Z107,TERRITORY_LIST_ID,0)))</f>
        <v>Территория 6</v>
      </c>
      <c r="O107" s="2044" t="s">
        <v>58</v>
      </c>
      <c r="P107" s="1982"/>
      <c r="Q107" s="1982" t="s">
        <v>193</v>
      </c>
      <c r="R107" s="2911" t="s">
        <v>24</v>
      </c>
      <c r="S107" s="1981" t="s">
        <v>63</v>
      </c>
      <c r="T107" s="1852"/>
      <c r="U107" s="1852" t="s">
        <v>193</v>
      </c>
      <c r="V107" s="1884" t="s">
        <v>268</v>
      </c>
      <c r="W107" s="1842"/>
      <c r="X107" s="2875"/>
      <c r="Y107" s="1296"/>
      <c r="Z107" s="1296" t="s">
        <v>121</v>
      </c>
      <c r="AA107" s="1296"/>
      <c r="AB107" s="1296"/>
      <c r="AC107" s="2887" t="s">
        <v>245</v>
      </c>
      <c r="AD107" s="2887" t="s">
        <v>331</v>
      </c>
      <c r="AE107" s="1296" t="s">
        <v>349</v>
      </c>
      <c r="AF107" s="1296" t="s">
        <v>350</v>
      </c>
      <c r="AG107" s="1296" t="s">
        <v>351</v>
      </c>
      <c r="AH107" s="1296" t="str">
        <f>IF($E$23=0,"",$E$23)</f>
        <v>Тарифы на теплоноситель, поставляемый теплоснабжающими организациями потребителям, другим теплоснабжающим организациям</v>
      </c>
      <c r="AI107" s="1296" t="str">
        <f>IF($G$23=0,"",$G$23)</f>
        <v>Производство. Теплоноситель, Передача. Теплоноситель, Сбыт. Теплоноситель</v>
      </c>
      <c r="AJ107" s="1296" t="str">
        <f>IF($J$90=0,"",$J$90)</f>
        <v>Тариф на теплоноситель, поставляемый населению</v>
      </c>
      <c r="AK107" s="1296" t="str">
        <f>IF($K$107="нет","без дифференциации",IF($N$107=0,"",$N$107))</f>
        <v>Территория 6</v>
      </c>
      <c r="AL107" s="1885" t="str">
        <f>IF($O$107="нет","без дифференциации",IF($R$107=0,"",$R$107))</f>
        <v>без дифференциации</v>
      </c>
      <c r="AM107" s="1885" t="str">
        <f>IF($S$107="нет","без дифференциации",IF($V$107=0,"",$V$107))</f>
        <v>г.п. Кильдинстрой, н.п.Шонгуй</v>
      </c>
      <c r="AN107" s="1296" t="str">
        <f>$I$90</f>
        <v>2</v>
      </c>
      <c r="AO107" s="1296" t="str">
        <f>$I$90&amp;"."&amp;$M$107</f>
        <v>2.6</v>
      </c>
      <c r="AP107" s="1296" t="str">
        <f>$I$90&amp;"."&amp;$M$107&amp;"."&amp;$Q$107</f>
        <v>2.6.1</v>
      </c>
      <c r="AQ107" s="1296" t="str">
        <f>$I$90&amp;"."&amp;$M$107&amp;"."&amp;$Q$107&amp;"."&amp;$U$107</f>
        <v>2.6.1.1</v>
      </c>
      <c r="AR107" s="2875"/>
    </row>
    <row customHeight="1" ht="17.25">
      <c r="A108" s="1881"/>
      <c r="B108" s="2875"/>
      <c r="C108" s="1886"/>
      <c r="D108" s="1871"/>
      <c r="E108" s="1888"/>
      <c r="F108" s="1825"/>
      <c r="G108" s="1889"/>
      <c r="H108" s="1871"/>
      <c r="I108" s="1871"/>
      <c r="J108" s="1890"/>
      <c r="K108" s="1800"/>
      <c r="L108" s="1982"/>
      <c r="M108" s="1982"/>
      <c r="N108" s="2387"/>
      <c r="O108" s="2045"/>
      <c r="P108" s="1982"/>
      <c r="Q108" s="1982"/>
      <c r="R108" s="2911" t="s">
        <v>24</v>
      </c>
      <c r="S108" s="1981"/>
      <c r="T108" s="310"/>
      <c r="U108" s="311"/>
      <c r="V108" s="311" t="s">
        <v>254</v>
      </c>
      <c r="W108" s="312"/>
      <c r="X108" s="2875"/>
      <c r="Y108" s="1288"/>
      <c r="Z108" s="1288"/>
      <c r="AA108" s="1288"/>
      <c r="AB108" s="1288"/>
      <c r="AC108" s="1288"/>
      <c r="AD108" s="1288"/>
      <c r="AE108" s="1288"/>
      <c r="AF108" s="1288"/>
      <c r="AG108" s="1288"/>
      <c r="AH108" s="1288"/>
      <c r="AI108" s="1288"/>
      <c r="AJ108" s="1288"/>
      <c r="AK108" s="1288"/>
      <c r="AL108" s="2875"/>
      <c r="AM108" s="2875"/>
      <c r="AN108" s="2875"/>
      <c r="AO108" s="2875"/>
      <c r="AP108" s="2875"/>
      <c r="AQ108" s="2875"/>
      <c r="AR108" s="2875"/>
    </row>
    <row customHeight="1" ht="17.25">
      <c r="A109" s="1881"/>
      <c r="B109" s="2875"/>
      <c r="C109" s="1886"/>
      <c r="D109" s="1871"/>
      <c r="E109" s="1888"/>
      <c r="F109" s="1825"/>
      <c r="G109" s="1889"/>
      <c r="H109" s="1871"/>
      <c r="I109" s="1871"/>
      <c r="J109" s="1890"/>
      <c r="K109" s="1800"/>
      <c r="L109" s="2354"/>
      <c r="M109" s="2354"/>
      <c r="N109" s="2388"/>
      <c r="O109" s="1986"/>
      <c r="P109" s="310"/>
      <c r="Q109" s="311"/>
      <c r="R109" s="311" t="s">
        <v>255</v>
      </c>
      <c r="S109" s="1887"/>
      <c r="T109" s="1887"/>
      <c r="U109" s="1887"/>
      <c r="V109" s="1887"/>
      <c r="W109" s="312"/>
      <c r="X109" s="2875"/>
      <c r="Y109" s="1288"/>
      <c r="Z109" s="1288"/>
      <c r="AA109" s="1288"/>
      <c r="AB109" s="1288"/>
      <c r="AC109" s="1288"/>
      <c r="AD109" s="1288"/>
      <c r="AE109" s="1288"/>
      <c r="AF109" s="1288"/>
      <c r="AG109" s="1288"/>
      <c r="AH109" s="1288"/>
      <c r="AI109" s="1288"/>
      <c r="AJ109" s="1288"/>
      <c r="AK109" s="1288"/>
      <c r="AL109" s="2875"/>
      <c r="AM109" s="2875"/>
      <c r="AN109" s="2875"/>
      <c r="AO109" s="2875"/>
      <c r="AP109" s="2875"/>
      <c r="AQ109" s="2875"/>
      <c r="AR109" s="2875"/>
    </row>
    <row customHeight="1" ht="17.25">
      <c r="A110" s="1881"/>
      <c r="B110" s="2875"/>
      <c r="C110" s="1883"/>
      <c r="D110" s="1871"/>
      <c r="E110" s="1888"/>
      <c r="F110" s="1825"/>
      <c r="G110" s="1889"/>
      <c r="H110" s="1871"/>
      <c r="I110" s="1871"/>
      <c r="J110" s="1890"/>
      <c r="K110" s="1800"/>
      <c r="L110" s="1982" t="s">
        <v>105</v>
      </c>
      <c r="M110" s="1982" t="s">
        <v>94</v>
      </c>
      <c r="N110" s="2387" t="str">
        <f>IF(Z110="","",INDEX(TERRITORY_MR_LIST,MATCH(Z110,TERRITORY_LIST_ID,0)))</f>
        <v>Территория 7</v>
      </c>
      <c r="O110" s="2044" t="s">
        <v>58</v>
      </c>
      <c r="P110" s="1982"/>
      <c r="Q110" s="1982" t="s">
        <v>193</v>
      </c>
      <c r="R110" s="2911" t="s">
        <v>24</v>
      </c>
      <c r="S110" s="1981" t="s">
        <v>58</v>
      </c>
      <c r="T110" s="1852"/>
      <c r="U110" s="1852" t="s">
        <v>193</v>
      </c>
      <c r="V110" s="2912" t="s">
        <v>24</v>
      </c>
      <c r="W110" s="1842"/>
      <c r="X110" s="2875"/>
      <c r="Y110" s="1296"/>
      <c r="Z110" s="1296" t="s">
        <v>125</v>
      </c>
      <c r="AA110" s="1296"/>
      <c r="AB110" s="1296"/>
      <c r="AC110" s="2887" t="s">
        <v>245</v>
      </c>
      <c r="AD110" s="2887" t="s">
        <v>331</v>
      </c>
      <c r="AE110" s="1296" t="s">
        <v>352</v>
      </c>
      <c r="AF110" s="1296" t="s">
        <v>353</v>
      </c>
      <c r="AG110" s="1296" t="s">
        <v>354</v>
      </c>
      <c r="AH110" s="1296" t="str">
        <f>IF($E$23=0,"",$E$23)</f>
        <v>Тарифы на теплоноситель, поставляемый теплоснабжающими организациями потребителям, другим теплоснабжающим организациям</v>
      </c>
      <c r="AI110" s="1296" t="str">
        <f>IF($G$23=0,"",$G$23)</f>
        <v>Производство. Теплоноситель, Передача. Теплоноситель, Сбыт. Теплоноситель</v>
      </c>
      <c r="AJ110" s="1296" t="str">
        <f>IF($J$90=0,"",$J$90)</f>
        <v>Тариф на теплоноситель, поставляемый населению</v>
      </c>
      <c r="AK110" s="1296" t="str">
        <f>IF($K$110="нет","без дифференциации",IF($N$110=0,"",$N$110))</f>
        <v>Территория 7</v>
      </c>
      <c r="AL110" s="1885" t="str">
        <f>IF($O$110="нет","без дифференциации",IF($R$110=0,"",$R$110))</f>
        <v>без дифференциации</v>
      </c>
      <c r="AM110" s="1885" t="str">
        <f>IF($S$110="нет","без дифференциации",IF($V$110=0,"",$V$110))</f>
        <v>без дифференциации</v>
      </c>
      <c r="AN110" s="1296" t="str">
        <f>$I$90</f>
        <v>2</v>
      </c>
      <c r="AO110" s="1296" t="str">
        <f>$I$90&amp;"."&amp;$M$110</f>
        <v>2.7</v>
      </c>
      <c r="AP110" s="1296" t="str">
        <f>$I$90&amp;"."&amp;$M$110&amp;"."&amp;$Q$110</f>
        <v>2.7.1</v>
      </c>
      <c r="AQ110" s="1296" t="str">
        <f>$I$90&amp;"."&amp;$M$110&amp;"."&amp;$Q$110&amp;"."&amp;$U$110</f>
        <v>2.7.1.1</v>
      </c>
      <c r="AR110" s="2875"/>
    </row>
    <row customHeight="1" ht="17.25">
      <c r="A111" s="1881"/>
      <c r="B111" s="2875"/>
      <c r="C111" s="1886"/>
      <c r="D111" s="1871"/>
      <c r="E111" s="1888"/>
      <c r="F111" s="1825"/>
      <c r="G111" s="1889"/>
      <c r="H111" s="1871"/>
      <c r="I111" s="1871"/>
      <c r="J111" s="1890"/>
      <c r="K111" s="1800"/>
      <c r="L111" s="1982"/>
      <c r="M111" s="1982"/>
      <c r="N111" s="2387"/>
      <c r="O111" s="2045"/>
      <c r="P111" s="1982"/>
      <c r="Q111" s="1982"/>
      <c r="R111" s="2911" t="s">
        <v>24</v>
      </c>
      <c r="S111" s="1981"/>
      <c r="T111" s="310"/>
      <c r="U111" s="311"/>
      <c r="V111" s="311" t="s">
        <v>254</v>
      </c>
      <c r="W111" s="312"/>
      <c r="X111" s="2875"/>
      <c r="Y111" s="1288"/>
      <c r="Z111" s="1288"/>
      <c r="AA111" s="1288"/>
      <c r="AB111" s="1288"/>
      <c r="AC111" s="1288"/>
      <c r="AD111" s="1288"/>
      <c r="AE111" s="1288"/>
      <c r="AF111" s="1288"/>
      <c r="AG111" s="1288"/>
      <c r="AH111" s="1288"/>
      <c r="AI111" s="1288"/>
      <c r="AJ111" s="1288"/>
      <c r="AK111" s="1288"/>
      <c r="AL111" s="2875"/>
      <c r="AM111" s="2875"/>
      <c r="AN111" s="2875"/>
      <c r="AO111" s="2875"/>
      <c r="AP111" s="2875"/>
      <c r="AQ111" s="2875"/>
      <c r="AR111" s="2875"/>
    </row>
    <row customHeight="1" ht="17.25">
      <c r="A112" s="1881"/>
      <c r="B112" s="2875"/>
      <c r="C112" s="1886"/>
      <c r="D112" s="1871"/>
      <c r="E112" s="1888"/>
      <c r="F112" s="1825"/>
      <c r="G112" s="1889"/>
      <c r="H112" s="1871"/>
      <c r="I112" s="1871"/>
      <c r="J112" s="1890"/>
      <c r="K112" s="1800"/>
      <c r="L112" s="2354"/>
      <c r="M112" s="2354"/>
      <c r="N112" s="2388"/>
      <c r="O112" s="1986"/>
      <c r="P112" s="310"/>
      <c r="Q112" s="311"/>
      <c r="R112" s="311" t="s">
        <v>255</v>
      </c>
      <c r="S112" s="1887"/>
      <c r="T112" s="1887"/>
      <c r="U112" s="1887"/>
      <c r="V112" s="1887"/>
      <c r="W112" s="312"/>
      <c r="X112" s="2875"/>
      <c r="Y112" s="1288"/>
      <c r="Z112" s="1288"/>
      <c r="AA112" s="1288"/>
      <c r="AB112" s="1288"/>
      <c r="AC112" s="1288"/>
      <c r="AD112" s="1288"/>
      <c r="AE112" s="1288"/>
      <c r="AF112" s="1288"/>
      <c r="AG112" s="1288"/>
      <c r="AH112" s="1288"/>
      <c r="AI112" s="1288"/>
      <c r="AJ112" s="1288"/>
      <c r="AK112" s="1288"/>
      <c r="AL112" s="2875"/>
      <c r="AM112" s="2875"/>
      <c r="AN112" s="2875"/>
      <c r="AO112" s="2875"/>
      <c r="AP112" s="2875"/>
      <c r="AQ112" s="2875"/>
      <c r="AR112" s="2875"/>
    </row>
    <row customHeight="1" ht="17.25">
      <c r="A113" s="1881"/>
      <c r="B113" s="2875"/>
      <c r="C113" s="1883"/>
      <c r="D113" s="1871"/>
      <c r="E113" s="1888"/>
      <c r="F113" s="1825"/>
      <c r="G113" s="1889"/>
      <c r="H113" s="1871"/>
      <c r="I113" s="1871"/>
      <c r="J113" s="1890"/>
      <c r="K113" s="1800"/>
      <c r="L113" s="1982" t="s">
        <v>105</v>
      </c>
      <c r="M113" s="1982" t="s">
        <v>130</v>
      </c>
      <c r="N113" s="2387" t="str">
        <f>IF(Z113="","",INDEX(TERRITORY_MR_LIST,MATCH(Z113,TERRITORY_LIST_ID,0)))</f>
        <v>Территория 8</v>
      </c>
      <c r="O113" s="2044" t="s">
        <v>58</v>
      </c>
      <c r="P113" s="1982"/>
      <c r="Q113" s="1982" t="s">
        <v>193</v>
      </c>
      <c r="R113" s="2911" t="s">
        <v>24</v>
      </c>
      <c r="S113" s="1981" t="s">
        <v>58</v>
      </c>
      <c r="T113" s="1852"/>
      <c r="U113" s="1852" t="s">
        <v>193</v>
      </c>
      <c r="V113" s="2912" t="s">
        <v>24</v>
      </c>
      <c r="W113" s="1842"/>
      <c r="X113" s="2875"/>
      <c r="Y113" s="1296"/>
      <c r="Z113" s="1296" t="s">
        <v>131</v>
      </c>
      <c r="AA113" s="1296"/>
      <c r="AB113" s="1296"/>
      <c r="AC113" s="2887" t="s">
        <v>245</v>
      </c>
      <c r="AD113" s="2887" t="s">
        <v>331</v>
      </c>
      <c r="AE113" s="1296" t="s">
        <v>355</v>
      </c>
      <c r="AF113" s="1296" t="s">
        <v>356</v>
      </c>
      <c r="AG113" s="1296" t="s">
        <v>357</v>
      </c>
      <c r="AH113" s="1296" t="str">
        <f>IF($E$23=0,"",$E$23)</f>
        <v>Тарифы на теплоноситель, поставляемый теплоснабжающими организациями потребителям, другим теплоснабжающим организациям</v>
      </c>
      <c r="AI113" s="1296" t="str">
        <f>IF($G$23=0,"",$G$23)</f>
        <v>Производство. Теплоноситель, Передача. Теплоноситель, Сбыт. Теплоноситель</v>
      </c>
      <c r="AJ113" s="1296" t="str">
        <f>IF($J$90=0,"",$J$90)</f>
        <v>Тариф на теплоноситель, поставляемый населению</v>
      </c>
      <c r="AK113" s="1296" t="str">
        <f>IF($K$113="нет","без дифференциации",IF($N$113=0,"",$N$113))</f>
        <v>Территория 8</v>
      </c>
      <c r="AL113" s="1885" t="str">
        <f>IF($O$113="нет","без дифференциации",IF($R$113=0,"",$R$113))</f>
        <v>без дифференциации</v>
      </c>
      <c r="AM113" s="1885" t="str">
        <f>IF($S$113="нет","без дифференциации",IF($V$113=0,"",$V$113))</f>
        <v>без дифференциации</v>
      </c>
      <c r="AN113" s="1296" t="str">
        <f>$I$90</f>
        <v>2</v>
      </c>
      <c r="AO113" s="1296" t="str">
        <f>$I$90&amp;"."&amp;$M$113</f>
        <v>2.8</v>
      </c>
      <c r="AP113" s="1296" t="str">
        <f>$I$90&amp;"."&amp;$M$113&amp;"."&amp;$Q$113</f>
        <v>2.8.1</v>
      </c>
      <c r="AQ113" s="1296" t="str">
        <f>$I$90&amp;"."&amp;$M$113&amp;"."&amp;$Q$113&amp;"."&amp;$U$113</f>
        <v>2.8.1.1</v>
      </c>
      <c r="AR113" s="2875"/>
    </row>
    <row customHeight="1" ht="17.25">
      <c r="A114" s="1881"/>
      <c r="B114" s="2875"/>
      <c r="C114" s="1886"/>
      <c r="D114" s="1871"/>
      <c r="E114" s="1888"/>
      <c r="F114" s="1825"/>
      <c r="G114" s="1889"/>
      <c r="H114" s="1871"/>
      <c r="I114" s="1871"/>
      <c r="J114" s="1890"/>
      <c r="K114" s="1800"/>
      <c r="L114" s="1982"/>
      <c r="M114" s="1982"/>
      <c r="N114" s="2387"/>
      <c r="O114" s="2045"/>
      <c r="P114" s="1982"/>
      <c r="Q114" s="1982"/>
      <c r="R114" s="2911" t="s">
        <v>24</v>
      </c>
      <c r="S114" s="1981"/>
      <c r="T114" s="310"/>
      <c r="U114" s="311"/>
      <c r="V114" s="311" t="s">
        <v>254</v>
      </c>
      <c r="W114" s="312"/>
      <c r="X114" s="2875"/>
      <c r="Y114" s="1288"/>
      <c r="Z114" s="1288"/>
      <c r="AA114" s="1288"/>
      <c r="AB114" s="1288"/>
      <c r="AC114" s="1288"/>
      <c r="AD114" s="1288"/>
      <c r="AE114" s="1288"/>
      <c r="AF114" s="1288"/>
      <c r="AG114" s="1288"/>
      <c r="AH114" s="1288"/>
      <c r="AI114" s="1288"/>
      <c r="AJ114" s="1288"/>
      <c r="AK114" s="1288"/>
      <c r="AL114" s="2875"/>
      <c r="AM114" s="2875"/>
      <c r="AN114" s="2875"/>
      <c r="AO114" s="2875"/>
      <c r="AP114" s="2875"/>
      <c r="AQ114" s="2875"/>
      <c r="AR114" s="2875"/>
    </row>
    <row customHeight="1" ht="17.25">
      <c r="A115" s="1881"/>
      <c r="B115" s="2875"/>
      <c r="C115" s="1886"/>
      <c r="D115" s="1871"/>
      <c r="E115" s="1888"/>
      <c r="F115" s="1825"/>
      <c r="G115" s="1889"/>
      <c r="H115" s="1871"/>
      <c r="I115" s="1871"/>
      <c r="J115" s="1890"/>
      <c r="K115" s="1800"/>
      <c r="L115" s="2354"/>
      <c r="M115" s="2354"/>
      <c r="N115" s="2388"/>
      <c r="O115" s="1986"/>
      <c r="P115" s="310"/>
      <c r="Q115" s="311"/>
      <c r="R115" s="311" t="s">
        <v>255</v>
      </c>
      <c r="S115" s="1887"/>
      <c r="T115" s="1887"/>
      <c r="U115" s="1887"/>
      <c r="V115" s="1887"/>
      <c r="W115" s="312"/>
      <c r="X115" s="2875"/>
      <c r="Y115" s="1288"/>
      <c r="Z115" s="1288"/>
      <c r="AA115" s="1288"/>
      <c r="AB115" s="1288"/>
      <c r="AC115" s="1288"/>
      <c r="AD115" s="1288"/>
      <c r="AE115" s="1288"/>
      <c r="AF115" s="1288"/>
      <c r="AG115" s="1288"/>
      <c r="AH115" s="1288"/>
      <c r="AI115" s="1288"/>
      <c r="AJ115" s="1288"/>
      <c r="AK115" s="1288"/>
      <c r="AL115" s="2875"/>
      <c r="AM115" s="2875"/>
      <c r="AN115" s="2875"/>
      <c r="AO115" s="2875"/>
      <c r="AP115" s="2875"/>
      <c r="AQ115" s="2875"/>
      <c r="AR115" s="2875"/>
    </row>
    <row customHeight="1" ht="17.25">
      <c r="A116" s="1881"/>
      <c r="B116" s="2875"/>
      <c r="C116" s="1883"/>
      <c r="D116" s="1871"/>
      <c r="E116" s="1888"/>
      <c r="F116" s="1825"/>
      <c r="G116" s="1889"/>
      <c r="H116" s="1871"/>
      <c r="I116" s="1871"/>
      <c r="J116" s="1890"/>
      <c r="K116" s="1800"/>
      <c r="L116" s="1982" t="s">
        <v>105</v>
      </c>
      <c r="M116" s="1982" t="s">
        <v>135</v>
      </c>
      <c r="N116" s="2387" t="str">
        <f>IF(Z116="","",INDEX(TERRITORY_MR_LIST,MATCH(Z116,TERRITORY_LIST_ID,0)))</f>
        <v>Территория 9</v>
      </c>
      <c r="O116" s="2044" t="s">
        <v>58</v>
      </c>
      <c r="P116" s="1982"/>
      <c r="Q116" s="1982" t="s">
        <v>193</v>
      </c>
      <c r="R116" s="2911" t="s">
        <v>24</v>
      </c>
      <c r="S116" s="1981" t="s">
        <v>63</v>
      </c>
      <c r="T116" s="1852"/>
      <c r="U116" s="1852" t="s">
        <v>193</v>
      </c>
      <c r="V116" s="1884" t="s">
        <v>278</v>
      </c>
      <c r="W116" s="1842"/>
      <c r="X116" s="2875"/>
      <c r="Y116" s="1296"/>
      <c r="Z116" s="1296" t="s">
        <v>136</v>
      </c>
      <c r="AA116" s="1296"/>
      <c r="AB116" s="1296"/>
      <c r="AC116" s="2887" t="s">
        <v>245</v>
      </c>
      <c r="AD116" s="2887" t="s">
        <v>331</v>
      </c>
      <c r="AE116" s="1296" t="s">
        <v>358</v>
      </c>
      <c r="AF116" s="1296" t="s">
        <v>359</v>
      </c>
      <c r="AG116" s="1296" t="s">
        <v>360</v>
      </c>
      <c r="AH116" s="1296" t="str">
        <f>IF($E$23=0,"",$E$23)</f>
        <v>Тарифы на теплоноситель, поставляемый теплоснабжающими организациями потребителям, другим теплоснабжающим организациям</v>
      </c>
      <c r="AI116" s="1296" t="str">
        <f>IF($G$23=0,"",$G$23)</f>
        <v>Производство. Теплоноситель, Передача. Теплоноситель, Сбыт. Теплоноситель</v>
      </c>
      <c r="AJ116" s="1296" t="str">
        <f>IF($J$90=0,"",$J$90)</f>
        <v>Тариф на теплоноситель, поставляемый населению</v>
      </c>
      <c r="AK116" s="1296" t="str">
        <f>IF($K$116="нет","без дифференциации",IF($N$116=0,"",$N$116))</f>
        <v>Территория 9</v>
      </c>
      <c r="AL116" s="1885" t="str">
        <f>IF($O$116="нет","без дифференциации",IF($R$116=0,"",$R$116))</f>
        <v>без дифференциации</v>
      </c>
      <c r="AM116" s="1885" t="str">
        <f>IF($S$116="нет","без дифференциации",IF($V$116=0,"",$V$116))</f>
        <v>населенный пункт Высокий</v>
      </c>
      <c r="AN116" s="1296" t="str">
        <f>$I$90</f>
        <v>2</v>
      </c>
      <c r="AO116" s="1296" t="str">
        <f>$I$90&amp;"."&amp;$M$116</f>
        <v>2.9</v>
      </c>
      <c r="AP116" s="1296" t="str">
        <f>$I$90&amp;"."&amp;$M$116&amp;"."&amp;$Q$116</f>
        <v>2.9.1</v>
      </c>
      <c r="AQ116" s="1296" t="str">
        <f>$I$90&amp;"."&amp;$M$116&amp;"."&amp;$Q$116&amp;"."&amp;$U$116</f>
        <v>2.9.1.1</v>
      </c>
      <c r="AR116" s="2875"/>
    </row>
    <row customHeight="1" ht="17.25">
      <c r="A117" s="1881"/>
      <c r="B117" s="2875"/>
      <c r="C117" s="1886"/>
      <c r="D117" s="1871"/>
      <c r="E117" s="1888"/>
      <c r="F117" s="1825"/>
      <c r="G117" s="1889"/>
      <c r="H117" s="1871"/>
      <c r="I117" s="1871"/>
      <c r="J117" s="1890"/>
      <c r="K117" s="1800"/>
      <c r="L117" s="1982"/>
      <c r="M117" s="1982"/>
      <c r="N117" s="2387"/>
      <c r="O117" s="2045"/>
      <c r="P117" s="1982"/>
      <c r="Q117" s="1982"/>
      <c r="R117" s="2911" t="s">
        <v>24</v>
      </c>
      <c r="S117" s="1981"/>
      <c r="T117" s="310"/>
      <c r="U117" s="311"/>
      <c r="V117" s="311" t="s">
        <v>254</v>
      </c>
      <c r="W117" s="312"/>
      <c r="X117" s="2875"/>
      <c r="Y117" s="1288"/>
      <c r="Z117" s="1288"/>
      <c r="AA117" s="1288"/>
      <c r="AB117" s="1288"/>
      <c r="AC117" s="1288"/>
      <c r="AD117" s="1288"/>
      <c r="AE117" s="1288"/>
      <c r="AF117" s="1288"/>
      <c r="AG117" s="1288"/>
      <c r="AH117" s="1288"/>
      <c r="AI117" s="1288"/>
      <c r="AJ117" s="1288"/>
      <c r="AK117" s="1288"/>
      <c r="AL117" s="2875"/>
      <c r="AM117" s="2875"/>
      <c r="AN117" s="2875"/>
      <c r="AO117" s="2875"/>
      <c r="AP117" s="2875"/>
      <c r="AQ117" s="2875"/>
      <c r="AR117" s="2875"/>
    </row>
    <row customHeight="1" ht="17.25">
      <c r="A118" s="1881"/>
      <c r="B118" s="2875"/>
      <c r="C118" s="1886"/>
      <c r="D118" s="1871"/>
      <c r="E118" s="1888"/>
      <c r="F118" s="1825"/>
      <c r="G118" s="1889"/>
      <c r="H118" s="1871"/>
      <c r="I118" s="1871"/>
      <c r="J118" s="1890"/>
      <c r="K118" s="1800"/>
      <c r="L118" s="2354"/>
      <c r="M118" s="2354"/>
      <c r="N118" s="2388"/>
      <c r="O118" s="1986"/>
      <c r="P118" s="310"/>
      <c r="Q118" s="311"/>
      <c r="R118" s="311" t="s">
        <v>255</v>
      </c>
      <c r="S118" s="1887"/>
      <c r="T118" s="1887"/>
      <c r="U118" s="1887"/>
      <c r="V118" s="1887"/>
      <c r="W118" s="312"/>
      <c r="X118" s="2875"/>
      <c r="Y118" s="1288"/>
      <c r="Z118" s="1288"/>
      <c r="AA118" s="1288"/>
      <c r="AB118" s="1288"/>
      <c r="AC118" s="1288"/>
      <c r="AD118" s="1288"/>
      <c r="AE118" s="1288"/>
      <c r="AF118" s="1288"/>
      <c r="AG118" s="1288"/>
      <c r="AH118" s="1288"/>
      <c r="AI118" s="1288"/>
      <c r="AJ118" s="1288"/>
      <c r="AK118" s="1288"/>
      <c r="AL118" s="2875"/>
      <c r="AM118" s="2875"/>
      <c r="AN118" s="2875"/>
      <c r="AO118" s="2875"/>
      <c r="AP118" s="2875"/>
      <c r="AQ118" s="2875"/>
      <c r="AR118" s="2875"/>
    </row>
    <row customHeight="1" ht="17.25">
      <c r="A119" s="1881"/>
      <c r="B119" s="2875"/>
      <c r="C119" s="1883"/>
      <c r="D119" s="1871"/>
      <c r="E119" s="1888"/>
      <c r="F119" s="1825"/>
      <c r="G119" s="1889"/>
      <c r="H119" s="1871"/>
      <c r="I119" s="1871"/>
      <c r="J119" s="1890"/>
      <c r="K119" s="1800"/>
      <c r="L119" s="1982" t="s">
        <v>105</v>
      </c>
      <c r="M119" s="1982" t="s">
        <v>139</v>
      </c>
      <c r="N119" s="2387" t="str">
        <f>IF(Z119="","",INDEX(TERRITORY_MR_LIST,MATCH(Z119,TERRITORY_LIST_ID,0)))</f>
        <v>Территория 10</v>
      </c>
      <c r="O119" s="2044" t="s">
        <v>58</v>
      </c>
      <c r="P119" s="1982"/>
      <c r="Q119" s="1982" t="s">
        <v>193</v>
      </c>
      <c r="R119" s="2911" t="s">
        <v>24</v>
      </c>
      <c r="S119" s="1981" t="s">
        <v>63</v>
      </c>
      <c r="T119" s="1852"/>
      <c r="U119" s="1852" t="s">
        <v>193</v>
      </c>
      <c r="V119" s="1884" t="s">
        <v>282</v>
      </c>
      <c r="W119" s="1842"/>
      <c r="X119" s="2875"/>
      <c r="Y119" s="1296"/>
      <c r="Z119" s="1296" t="s">
        <v>140</v>
      </c>
      <c r="AA119" s="1296"/>
      <c r="AB119" s="1296"/>
      <c r="AC119" s="2887" t="s">
        <v>245</v>
      </c>
      <c r="AD119" s="2887" t="s">
        <v>331</v>
      </c>
      <c r="AE119" s="1296" t="s">
        <v>361</v>
      </c>
      <c r="AF119" s="1296" t="s">
        <v>362</v>
      </c>
      <c r="AG119" s="1296" t="s">
        <v>363</v>
      </c>
      <c r="AH119" s="1296" t="str">
        <f>IF($E$23=0,"",$E$23)</f>
        <v>Тарифы на теплоноситель, поставляемый теплоснабжающими организациями потребителям, другим теплоснабжающим организациям</v>
      </c>
      <c r="AI119" s="1296" t="str">
        <f>IF($G$23=0,"",$G$23)</f>
        <v>Производство. Теплоноситель, Передача. Теплоноситель, Сбыт. Теплоноситель</v>
      </c>
      <c r="AJ119" s="1296" t="str">
        <f>IF($J$90=0,"",$J$90)</f>
        <v>Тариф на теплоноситель, поставляемый населению</v>
      </c>
      <c r="AK119" s="1296" t="str">
        <f>IF($K$119="нет","без дифференциации",IF($N$119=0,"",$N$119))</f>
        <v>Территория 10</v>
      </c>
      <c r="AL119" s="1885" t="str">
        <f>IF($O$119="нет","без дифференциации",IF($R$119=0,"",$R$119))</f>
        <v>без дифференциации</v>
      </c>
      <c r="AM119" s="1885" t="str">
        <f>IF($S$119="нет","без дифференциации",IF($V$119=0,"",$V$119))</f>
        <v>город Гаджиево, н.п.Оленья Губа, город Полярный</v>
      </c>
      <c r="AN119" s="1296" t="str">
        <f>$I$90</f>
        <v>2</v>
      </c>
      <c r="AO119" s="1296" t="str">
        <f>$I$90&amp;"."&amp;$M$119</f>
        <v>2.10</v>
      </c>
      <c r="AP119" s="1296" t="str">
        <f>$I$90&amp;"."&amp;$M$119&amp;"."&amp;$Q$119</f>
        <v>2.10.1</v>
      </c>
      <c r="AQ119" s="1296" t="str">
        <f>$I$90&amp;"."&amp;$M$119&amp;"."&amp;$Q$119&amp;"."&amp;$U$119</f>
        <v>2.10.1.1</v>
      </c>
      <c r="AR119" s="2875"/>
    </row>
    <row customHeight="1" ht="17.25">
      <c r="A120" s="1881"/>
      <c r="B120" s="2875"/>
      <c r="C120" s="1883"/>
      <c r="D120" s="1871"/>
      <c r="E120" s="1888"/>
      <c r="F120" s="1825"/>
      <c r="G120" s="1889"/>
      <c r="H120" s="1796"/>
      <c r="I120" s="1796"/>
      <c r="J120" s="1797"/>
      <c r="K120" s="1889"/>
      <c r="L120" s="1796"/>
      <c r="M120" s="1796"/>
      <c r="N120" s="1889"/>
      <c r="O120" s="1889"/>
      <c r="P120" s="1796"/>
      <c r="Q120" s="1796"/>
      <c r="R120" s="1798"/>
      <c r="S120" s="1889"/>
      <c r="T120" s="1852" t="s">
        <v>105</v>
      </c>
      <c r="U120" s="1852" t="s">
        <v>104</v>
      </c>
      <c r="V120" s="1884" t="s">
        <v>286</v>
      </c>
      <c r="W120" s="1842"/>
      <c r="X120" s="2875"/>
      <c r="Y120" s="1296"/>
      <c r="Z120" s="1296"/>
      <c r="AA120" s="1296"/>
      <c r="AB120" s="1296"/>
      <c r="AC120" s="2887" t="s">
        <v>245</v>
      </c>
      <c r="AD120" s="2887" t="s">
        <v>331</v>
      </c>
      <c r="AE120" s="2887" t="s">
        <v>361</v>
      </c>
      <c r="AF120" s="2887" t="s">
        <v>362</v>
      </c>
      <c r="AG120" s="1296" t="s">
        <v>364</v>
      </c>
      <c r="AH120" s="1296" t="str">
        <f>IF($E$23=0,"",$E$23)</f>
        <v>Тарифы на теплоноситель, поставляемый теплоснабжающими организациями потребителям, другим теплоснабжающим организациям</v>
      </c>
      <c r="AI120" s="1296" t="str">
        <f>IF($G$23=0,"",$G$23)</f>
        <v>Производство. Теплоноситель, Передача. Теплоноситель, Сбыт. Теплоноситель</v>
      </c>
      <c r="AJ120" s="1296" t="str">
        <f>IF($J$90=0,"",$J$90)</f>
        <v>Тариф на теплоноситель, поставляемый населению</v>
      </c>
      <c r="AK120" s="1296" t="str">
        <f>IF($K$119="нет","без дифференциации",IF($N$119=0,"",$N$119))</f>
        <v>Территория 10</v>
      </c>
      <c r="AL120" s="1885" t="str">
        <f>IF($O$119="нет","без дифференциации",IF($R$119=0,"",$R$119))</f>
        <v>без дифференциации</v>
      </c>
      <c r="AM120" s="1885" t="str">
        <f>IF($S$120="нет","без дифференциации",IF($V$120=0,"",$V$120))</f>
        <v>город Снежногорск</v>
      </c>
      <c r="AN120" s="1296" t="str">
        <f>$I$90</f>
        <v>2</v>
      </c>
      <c r="AO120" s="1296" t="str">
        <f>$I$90&amp;"."&amp;$M$119</f>
        <v>2.10</v>
      </c>
      <c r="AP120" s="1296" t="str">
        <f>$I$90&amp;"."&amp;$M$119&amp;"."&amp;$Q$119</f>
        <v>2.10.1</v>
      </c>
      <c r="AQ120" s="1296" t="str">
        <f>$I$90&amp;"."&amp;$M$119&amp;"."&amp;$Q$119&amp;"."&amp;$U$120</f>
        <v>2.10.1.2</v>
      </c>
      <c r="AR120" s="2875"/>
    </row>
    <row customHeight="1" ht="17.25">
      <c r="A121" s="1881"/>
      <c r="B121" s="2875"/>
      <c r="C121" s="1886"/>
      <c r="D121" s="1871"/>
      <c r="E121" s="1888"/>
      <c r="F121" s="1825"/>
      <c r="G121" s="1889"/>
      <c r="H121" s="1871"/>
      <c r="I121" s="1871"/>
      <c r="J121" s="1890"/>
      <c r="K121" s="1800"/>
      <c r="L121" s="1982"/>
      <c r="M121" s="1982"/>
      <c r="N121" s="2387"/>
      <c r="O121" s="2045"/>
      <c r="P121" s="1982"/>
      <c r="Q121" s="1982"/>
      <c r="R121" s="2911" t="s">
        <v>24</v>
      </c>
      <c r="S121" s="1981"/>
      <c r="T121" s="310"/>
      <c r="U121" s="311"/>
      <c r="V121" s="311" t="s">
        <v>254</v>
      </c>
      <c r="W121" s="312"/>
      <c r="X121" s="2875"/>
      <c r="Y121" s="1288"/>
      <c r="Z121" s="1288"/>
      <c r="AA121" s="1288"/>
      <c r="AB121" s="1288"/>
      <c r="AC121" s="1288"/>
      <c r="AD121" s="1288"/>
      <c r="AE121" s="1288"/>
      <c r="AF121" s="1288"/>
      <c r="AG121" s="1288"/>
      <c r="AH121" s="1288"/>
      <c r="AI121" s="1288"/>
      <c r="AJ121" s="1288"/>
      <c r="AK121" s="1288"/>
      <c r="AL121" s="2875"/>
      <c r="AM121" s="2875"/>
      <c r="AN121" s="2875"/>
      <c r="AO121" s="2875"/>
      <c r="AP121" s="2875"/>
      <c r="AQ121" s="2875"/>
      <c r="AR121" s="2875"/>
    </row>
    <row customHeight="1" ht="17.25">
      <c r="A122" s="1881"/>
      <c r="B122" s="2875"/>
      <c r="C122" s="1886"/>
      <c r="D122" s="1871"/>
      <c r="E122" s="1888"/>
      <c r="F122" s="1825"/>
      <c r="G122" s="1889"/>
      <c r="H122" s="1871"/>
      <c r="I122" s="1871"/>
      <c r="J122" s="1890"/>
      <c r="K122" s="1800"/>
      <c r="L122" s="2354"/>
      <c r="M122" s="2354"/>
      <c r="N122" s="2388"/>
      <c r="O122" s="1986"/>
      <c r="P122" s="310"/>
      <c r="Q122" s="311"/>
      <c r="R122" s="311" t="s">
        <v>255</v>
      </c>
      <c r="S122" s="1887"/>
      <c r="T122" s="1887"/>
      <c r="U122" s="1887"/>
      <c r="V122" s="1887"/>
      <c r="W122" s="312"/>
      <c r="X122" s="2875"/>
      <c r="Y122" s="1288"/>
      <c r="Z122" s="1288"/>
      <c r="AA122" s="1288"/>
      <c r="AB122" s="1288"/>
      <c r="AC122" s="1288"/>
      <c r="AD122" s="1288"/>
      <c r="AE122" s="1288"/>
      <c r="AF122" s="1288"/>
      <c r="AG122" s="1288"/>
      <c r="AH122" s="1288"/>
      <c r="AI122" s="1288"/>
      <c r="AJ122" s="1288"/>
      <c r="AK122" s="1288"/>
      <c r="AL122" s="2875"/>
      <c r="AM122" s="2875"/>
      <c r="AN122" s="2875"/>
      <c r="AO122" s="2875"/>
      <c r="AP122" s="2875"/>
      <c r="AQ122" s="2875"/>
      <c r="AR122" s="2875"/>
    </row>
    <row customHeight="1" ht="17.25">
      <c r="A123" s="1881"/>
      <c r="B123" s="2875"/>
      <c r="C123" s="1883"/>
      <c r="D123" s="1871"/>
      <c r="E123" s="1888"/>
      <c r="F123" s="1825"/>
      <c r="G123" s="1889"/>
      <c r="H123" s="1871"/>
      <c r="I123" s="1871"/>
      <c r="J123" s="1890"/>
      <c r="K123" s="1800"/>
      <c r="L123" s="1982" t="s">
        <v>105</v>
      </c>
      <c r="M123" s="1982" t="s">
        <v>143</v>
      </c>
      <c r="N123" s="2387" t="str">
        <f>IF(Z123="","",INDEX(TERRITORY_MR_LIST,MATCH(Z123,TERRITORY_LIST_ID,0)))</f>
        <v>Территория 11</v>
      </c>
      <c r="O123" s="2044" t="s">
        <v>58</v>
      </c>
      <c r="P123" s="1982"/>
      <c r="Q123" s="1982" t="s">
        <v>193</v>
      </c>
      <c r="R123" s="2911" t="s">
        <v>24</v>
      </c>
      <c r="S123" s="1981" t="s">
        <v>63</v>
      </c>
      <c r="T123" s="1852"/>
      <c r="U123" s="1852" t="s">
        <v>193</v>
      </c>
      <c r="V123" s="1884" t="s">
        <v>288</v>
      </c>
      <c r="W123" s="1842"/>
      <c r="X123" s="2875"/>
      <c r="Y123" s="1296"/>
      <c r="Z123" s="1296" t="s">
        <v>144</v>
      </c>
      <c r="AA123" s="1296"/>
      <c r="AB123" s="1296"/>
      <c r="AC123" s="2887" t="s">
        <v>245</v>
      </c>
      <c r="AD123" s="2887" t="s">
        <v>331</v>
      </c>
      <c r="AE123" s="1296" t="s">
        <v>365</v>
      </c>
      <c r="AF123" s="1296" t="s">
        <v>366</v>
      </c>
      <c r="AG123" s="1296" t="s">
        <v>367</v>
      </c>
      <c r="AH123" s="1296" t="str">
        <f>IF($E$23=0,"",$E$23)</f>
        <v>Тарифы на теплоноситель, поставляемый теплоснабжающими организациями потребителям, другим теплоснабжающим организациям</v>
      </c>
      <c r="AI123" s="1296" t="str">
        <f>IF($G$23=0,"",$G$23)</f>
        <v>Производство. Теплоноситель, Передача. Теплоноситель, Сбыт. Теплоноситель</v>
      </c>
      <c r="AJ123" s="1296" t="str">
        <f>IF($J$90=0,"",$J$90)</f>
        <v>Тариф на теплоноситель, поставляемый населению</v>
      </c>
      <c r="AK123" s="1296" t="str">
        <f>IF($K$123="нет","без дифференциации",IF($N$123=0,"",$N$123))</f>
        <v>Территория 11</v>
      </c>
      <c r="AL123" s="1885" t="str">
        <f>IF($O$123="нет","без дифференциации",IF($R$123=0,"",$R$123))</f>
        <v>без дифференциации</v>
      </c>
      <c r="AM123" s="1885" t="str">
        <f>IF($S$123="нет","без дифференциации",IF($V$123=0,"",$V$123))</f>
        <v>город Никель</v>
      </c>
      <c r="AN123" s="1296" t="str">
        <f>$I$90</f>
        <v>2</v>
      </c>
      <c r="AO123" s="1296" t="str">
        <f>$I$90&amp;"."&amp;$M$123</f>
        <v>2.11</v>
      </c>
      <c r="AP123" s="1296" t="str">
        <f>$I$90&amp;"."&amp;$M$123&amp;"."&amp;$Q$123</f>
        <v>2.11.1</v>
      </c>
      <c r="AQ123" s="1296" t="str">
        <f>$I$90&amp;"."&amp;$M$123&amp;"."&amp;$Q$123&amp;"."&amp;$U$123</f>
        <v>2.11.1.1</v>
      </c>
      <c r="AR123" s="2875"/>
    </row>
    <row customHeight="1" ht="17.25">
      <c r="A124" s="1881"/>
      <c r="B124" s="2875"/>
      <c r="C124" s="1883"/>
      <c r="D124" s="1871"/>
      <c r="E124" s="1888"/>
      <c r="F124" s="1825"/>
      <c r="G124" s="1889"/>
      <c r="H124" s="1796"/>
      <c r="I124" s="1796"/>
      <c r="J124" s="1797"/>
      <c r="K124" s="1889"/>
      <c r="L124" s="1796"/>
      <c r="M124" s="1796"/>
      <c r="N124" s="1889"/>
      <c r="O124" s="1889"/>
      <c r="P124" s="1796"/>
      <c r="Q124" s="1796"/>
      <c r="R124" s="1798"/>
      <c r="S124" s="1889"/>
      <c r="T124" s="1852" t="s">
        <v>105</v>
      </c>
      <c r="U124" s="1852" t="s">
        <v>104</v>
      </c>
      <c r="V124" s="1884" t="s">
        <v>292</v>
      </c>
      <c r="W124" s="1842"/>
      <c r="X124" s="2875"/>
      <c r="Y124" s="1296"/>
      <c r="Z124" s="1296"/>
      <c r="AA124" s="1296"/>
      <c r="AB124" s="1296"/>
      <c r="AC124" s="2887" t="s">
        <v>245</v>
      </c>
      <c r="AD124" s="2887" t="s">
        <v>331</v>
      </c>
      <c r="AE124" s="2887" t="s">
        <v>365</v>
      </c>
      <c r="AF124" s="2887" t="s">
        <v>366</v>
      </c>
      <c r="AG124" s="1296" t="s">
        <v>368</v>
      </c>
      <c r="AH124" s="1296" t="str">
        <f>IF($E$23=0,"",$E$23)</f>
        <v>Тарифы на теплоноситель, поставляемый теплоснабжающими организациями потребителям, другим теплоснабжающим организациям</v>
      </c>
      <c r="AI124" s="1296" t="str">
        <f>IF($G$23=0,"",$G$23)</f>
        <v>Производство. Теплоноситель, Передача. Теплоноситель, Сбыт. Теплоноситель</v>
      </c>
      <c r="AJ124" s="1296" t="str">
        <f>IF($J$90=0,"",$J$90)</f>
        <v>Тариф на теплоноситель, поставляемый населению</v>
      </c>
      <c r="AK124" s="1296" t="str">
        <f>IF($K$123="нет","без дифференциации",IF($N$123=0,"",$N$123))</f>
        <v>Территория 11</v>
      </c>
      <c r="AL124" s="1885" t="str">
        <f>IF($O$123="нет","без дифференциации",IF($R$123=0,"",$R$123))</f>
        <v>без дифференциации</v>
      </c>
      <c r="AM124" s="1885" t="str">
        <f>IF($S$124="нет","без дифференциации",IF($V$124=0,"",$V$124))</f>
        <v>город Заполярный</v>
      </c>
      <c r="AN124" s="1296" t="str">
        <f>$I$90</f>
        <v>2</v>
      </c>
      <c r="AO124" s="1296" t="str">
        <f>$I$90&amp;"."&amp;$M$123</f>
        <v>2.11</v>
      </c>
      <c r="AP124" s="1296" t="str">
        <f>$I$90&amp;"."&amp;$M$123&amp;"."&amp;$Q$123</f>
        <v>2.11.1</v>
      </c>
      <c r="AQ124" s="1296" t="str">
        <f>$I$90&amp;"."&amp;$M$123&amp;"."&amp;$Q$123&amp;"."&amp;$U$124</f>
        <v>2.11.1.2</v>
      </c>
      <c r="AR124" s="2875"/>
    </row>
    <row customHeight="1" ht="17.25">
      <c r="A125" s="1881"/>
      <c r="B125" s="2875"/>
      <c r="C125" s="1886"/>
      <c r="D125" s="1871"/>
      <c r="E125" s="1888"/>
      <c r="F125" s="1825"/>
      <c r="G125" s="1889"/>
      <c r="H125" s="1871"/>
      <c r="I125" s="1871"/>
      <c r="J125" s="1890"/>
      <c r="K125" s="1800"/>
      <c r="L125" s="1982"/>
      <c r="M125" s="1982"/>
      <c r="N125" s="2387"/>
      <c r="O125" s="2045"/>
      <c r="P125" s="1982"/>
      <c r="Q125" s="1982"/>
      <c r="R125" s="2911" t="s">
        <v>24</v>
      </c>
      <c r="S125" s="1981"/>
      <c r="T125" s="310"/>
      <c r="U125" s="311"/>
      <c r="V125" s="311" t="s">
        <v>254</v>
      </c>
      <c r="W125" s="312"/>
      <c r="X125" s="2875"/>
      <c r="Y125" s="1288"/>
      <c r="Z125" s="1288"/>
      <c r="AA125" s="1288"/>
      <c r="AB125" s="1288"/>
      <c r="AC125" s="1288"/>
      <c r="AD125" s="1288"/>
      <c r="AE125" s="1288"/>
      <c r="AF125" s="1288"/>
      <c r="AG125" s="1288"/>
      <c r="AH125" s="1288"/>
      <c r="AI125" s="1288"/>
      <c r="AJ125" s="1288"/>
      <c r="AK125" s="1288"/>
      <c r="AL125" s="2875"/>
      <c r="AM125" s="2875"/>
      <c r="AN125" s="2875"/>
      <c r="AO125" s="2875"/>
      <c r="AP125" s="2875"/>
      <c r="AQ125" s="2875"/>
      <c r="AR125" s="2875"/>
    </row>
    <row customHeight="1" ht="17.25">
      <c r="A126" s="1881"/>
      <c r="B126" s="2875"/>
      <c r="C126" s="1886"/>
      <c r="D126" s="1871"/>
      <c r="E126" s="1888"/>
      <c r="F126" s="1825"/>
      <c r="G126" s="1889"/>
      <c r="H126" s="1871"/>
      <c r="I126" s="1871"/>
      <c r="J126" s="1890"/>
      <c r="K126" s="1800"/>
      <c r="L126" s="2354"/>
      <c r="M126" s="2354"/>
      <c r="N126" s="2388"/>
      <c r="O126" s="1986"/>
      <c r="P126" s="310"/>
      <c r="Q126" s="311"/>
      <c r="R126" s="311" t="s">
        <v>255</v>
      </c>
      <c r="S126" s="1887"/>
      <c r="T126" s="1887"/>
      <c r="U126" s="1887"/>
      <c r="V126" s="1887"/>
      <c r="W126" s="312"/>
      <c r="X126" s="2875"/>
      <c r="Y126" s="1288"/>
      <c r="Z126" s="1288"/>
      <c r="AA126" s="1288"/>
      <c r="AB126" s="1288"/>
      <c r="AC126" s="1288"/>
      <c r="AD126" s="1288"/>
      <c r="AE126" s="1288"/>
      <c r="AF126" s="1288"/>
      <c r="AG126" s="1288"/>
      <c r="AH126" s="1288"/>
      <c r="AI126" s="1288"/>
      <c r="AJ126" s="1288"/>
      <c r="AK126" s="1288"/>
      <c r="AL126" s="2875"/>
      <c r="AM126" s="2875"/>
      <c r="AN126" s="2875"/>
      <c r="AO126" s="2875"/>
      <c r="AP126" s="2875"/>
      <c r="AQ126" s="2875"/>
      <c r="AR126" s="2875"/>
    </row>
    <row customHeight="1" ht="17.25">
      <c r="A127" s="1881"/>
      <c r="B127" s="2875"/>
      <c r="C127" s="1883"/>
      <c r="D127" s="1871"/>
      <c r="E127" s="1888"/>
      <c r="F127" s="1825"/>
      <c r="G127" s="1889"/>
      <c r="H127" s="1871"/>
      <c r="I127" s="1871"/>
      <c r="J127" s="1890"/>
      <c r="K127" s="1800"/>
      <c r="L127" s="1982" t="s">
        <v>105</v>
      </c>
      <c r="M127" s="1982" t="s">
        <v>148</v>
      </c>
      <c r="N127" s="2387" t="str">
        <f>IF(Z127="","",INDEX(TERRITORY_MR_LIST,MATCH(Z127,TERRITORY_LIST_ID,0)))</f>
        <v>Территория 12</v>
      </c>
      <c r="O127" s="2044" t="s">
        <v>58</v>
      </c>
      <c r="P127" s="1982"/>
      <c r="Q127" s="1982" t="s">
        <v>193</v>
      </c>
      <c r="R127" s="2911" t="s">
        <v>24</v>
      </c>
      <c r="S127" s="1981" t="s">
        <v>58</v>
      </c>
      <c r="T127" s="1852"/>
      <c r="U127" s="1852" t="s">
        <v>193</v>
      </c>
      <c r="V127" s="2912" t="s">
        <v>24</v>
      </c>
      <c r="W127" s="1842"/>
      <c r="X127" s="2875"/>
      <c r="Y127" s="1296"/>
      <c r="Z127" s="1296" t="s">
        <v>149</v>
      </c>
      <c r="AA127" s="1296"/>
      <c r="AB127" s="1296"/>
      <c r="AC127" s="2887" t="s">
        <v>245</v>
      </c>
      <c r="AD127" s="2887" t="s">
        <v>331</v>
      </c>
      <c r="AE127" s="1296" t="s">
        <v>369</v>
      </c>
      <c r="AF127" s="1296" t="s">
        <v>370</v>
      </c>
      <c r="AG127" s="1296" t="s">
        <v>371</v>
      </c>
      <c r="AH127" s="1296" t="str">
        <f>IF($E$23=0,"",$E$23)</f>
        <v>Тарифы на теплоноситель, поставляемый теплоснабжающими организациями потребителям, другим теплоснабжающим организациям</v>
      </c>
      <c r="AI127" s="1296" t="str">
        <f>IF($G$23=0,"",$G$23)</f>
        <v>Производство. Теплоноситель, Передача. Теплоноситель, Сбыт. Теплоноситель</v>
      </c>
      <c r="AJ127" s="1296" t="str">
        <f>IF($J$90=0,"",$J$90)</f>
        <v>Тариф на теплоноситель, поставляемый населению</v>
      </c>
      <c r="AK127" s="1296" t="str">
        <f>IF($K$127="нет","без дифференциации",IF($N$127=0,"",$N$127))</f>
        <v>Территория 12</v>
      </c>
      <c r="AL127" s="1885" t="str">
        <f>IF($O$127="нет","без дифференциации",IF($R$127=0,"",$R$127))</f>
        <v>без дифференциации</v>
      </c>
      <c r="AM127" s="1885" t="str">
        <f>IF($S$127="нет","без дифференциации",IF($V$127=0,"",$V$127))</f>
        <v>без дифференциации</v>
      </c>
      <c r="AN127" s="1296" t="str">
        <f>$I$90</f>
        <v>2</v>
      </c>
      <c r="AO127" s="1296" t="str">
        <f>$I$90&amp;"."&amp;$M$127</f>
        <v>2.12</v>
      </c>
      <c r="AP127" s="1296" t="str">
        <f>$I$90&amp;"."&amp;$M$127&amp;"."&amp;$Q$127</f>
        <v>2.12.1</v>
      </c>
      <c r="AQ127" s="1296" t="str">
        <f>$I$90&amp;"."&amp;$M$127&amp;"."&amp;$Q$127&amp;"."&amp;$U$127</f>
        <v>2.12.1.1</v>
      </c>
      <c r="AR127" s="2875"/>
    </row>
    <row customHeight="1" ht="17.25">
      <c r="A128" s="1881"/>
      <c r="B128" s="2875"/>
      <c r="C128" s="1886"/>
      <c r="D128" s="1871"/>
      <c r="E128" s="1888"/>
      <c r="F128" s="1825"/>
      <c r="G128" s="1889"/>
      <c r="H128" s="1871"/>
      <c r="I128" s="1871"/>
      <c r="J128" s="1890"/>
      <c r="K128" s="1800"/>
      <c r="L128" s="1982"/>
      <c r="M128" s="1982"/>
      <c r="N128" s="2387"/>
      <c r="O128" s="2045"/>
      <c r="P128" s="1982"/>
      <c r="Q128" s="1982"/>
      <c r="R128" s="2911" t="s">
        <v>24</v>
      </c>
      <c r="S128" s="1981"/>
      <c r="T128" s="310"/>
      <c r="U128" s="311"/>
      <c r="V128" s="311" t="s">
        <v>254</v>
      </c>
      <c r="W128" s="312"/>
      <c r="X128" s="2875"/>
      <c r="Y128" s="1288"/>
      <c r="Z128" s="1288"/>
      <c r="AA128" s="1288"/>
      <c r="AB128" s="1288"/>
      <c r="AC128" s="1288"/>
      <c r="AD128" s="1288"/>
      <c r="AE128" s="1288"/>
      <c r="AF128" s="1288"/>
      <c r="AG128" s="1288"/>
      <c r="AH128" s="1288"/>
      <c r="AI128" s="1288"/>
      <c r="AJ128" s="1288"/>
      <c r="AK128" s="1288"/>
      <c r="AL128" s="2875"/>
      <c r="AM128" s="2875"/>
      <c r="AN128" s="2875"/>
      <c r="AO128" s="2875"/>
      <c r="AP128" s="2875"/>
      <c r="AQ128" s="2875"/>
      <c r="AR128" s="2875"/>
    </row>
    <row customHeight="1" ht="17.25">
      <c r="A129" s="1881"/>
      <c r="B129" s="2875"/>
      <c r="C129" s="1886"/>
      <c r="D129" s="1871"/>
      <c r="E129" s="1888"/>
      <c r="F129" s="1825"/>
      <c r="G129" s="1889"/>
      <c r="H129" s="1871"/>
      <c r="I129" s="1871"/>
      <c r="J129" s="1890"/>
      <c r="K129" s="1800"/>
      <c r="L129" s="2354"/>
      <c r="M129" s="2354"/>
      <c r="N129" s="2388"/>
      <c r="O129" s="1986"/>
      <c r="P129" s="310"/>
      <c r="Q129" s="311"/>
      <c r="R129" s="311" t="s">
        <v>255</v>
      </c>
      <c r="S129" s="1887"/>
      <c r="T129" s="1887"/>
      <c r="U129" s="1887"/>
      <c r="V129" s="1887"/>
      <c r="W129" s="312"/>
      <c r="X129" s="2875"/>
      <c r="Y129" s="1288"/>
      <c r="Z129" s="1288"/>
      <c r="AA129" s="1288"/>
      <c r="AB129" s="1288"/>
      <c r="AC129" s="1288"/>
      <c r="AD129" s="1288"/>
      <c r="AE129" s="1288"/>
      <c r="AF129" s="1288"/>
      <c r="AG129" s="1288"/>
      <c r="AH129" s="1288"/>
      <c r="AI129" s="1288"/>
      <c r="AJ129" s="1288"/>
      <c r="AK129" s="1288"/>
      <c r="AL129" s="2875"/>
      <c r="AM129" s="2875"/>
      <c r="AN129" s="2875"/>
      <c r="AO129" s="2875"/>
      <c r="AP129" s="2875"/>
      <c r="AQ129" s="2875"/>
      <c r="AR129" s="2875"/>
    </row>
    <row customHeight="1" ht="17.25">
      <c r="A130" s="1881"/>
      <c r="B130" s="2875"/>
      <c r="C130" s="1883"/>
      <c r="D130" s="1871"/>
      <c r="E130" s="1888"/>
      <c r="F130" s="1825"/>
      <c r="G130" s="1889"/>
      <c r="H130" s="1871"/>
      <c r="I130" s="1871"/>
      <c r="J130" s="1890"/>
      <c r="K130" s="1800"/>
      <c r="L130" s="1982" t="s">
        <v>105</v>
      </c>
      <c r="M130" s="1982" t="s">
        <v>152</v>
      </c>
      <c r="N130" s="2387" t="str">
        <f>IF(Z130="","",INDEX(TERRITORY_MR_LIST,MATCH(Z130,TERRITORY_LIST_ID,0)))</f>
        <v>Территория 13</v>
      </c>
      <c r="O130" s="2044" t="s">
        <v>58</v>
      </c>
      <c r="P130" s="1982"/>
      <c r="Q130" s="1982" t="s">
        <v>193</v>
      </c>
      <c r="R130" s="2911" t="s">
        <v>24</v>
      </c>
      <c r="S130" s="1981" t="s">
        <v>63</v>
      </c>
      <c r="T130" s="1852"/>
      <c r="U130" s="1852" t="s">
        <v>193</v>
      </c>
      <c r="V130" s="1884" t="s">
        <v>297</v>
      </c>
      <c r="W130" s="1842"/>
      <c r="X130" s="2875"/>
      <c r="Y130" s="1296"/>
      <c r="Z130" s="1296" t="s">
        <v>153</v>
      </c>
      <c r="AA130" s="1296"/>
      <c r="AB130" s="1296"/>
      <c r="AC130" s="2887" t="s">
        <v>245</v>
      </c>
      <c r="AD130" s="2887" t="s">
        <v>331</v>
      </c>
      <c r="AE130" s="1296" t="s">
        <v>372</v>
      </c>
      <c r="AF130" s="1296" t="s">
        <v>373</v>
      </c>
      <c r="AG130" s="1296" t="s">
        <v>374</v>
      </c>
      <c r="AH130" s="1296" t="str">
        <f>IF($E$23=0,"",$E$23)</f>
        <v>Тарифы на теплоноситель, поставляемый теплоснабжающими организациями потребителям, другим теплоснабжающим организациям</v>
      </c>
      <c r="AI130" s="1296" t="str">
        <f>IF($G$23=0,"",$G$23)</f>
        <v>Производство. Теплоноситель, Передача. Теплоноситель, Сбыт. Теплоноситель</v>
      </c>
      <c r="AJ130" s="1296" t="str">
        <f>IF($J$90=0,"",$J$90)</f>
        <v>Тариф на теплоноситель, поставляемый населению</v>
      </c>
      <c r="AK130" s="1296" t="str">
        <f>IF($K$130="нет","без дифференциации",IF($N$130=0,"",$N$130))</f>
        <v>Территория 13</v>
      </c>
      <c r="AL130" s="1885" t="str">
        <f>IF($O$130="нет","без дифференциации",IF($R$130=0,"",$R$130))</f>
        <v>без дифференциации</v>
      </c>
      <c r="AM130" s="1885" t="str">
        <f>IF($S$130="нет","без дифференциации",IF($V$130=0,"",$V$130))</f>
        <v>город Кандалакша</v>
      </c>
      <c r="AN130" s="1296" t="str">
        <f>$I$90</f>
        <v>2</v>
      </c>
      <c r="AO130" s="1296" t="str">
        <f>$I$90&amp;"."&amp;$M$130</f>
        <v>2.13</v>
      </c>
      <c r="AP130" s="1296" t="str">
        <f>$I$90&amp;"."&amp;$M$130&amp;"."&amp;$Q$130</f>
        <v>2.13.1</v>
      </c>
      <c r="AQ130" s="1296" t="str">
        <f>$I$90&amp;"."&amp;$M$130&amp;"."&amp;$Q$130&amp;"."&amp;$U$130</f>
        <v>2.13.1.1</v>
      </c>
      <c r="AR130" s="2875"/>
    </row>
    <row customHeight="1" ht="17.25">
      <c r="A131" s="1881"/>
      <c r="B131" s="2875"/>
      <c r="C131" s="1883"/>
      <c r="D131" s="1871"/>
      <c r="E131" s="1888"/>
      <c r="F131" s="1825"/>
      <c r="G131" s="1889"/>
      <c r="H131" s="1796"/>
      <c r="I131" s="1796"/>
      <c r="J131" s="1797"/>
      <c r="K131" s="1889"/>
      <c r="L131" s="1796"/>
      <c r="M131" s="1796"/>
      <c r="N131" s="1889"/>
      <c r="O131" s="1889"/>
      <c r="P131" s="1796"/>
      <c r="Q131" s="1796"/>
      <c r="R131" s="1798"/>
      <c r="S131" s="1889"/>
      <c r="T131" s="1852" t="s">
        <v>105</v>
      </c>
      <c r="U131" s="1852" t="s">
        <v>104</v>
      </c>
      <c r="V131" s="1884" t="s">
        <v>301</v>
      </c>
      <c r="W131" s="1842"/>
      <c r="X131" s="2875"/>
      <c r="Y131" s="1296"/>
      <c r="Z131" s="1296"/>
      <c r="AA131" s="1296"/>
      <c r="AB131" s="1296"/>
      <c r="AC131" s="2887" t="s">
        <v>245</v>
      </c>
      <c r="AD131" s="2887" t="s">
        <v>331</v>
      </c>
      <c r="AE131" s="2887" t="s">
        <v>372</v>
      </c>
      <c r="AF131" s="2887" t="s">
        <v>373</v>
      </c>
      <c r="AG131" s="1296" t="s">
        <v>375</v>
      </c>
      <c r="AH131" s="1296" t="str">
        <f>IF($E$23=0,"",$E$23)</f>
        <v>Тарифы на теплоноситель, поставляемый теплоснабжающими организациями потребителям, другим теплоснабжающим организациям</v>
      </c>
      <c r="AI131" s="1296" t="str">
        <f>IF($G$23=0,"",$G$23)</f>
        <v>Производство. Теплоноситель, Передача. Теплоноситель, Сбыт. Теплоноситель</v>
      </c>
      <c r="AJ131" s="1296" t="str">
        <f>IF($J$90=0,"",$J$90)</f>
        <v>Тариф на теплоноситель, поставляемый населению</v>
      </c>
      <c r="AK131" s="1296" t="str">
        <f>IF($K$130="нет","без дифференциации",IF($N$130=0,"",$N$130))</f>
        <v>Территория 13</v>
      </c>
      <c r="AL131" s="1885" t="str">
        <f>IF($O$130="нет","без дифференциации",IF($R$130=0,"",$R$130))</f>
        <v>без дифференциации</v>
      </c>
      <c r="AM131" s="1885" t="str">
        <f>IF($S$131="нет","без дифференциации",IF($V$131=0,"",$V$131))</f>
        <v>город Кандалакша (микрорайон Нива-3)</v>
      </c>
      <c r="AN131" s="1296" t="str">
        <f>$I$90</f>
        <v>2</v>
      </c>
      <c r="AO131" s="1296" t="str">
        <f>$I$90&amp;"."&amp;$M$130</f>
        <v>2.13</v>
      </c>
      <c r="AP131" s="1296" t="str">
        <f>$I$90&amp;"."&amp;$M$130&amp;"."&amp;$Q$130</f>
        <v>2.13.1</v>
      </c>
      <c r="AQ131" s="1296" t="str">
        <f>$I$90&amp;"."&amp;$M$130&amp;"."&amp;$Q$130&amp;"."&amp;$U$131</f>
        <v>2.13.1.2</v>
      </c>
      <c r="AR131" s="2875"/>
    </row>
    <row customHeight="1" ht="17.25">
      <c r="A132" s="1881"/>
      <c r="B132" s="2875"/>
      <c r="C132" s="1886"/>
      <c r="D132" s="1871"/>
      <c r="E132" s="1888"/>
      <c r="F132" s="1825"/>
      <c r="G132" s="1889"/>
      <c r="H132" s="1871"/>
      <c r="I132" s="1871"/>
      <c r="J132" s="1890"/>
      <c r="K132" s="1800"/>
      <c r="L132" s="1982"/>
      <c r="M132" s="1982"/>
      <c r="N132" s="2387"/>
      <c r="O132" s="2045"/>
      <c r="P132" s="1982"/>
      <c r="Q132" s="1982"/>
      <c r="R132" s="2911" t="s">
        <v>24</v>
      </c>
      <c r="S132" s="1981"/>
      <c r="T132" s="310"/>
      <c r="U132" s="311"/>
      <c r="V132" s="311" t="s">
        <v>254</v>
      </c>
      <c r="W132" s="312"/>
      <c r="X132" s="2875"/>
      <c r="Y132" s="1288"/>
      <c r="Z132" s="1288"/>
      <c r="AA132" s="1288"/>
      <c r="AB132" s="1288"/>
      <c r="AC132" s="1288"/>
      <c r="AD132" s="1288"/>
      <c r="AE132" s="1288"/>
      <c r="AF132" s="1288"/>
      <c r="AG132" s="1288"/>
      <c r="AH132" s="1288"/>
      <c r="AI132" s="1288"/>
      <c r="AJ132" s="1288"/>
      <c r="AK132" s="1288"/>
      <c r="AL132" s="2875"/>
      <c r="AM132" s="2875"/>
      <c r="AN132" s="2875"/>
      <c r="AO132" s="2875"/>
      <c r="AP132" s="2875"/>
      <c r="AQ132" s="2875"/>
      <c r="AR132" s="2875"/>
    </row>
    <row customHeight="1" ht="17.25">
      <c r="A133" s="1881"/>
      <c r="B133" s="2875"/>
      <c r="C133" s="1886"/>
      <c r="D133" s="1871"/>
      <c r="E133" s="1888"/>
      <c r="F133" s="1825"/>
      <c r="G133" s="1889"/>
      <c r="H133" s="1871"/>
      <c r="I133" s="1871"/>
      <c r="J133" s="1890"/>
      <c r="K133" s="1800"/>
      <c r="L133" s="2354"/>
      <c r="M133" s="2354"/>
      <c r="N133" s="2388"/>
      <c r="O133" s="1986"/>
      <c r="P133" s="310"/>
      <c r="Q133" s="311"/>
      <c r="R133" s="311" t="s">
        <v>255</v>
      </c>
      <c r="S133" s="1887"/>
      <c r="T133" s="1887"/>
      <c r="U133" s="1887"/>
      <c r="V133" s="1887"/>
      <c r="W133" s="312"/>
      <c r="X133" s="2875"/>
      <c r="Y133" s="1288"/>
      <c r="Z133" s="1288"/>
      <c r="AA133" s="1288"/>
      <c r="AB133" s="1288"/>
      <c r="AC133" s="1288"/>
      <c r="AD133" s="1288"/>
      <c r="AE133" s="1288"/>
      <c r="AF133" s="1288"/>
      <c r="AG133" s="1288"/>
      <c r="AH133" s="1288"/>
      <c r="AI133" s="1288"/>
      <c r="AJ133" s="1288"/>
      <c r="AK133" s="1288"/>
      <c r="AL133" s="2875"/>
      <c r="AM133" s="2875"/>
      <c r="AN133" s="2875"/>
      <c r="AO133" s="2875"/>
      <c r="AP133" s="2875"/>
      <c r="AQ133" s="2875"/>
      <c r="AR133" s="2875"/>
    </row>
    <row customHeight="1" ht="17.25">
      <c r="A134" s="1881"/>
      <c r="B134" s="2875"/>
      <c r="C134" s="1883"/>
      <c r="D134" s="1871"/>
      <c r="E134" s="1888"/>
      <c r="F134" s="1825"/>
      <c r="G134" s="1889"/>
      <c r="H134" s="1871"/>
      <c r="I134" s="1871"/>
      <c r="J134" s="1890"/>
      <c r="K134" s="1800"/>
      <c r="L134" s="1982" t="s">
        <v>105</v>
      </c>
      <c r="M134" s="1982" t="s">
        <v>157</v>
      </c>
      <c r="N134" s="2387" t="str">
        <f>IF(Z134="","",INDEX(TERRITORY_MR_LIST,MATCH(Z134,TERRITORY_LIST_ID,0)))</f>
        <v>Территория 14</v>
      </c>
      <c r="O134" s="2044" t="s">
        <v>58</v>
      </c>
      <c r="P134" s="1982"/>
      <c r="Q134" s="1982" t="s">
        <v>193</v>
      </c>
      <c r="R134" s="2911" t="s">
        <v>24</v>
      </c>
      <c r="S134" s="1981" t="s">
        <v>58</v>
      </c>
      <c r="T134" s="1852"/>
      <c r="U134" s="1852" t="s">
        <v>193</v>
      </c>
      <c r="V134" s="2912" t="s">
        <v>24</v>
      </c>
      <c r="W134" s="1842"/>
      <c r="X134" s="2875"/>
      <c r="Y134" s="1296"/>
      <c r="Z134" s="1296" t="s">
        <v>158</v>
      </c>
      <c r="AA134" s="1296"/>
      <c r="AB134" s="1296"/>
      <c r="AC134" s="2887" t="s">
        <v>245</v>
      </c>
      <c r="AD134" s="2887" t="s">
        <v>331</v>
      </c>
      <c r="AE134" s="1296" t="s">
        <v>376</v>
      </c>
      <c r="AF134" s="1296" t="s">
        <v>377</v>
      </c>
      <c r="AG134" s="1296" t="s">
        <v>378</v>
      </c>
      <c r="AH134" s="1296" t="str">
        <f>IF($E$23=0,"",$E$23)</f>
        <v>Тарифы на теплоноситель, поставляемый теплоснабжающими организациями потребителям, другим теплоснабжающим организациям</v>
      </c>
      <c r="AI134" s="1296" t="str">
        <f>IF($G$23=0,"",$G$23)</f>
        <v>Производство. Теплоноситель, Передача. Теплоноситель, Сбыт. Теплоноситель</v>
      </c>
      <c r="AJ134" s="1296" t="str">
        <f>IF($J$90=0,"",$J$90)</f>
        <v>Тариф на теплоноситель, поставляемый населению</v>
      </c>
      <c r="AK134" s="1296" t="str">
        <f>IF($K$134="нет","без дифференциации",IF($N$134=0,"",$N$134))</f>
        <v>Территория 14</v>
      </c>
      <c r="AL134" s="1885" t="str">
        <f>IF($O$134="нет","без дифференциации",IF($R$134=0,"",$R$134))</f>
        <v>без дифференциации</v>
      </c>
      <c r="AM134" s="1885" t="str">
        <f>IF($S$134="нет","без дифференциации",IF($V$134=0,"",$V$134))</f>
        <v>без дифференциации</v>
      </c>
      <c r="AN134" s="1296" t="str">
        <f>$I$90</f>
        <v>2</v>
      </c>
      <c r="AO134" s="1296" t="str">
        <f>$I$90&amp;"."&amp;$M$134</f>
        <v>2.14</v>
      </c>
      <c r="AP134" s="1296" t="str">
        <f>$I$90&amp;"."&amp;$M$134&amp;"."&amp;$Q$134</f>
        <v>2.14.1</v>
      </c>
      <c r="AQ134" s="1296" t="str">
        <f>$I$90&amp;"."&amp;$M$134&amp;"."&amp;$Q$134&amp;"."&amp;$U$134</f>
        <v>2.14.1.1</v>
      </c>
      <c r="AR134" s="2875"/>
    </row>
    <row customHeight="1" ht="17.25">
      <c r="A135" s="1881"/>
      <c r="B135" s="2875"/>
      <c r="C135" s="1886"/>
      <c r="D135" s="1871"/>
      <c r="E135" s="1888"/>
      <c r="F135" s="1825"/>
      <c r="G135" s="1889"/>
      <c r="H135" s="1871"/>
      <c r="I135" s="1871"/>
      <c r="J135" s="1890"/>
      <c r="K135" s="1800"/>
      <c r="L135" s="1982"/>
      <c r="M135" s="1982"/>
      <c r="N135" s="2387"/>
      <c r="O135" s="2045"/>
      <c r="P135" s="1982"/>
      <c r="Q135" s="1982"/>
      <c r="R135" s="2911" t="s">
        <v>24</v>
      </c>
      <c r="S135" s="1981"/>
      <c r="T135" s="310"/>
      <c r="U135" s="311"/>
      <c r="V135" s="311" t="s">
        <v>254</v>
      </c>
      <c r="W135" s="312"/>
      <c r="X135" s="2875"/>
      <c r="Y135" s="1288"/>
      <c r="Z135" s="1288"/>
      <c r="AA135" s="1288"/>
      <c r="AB135" s="1288"/>
      <c r="AC135" s="1288"/>
      <c r="AD135" s="1288"/>
      <c r="AE135" s="1288"/>
      <c r="AF135" s="1288"/>
      <c r="AG135" s="1288"/>
      <c r="AH135" s="1288"/>
      <c r="AI135" s="1288"/>
      <c r="AJ135" s="1288"/>
      <c r="AK135" s="1288"/>
      <c r="AL135" s="2875"/>
      <c r="AM135" s="2875"/>
      <c r="AN135" s="2875"/>
      <c r="AO135" s="2875"/>
      <c r="AP135" s="2875"/>
      <c r="AQ135" s="2875"/>
      <c r="AR135" s="2875"/>
    </row>
    <row customHeight="1" ht="17.25">
      <c r="A136" s="1881"/>
      <c r="B136" s="2875"/>
      <c r="C136" s="1886"/>
      <c r="D136" s="1871"/>
      <c r="E136" s="1888"/>
      <c r="F136" s="1825"/>
      <c r="G136" s="1889"/>
      <c r="H136" s="1871"/>
      <c r="I136" s="1871"/>
      <c r="J136" s="1890"/>
      <c r="K136" s="1800"/>
      <c r="L136" s="2354"/>
      <c r="M136" s="2354"/>
      <c r="N136" s="2388"/>
      <c r="O136" s="1986"/>
      <c r="P136" s="310"/>
      <c r="Q136" s="311"/>
      <c r="R136" s="311" t="s">
        <v>255</v>
      </c>
      <c r="S136" s="1887"/>
      <c r="T136" s="1887"/>
      <c r="U136" s="1887"/>
      <c r="V136" s="1887"/>
      <c r="W136" s="312"/>
      <c r="X136" s="2875"/>
      <c r="Y136" s="1288"/>
      <c r="Z136" s="1288"/>
      <c r="AA136" s="1288"/>
      <c r="AB136" s="1288"/>
      <c r="AC136" s="1288"/>
      <c r="AD136" s="1288"/>
      <c r="AE136" s="1288"/>
      <c r="AF136" s="1288"/>
      <c r="AG136" s="1288"/>
      <c r="AH136" s="1288"/>
      <c r="AI136" s="1288"/>
      <c r="AJ136" s="1288"/>
      <c r="AK136" s="1288"/>
      <c r="AL136" s="2875"/>
      <c r="AM136" s="2875"/>
      <c r="AN136" s="2875"/>
      <c r="AO136" s="2875"/>
      <c r="AP136" s="2875"/>
      <c r="AQ136" s="2875"/>
      <c r="AR136" s="2875"/>
    </row>
    <row customHeight="1" ht="17.25">
      <c r="A137" s="1881"/>
      <c r="B137" s="2875"/>
      <c r="C137" s="1883"/>
      <c r="D137" s="1871"/>
      <c r="E137" s="1888"/>
      <c r="F137" s="1825"/>
      <c r="G137" s="1889"/>
      <c r="H137" s="1871"/>
      <c r="I137" s="1871"/>
      <c r="J137" s="1890"/>
      <c r="K137" s="1800"/>
      <c r="L137" s="1982" t="s">
        <v>105</v>
      </c>
      <c r="M137" s="1982" t="s">
        <v>159</v>
      </c>
      <c r="N137" s="2387" t="str">
        <f>IF(Z137="","",INDEX(TERRITORY_MR_LIST,MATCH(Z137,TERRITORY_LIST_ID,0)))</f>
        <v>Территория 15</v>
      </c>
      <c r="O137" s="2044" t="s">
        <v>58</v>
      </c>
      <c r="P137" s="1982"/>
      <c r="Q137" s="1982" t="s">
        <v>193</v>
      </c>
      <c r="R137" s="2911" t="s">
        <v>24</v>
      </c>
      <c r="S137" s="1981" t="s">
        <v>63</v>
      </c>
      <c r="T137" s="1852"/>
      <c r="U137" s="1852" t="s">
        <v>193</v>
      </c>
      <c r="V137" s="1884" t="s">
        <v>306</v>
      </c>
      <c r="W137" s="1842"/>
      <c r="X137" s="2875"/>
      <c r="Y137" s="1296"/>
      <c r="Z137" s="1296" t="s">
        <v>162</v>
      </c>
      <c r="AA137" s="1296"/>
      <c r="AB137" s="1296"/>
      <c r="AC137" s="2887" t="s">
        <v>245</v>
      </c>
      <c r="AD137" s="2887" t="s">
        <v>331</v>
      </c>
      <c r="AE137" s="1296" t="s">
        <v>379</v>
      </c>
      <c r="AF137" s="1296" t="s">
        <v>380</v>
      </c>
      <c r="AG137" s="1296" t="s">
        <v>381</v>
      </c>
      <c r="AH137" s="1296" t="str">
        <f>IF($E$23=0,"",$E$23)</f>
        <v>Тарифы на теплоноситель, поставляемый теплоснабжающими организациями потребителям, другим теплоснабжающим организациям</v>
      </c>
      <c r="AI137" s="1296" t="str">
        <f>IF($G$23=0,"",$G$23)</f>
        <v>Производство. Теплоноситель, Передача. Теплоноситель, Сбыт. Теплоноситель</v>
      </c>
      <c r="AJ137" s="1296" t="str">
        <f>IF($J$90=0,"",$J$90)</f>
        <v>Тариф на теплоноситель, поставляемый населению</v>
      </c>
      <c r="AK137" s="1296" t="str">
        <f>IF($K$137="нет","без дифференциации",IF($N$137=0,"",$N$137))</f>
        <v>Территория 15</v>
      </c>
      <c r="AL137" s="1885" t="str">
        <f>IF($O$137="нет","без дифференциации",IF($R$137=0,"",$R$137))</f>
        <v>без дифференциации</v>
      </c>
      <c r="AM137" s="1885" t="str">
        <f>IF($S$137="нет","без дифференциации",IF($V$137=0,"",$V$137))</f>
        <v>с.п.Териберка (мазутная котельная)</v>
      </c>
      <c r="AN137" s="1296" t="str">
        <f>$I$90</f>
        <v>2</v>
      </c>
      <c r="AO137" s="1296" t="str">
        <f>$I$90&amp;"."&amp;$M$137</f>
        <v>2.15</v>
      </c>
      <c r="AP137" s="1296" t="str">
        <f>$I$90&amp;"."&amp;$M$137&amp;"."&amp;$Q$137</f>
        <v>2.15.1</v>
      </c>
      <c r="AQ137" s="1296" t="str">
        <f>$I$90&amp;"."&amp;$M$137&amp;"."&amp;$Q$137&amp;"."&amp;$U$137</f>
        <v>2.15.1.1</v>
      </c>
      <c r="AR137" s="2875"/>
    </row>
    <row customHeight="1" ht="17.25">
      <c r="A138" s="1881"/>
      <c r="B138" s="2875"/>
      <c r="C138" s="1886"/>
      <c r="D138" s="1871"/>
      <c r="E138" s="1888"/>
      <c r="F138" s="1825"/>
      <c r="G138" s="1889"/>
      <c r="H138" s="1871"/>
      <c r="I138" s="1871"/>
      <c r="J138" s="1890"/>
      <c r="K138" s="1800"/>
      <c r="L138" s="1982"/>
      <c r="M138" s="1982"/>
      <c r="N138" s="2387"/>
      <c r="O138" s="2045"/>
      <c r="P138" s="1982"/>
      <c r="Q138" s="1982"/>
      <c r="R138" s="2911" t="s">
        <v>24</v>
      </c>
      <c r="S138" s="1981"/>
      <c r="T138" s="310"/>
      <c r="U138" s="311"/>
      <c r="V138" s="311" t="s">
        <v>254</v>
      </c>
      <c r="W138" s="312"/>
      <c r="X138" s="2875"/>
      <c r="Y138" s="1288"/>
      <c r="Z138" s="1288"/>
      <c r="AA138" s="1288"/>
      <c r="AB138" s="1288"/>
      <c r="AC138" s="1288"/>
      <c r="AD138" s="1288"/>
      <c r="AE138" s="1288"/>
      <c r="AF138" s="1288"/>
      <c r="AG138" s="1288"/>
      <c r="AH138" s="1288"/>
      <c r="AI138" s="1288"/>
      <c r="AJ138" s="1288"/>
      <c r="AK138" s="1288"/>
      <c r="AL138" s="2875"/>
      <c r="AM138" s="2875"/>
      <c r="AN138" s="2875"/>
      <c r="AO138" s="2875"/>
      <c r="AP138" s="2875"/>
      <c r="AQ138" s="2875"/>
      <c r="AR138" s="2875"/>
    </row>
    <row customHeight="1" ht="17.25">
      <c r="A139" s="1881"/>
      <c r="B139" s="2875"/>
      <c r="C139" s="1886"/>
      <c r="D139" s="1871"/>
      <c r="E139" s="1888"/>
      <c r="F139" s="1825"/>
      <c r="G139" s="1889"/>
      <c r="H139" s="1871"/>
      <c r="I139" s="1871"/>
      <c r="J139" s="1890"/>
      <c r="K139" s="1800"/>
      <c r="L139" s="2354"/>
      <c r="M139" s="2354"/>
      <c r="N139" s="2388"/>
      <c r="O139" s="1986"/>
      <c r="P139" s="310"/>
      <c r="Q139" s="311"/>
      <c r="R139" s="311" t="s">
        <v>255</v>
      </c>
      <c r="S139" s="1887"/>
      <c r="T139" s="1887"/>
      <c r="U139" s="1887"/>
      <c r="V139" s="1887"/>
      <c r="W139" s="312"/>
      <c r="X139" s="2875"/>
      <c r="Y139" s="1288"/>
      <c r="Z139" s="1288"/>
      <c r="AA139" s="1288"/>
      <c r="AB139" s="1288"/>
      <c r="AC139" s="1288"/>
      <c r="AD139" s="1288"/>
      <c r="AE139" s="1288"/>
      <c r="AF139" s="1288"/>
      <c r="AG139" s="1288"/>
      <c r="AH139" s="1288"/>
      <c r="AI139" s="1288"/>
      <c r="AJ139" s="1288"/>
      <c r="AK139" s="1288"/>
      <c r="AL139" s="2875"/>
      <c r="AM139" s="2875"/>
      <c r="AN139" s="2875"/>
      <c r="AO139" s="2875"/>
      <c r="AP139" s="2875"/>
      <c r="AQ139" s="2875"/>
      <c r="AR139" s="2875"/>
    </row>
    <row customHeight="1" ht="17.25">
      <c r="A140" s="1881"/>
      <c r="B140" s="2875"/>
      <c r="C140" s="1883"/>
      <c r="D140" s="1871"/>
      <c r="E140" s="1888"/>
      <c r="F140" s="1825"/>
      <c r="G140" s="1889"/>
      <c r="H140" s="1871"/>
      <c r="I140" s="1871"/>
      <c r="J140" s="1890"/>
      <c r="K140" s="1800"/>
      <c r="L140" s="1982" t="s">
        <v>105</v>
      </c>
      <c r="M140" s="1982" t="s">
        <v>166</v>
      </c>
      <c r="N140" s="2387" t="str">
        <f>IF(Z140="","",INDEX(TERRITORY_MR_LIST,MATCH(Z140,TERRITORY_LIST_ID,0)))</f>
        <v>Территория 16</v>
      </c>
      <c r="O140" s="2044" t="s">
        <v>58</v>
      </c>
      <c r="P140" s="1982"/>
      <c r="Q140" s="1982" t="s">
        <v>193</v>
      </c>
      <c r="R140" s="2911" t="s">
        <v>24</v>
      </c>
      <c r="S140" s="1981" t="s">
        <v>63</v>
      </c>
      <c r="T140" s="1852"/>
      <c r="U140" s="1852" t="s">
        <v>193</v>
      </c>
      <c r="V140" s="1884" t="s">
        <v>310</v>
      </c>
      <c r="W140" s="1842"/>
      <c r="X140" s="2875"/>
      <c r="Y140" s="1296"/>
      <c r="Z140" s="1296" t="s">
        <v>167</v>
      </c>
      <c r="AA140" s="1296"/>
      <c r="AB140" s="1296"/>
      <c r="AC140" s="2887" t="s">
        <v>245</v>
      </c>
      <c r="AD140" s="2887" t="s">
        <v>331</v>
      </c>
      <c r="AE140" s="1296" t="s">
        <v>382</v>
      </c>
      <c r="AF140" s="1296" t="s">
        <v>383</v>
      </c>
      <c r="AG140" s="1296" t="s">
        <v>384</v>
      </c>
      <c r="AH140" s="1296" t="str">
        <f>IF($E$23=0,"",$E$23)</f>
        <v>Тарифы на теплоноситель, поставляемый теплоснабжающими организациями потребителям, другим теплоснабжающим организациям</v>
      </c>
      <c r="AI140" s="1296" t="str">
        <f>IF($G$23=0,"",$G$23)</f>
        <v>Производство. Теплоноситель, Передача. Теплоноситель, Сбыт. Теплоноситель</v>
      </c>
      <c r="AJ140" s="1296" t="str">
        <f>IF($J$90=0,"",$J$90)</f>
        <v>Тариф на теплоноситель, поставляемый населению</v>
      </c>
      <c r="AK140" s="1296" t="str">
        <f>IF($K$140="нет","без дифференциации",IF($N$140=0,"",$N$140))</f>
        <v>Территория 16</v>
      </c>
      <c r="AL140" s="1885" t="str">
        <f>IF($O$140="нет","без дифференциации",IF($R$140=0,"",$R$140))</f>
        <v>без дифференциации</v>
      </c>
      <c r="AM140" s="1885" t="str">
        <f>IF($S$140="нет","без дифференциации",IF($V$140=0,"",$V$140))</f>
        <v>н.п.Енский (мазутная котельная)</v>
      </c>
      <c r="AN140" s="1296" t="str">
        <f>$I$90</f>
        <v>2</v>
      </c>
      <c r="AO140" s="1296" t="str">
        <f>$I$90&amp;"."&amp;$M$140</f>
        <v>2.16</v>
      </c>
      <c r="AP140" s="1296" t="str">
        <f>$I$90&amp;"."&amp;$M$140&amp;"."&amp;$Q$140</f>
        <v>2.16.1</v>
      </c>
      <c r="AQ140" s="1296" t="str">
        <f>$I$90&amp;"."&amp;$M$140&amp;"."&amp;$Q$140&amp;"."&amp;$U$140</f>
        <v>2.16.1.1</v>
      </c>
      <c r="AR140" s="2875"/>
    </row>
    <row customHeight="1" ht="17.25">
      <c r="A141" s="1881"/>
      <c r="B141" s="2875"/>
      <c r="C141" s="1883"/>
      <c r="D141" s="1871"/>
      <c r="E141" s="1888"/>
      <c r="F141" s="1825"/>
      <c r="G141" s="1889"/>
      <c r="H141" s="1796"/>
      <c r="I141" s="1796"/>
      <c r="J141" s="1797"/>
      <c r="K141" s="1889"/>
      <c r="L141" s="1796"/>
      <c r="M141" s="1796"/>
      <c r="N141" s="1889"/>
      <c r="O141" s="1889"/>
      <c r="P141" s="1796"/>
      <c r="Q141" s="1796"/>
      <c r="R141" s="1798"/>
      <c r="S141" s="1889"/>
      <c r="T141" s="1852" t="s">
        <v>105</v>
      </c>
      <c r="U141" s="1852" t="s">
        <v>104</v>
      </c>
      <c r="V141" s="1884" t="s">
        <v>314</v>
      </c>
      <c r="W141" s="1842"/>
      <c r="X141" s="2875"/>
      <c r="Y141" s="1296"/>
      <c r="Z141" s="1296"/>
      <c r="AA141" s="1296"/>
      <c r="AB141" s="1296"/>
      <c r="AC141" s="2887" t="s">
        <v>245</v>
      </c>
      <c r="AD141" s="2887" t="s">
        <v>331</v>
      </c>
      <c r="AE141" s="2887" t="s">
        <v>382</v>
      </c>
      <c r="AF141" s="2887" t="s">
        <v>383</v>
      </c>
      <c r="AG141" s="1296" t="s">
        <v>385</v>
      </c>
      <c r="AH141" s="1296" t="str">
        <f>IF($E$23=0,"",$E$23)</f>
        <v>Тарифы на теплоноситель, поставляемый теплоснабжающими организациями потребителям, другим теплоснабжающим организациям</v>
      </c>
      <c r="AI141" s="1296" t="str">
        <f>IF($G$23=0,"",$G$23)</f>
        <v>Производство. Теплоноситель, Передача. Теплоноситель, Сбыт. Теплоноситель</v>
      </c>
      <c r="AJ141" s="1296" t="str">
        <f>IF($J$90=0,"",$J$90)</f>
        <v>Тариф на теплоноситель, поставляемый населению</v>
      </c>
      <c r="AK141" s="1296" t="str">
        <f>IF($K$140="нет","без дифференциации",IF($N$140=0,"",$N$140))</f>
        <v>Территория 16</v>
      </c>
      <c r="AL141" s="1885" t="str">
        <f>IF($O$140="нет","без дифференциации",IF($R$140=0,"",$R$140))</f>
        <v>без дифференциации</v>
      </c>
      <c r="AM141" s="1885" t="str">
        <f>IF($S$141="нет","без дифференциации",IF($V$141=0,"",$V$141))</f>
        <v>н.п.Лейпи </v>
      </c>
      <c r="AN141" s="1296" t="str">
        <f>$I$90</f>
        <v>2</v>
      </c>
      <c r="AO141" s="1296" t="str">
        <f>$I$90&amp;"."&amp;$M$140</f>
        <v>2.16</v>
      </c>
      <c r="AP141" s="1296" t="str">
        <f>$I$90&amp;"."&amp;$M$140&amp;"."&amp;$Q$140</f>
        <v>2.16.1</v>
      </c>
      <c r="AQ141" s="1296" t="str">
        <f>$I$90&amp;"."&amp;$M$140&amp;"."&amp;$Q$140&amp;"."&amp;$U$141</f>
        <v>2.16.1.2</v>
      </c>
      <c r="AR141" s="2875"/>
    </row>
    <row customHeight="1" ht="17.25">
      <c r="A142" s="1881"/>
      <c r="B142" s="2875"/>
      <c r="C142" s="1886"/>
      <c r="D142" s="1871"/>
      <c r="E142" s="1888"/>
      <c r="F142" s="1825"/>
      <c r="G142" s="1889"/>
      <c r="H142" s="1871"/>
      <c r="I142" s="1871"/>
      <c r="J142" s="1890"/>
      <c r="K142" s="1800"/>
      <c r="L142" s="1982"/>
      <c r="M142" s="1982"/>
      <c r="N142" s="2387"/>
      <c r="O142" s="2045"/>
      <c r="P142" s="1982"/>
      <c r="Q142" s="1982"/>
      <c r="R142" s="2911" t="s">
        <v>24</v>
      </c>
      <c r="S142" s="1981"/>
      <c r="T142" s="310"/>
      <c r="U142" s="311"/>
      <c r="V142" s="311" t="s">
        <v>254</v>
      </c>
      <c r="W142" s="312"/>
      <c r="X142" s="2875"/>
      <c r="Y142" s="1288"/>
      <c r="Z142" s="1288"/>
      <c r="AA142" s="1288"/>
      <c r="AB142" s="1288"/>
      <c r="AC142" s="1288"/>
      <c r="AD142" s="1288"/>
      <c r="AE142" s="1288"/>
      <c r="AF142" s="1288"/>
      <c r="AG142" s="1288"/>
      <c r="AH142" s="1288"/>
      <c r="AI142" s="1288"/>
      <c r="AJ142" s="1288"/>
      <c r="AK142" s="1288"/>
      <c r="AL142" s="2875"/>
      <c r="AM142" s="2875"/>
      <c r="AN142" s="2875"/>
      <c r="AO142" s="2875"/>
      <c r="AP142" s="2875"/>
      <c r="AQ142" s="2875"/>
      <c r="AR142" s="2875"/>
    </row>
    <row customHeight="1" ht="17.25">
      <c r="A143" s="1881"/>
      <c r="B143" s="2875"/>
      <c r="C143" s="1886"/>
      <c r="D143" s="1871"/>
      <c r="E143" s="1888"/>
      <c r="F143" s="1825"/>
      <c r="G143" s="1889"/>
      <c r="H143" s="1871"/>
      <c r="I143" s="1871"/>
      <c r="J143" s="1890"/>
      <c r="K143" s="1800"/>
      <c r="L143" s="2354"/>
      <c r="M143" s="2354"/>
      <c r="N143" s="2388"/>
      <c r="O143" s="1986"/>
      <c r="P143" s="310"/>
      <c r="Q143" s="311"/>
      <c r="R143" s="311" t="s">
        <v>255</v>
      </c>
      <c r="S143" s="1887"/>
      <c r="T143" s="1887"/>
      <c r="U143" s="1887"/>
      <c r="V143" s="1887"/>
      <c r="W143" s="312"/>
      <c r="X143" s="2875"/>
      <c r="Y143" s="1288"/>
      <c r="Z143" s="1288"/>
      <c r="AA143" s="1288"/>
      <c r="AB143" s="1288"/>
      <c r="AC143" s="1288"/>
      <c r="AD143" s="1288"/>
      <c r="AE143" s="1288"/>
      <c r="AF143" s="1288"/>
      <c r="AG143" s="1288"/>
      <c r="AH143" s="1288"/>
      <c r="AI143" s="1288"/>
      <c r="AJ143" s="1288"/>
      <c r="AK143" s="1288"/>
      <c r="AL143" s="2875"/>
      <c r="AM143" s="2875"/>
      <c r="AN143" s="2875"/>
      <c r="AO143" s="2875"/>
      <c r="AP143" s="2875"/>
      <c r="AQ143" s="2875"/>
      <c r="AR143" s="2875"/>
    </row>
    <row customHeight="1" ht="17.25">
      <c r="A144" s="1881"/>
      <c r="B144" s="2875"/>
      <c r="C144" s="1883"/>
      <c r="D144" s="1871"/>
      <c r="E144" s="1888"/>
      <c r="F144" s="1825"/>
      <c r="G144" s="1889"/>
      <c r="H144" s="1871"/>
      <c r="I144" s="1871"/>
      <c r="J144" s="1890"/>
      <c r="K144" s="1800"/>
      <c r="L144" s="1982" t="s">
        <v>105</v>
      </c>
      <c r="M144" s="1982" t="s">
        <v>170</v>
      </c>
      <c r="N144" s="2387" t="str">
        <f>IF(Z144="","",INDEX(TERRITORY_MR_LIST,MATCH(Z144,TERRITORY_LIST_ID,0)))</f>
        <v>Территория 17</v>
      </c>
      <c r="O144" s="2044" t="s">
        <v>58</v>
      </c>
      <c r="P144" s="1982"/>
      <c r="Q144" s="1982" t="s">
        <v>193</v>
      </c>
      <c r="R144" s="2911" t="s">
        <v>24</v>
      </c>
      <c r="S144" s="1981" t="s">
        <v>58</v>
      </c>
      <c r="T144" s="1852"/>
      <c r="U144" s="1852" t="s">
        <v>193</v>
      </c>
      <c r="V144" s="2912" t="s">
        <v>24</v>
      </c>
      <c r="W144" s="1842"/>
      <c r="X144" s="2875"/>
      <c r="Y144" s="1296"/>
      <c r="Z144" s="1296" t="s">
        <v>171</v>
      </c>
      <c r="AA144" s="1296"/>
      <c r="AB144" s="1296"/>
      <c r="AC144" s="2887" t="s">
        <v>245</v>
      </c>
      <c r="AD144" s="2887" t="s">
        <v>331</v>
      </c>
      <c r="AE144" s="1296" t="s">
        <v>386</v>
      </c>
      <c r="AF144" s="1296" t="s">
        <v>387</v>
      </c>
      <c r="AG144" s="1296" t="s">
        <v>388</v>
      </c>
      <c r="AH144" s="1296" t="str">
        <f>IF($E$23=0,"",$E$23)</f>
        <v>Тарифы на теплоноситель, поставляемый теплоснабжающими организациями потребителям, другим теплоснабжающим организациям</v>
      </c>
      <c r="AI144" s="1296" t="str">
        <f>IF($G$23=0,"",$G$23)</f>
        <v>Производство. Теплоноситель, Передача. Теплоноситель, Сбыт. Теплоноситель</v>
      </c>
      <c r="AJ144" s="1296" t="str">
        <f>IF($J$90=0,"",$J$90)</f>
        <v>Тариф на теплоноситель, поставляемый населению</v>
      </c>
      <c r="AK144" s="1296" t="str">
        <f>IF($K$144="нет","без дифференциации",IF($N$144=0,"",$N$144))</f>
        <v>Территория 17</v>
      </c>
      <c r="AL144" s="1885" t="str">
        <f>IF($O$144="нет","без дифференциации",IF($R$144=0,"",$R$144))</f>
        <v>без дифференциации</v>
      </c>
      <c r="AM144" s="1885" t="str">
        <f>IF($S$144="нет","без дифференциации",IF($V$144=0,"",$V$144))</f>
        <v>без дифференциации</v>
      </c>
      <c r="AN144" s="1296" t="str">
        <f>$I$90</f>
        <v>2</v>
      </c>
      <c r="AO144" s="1296" t="str">
        <f>$I$90&amp;"."&amp;$M$144</f>
        <v>2.17</v>
      </c>
      <c r="AP144" s="1296" t="str">
        <f>$I$90&amp;"."&amp;$M$144&amp;"."&amp;$Q$144</f>
        <v>2.17.1</v>
      </c>
      <c r="AQ144" s="1296" t="str">
        <f>$I$90&amp;"."&amp;$M$144&amp;"."&amp;$Q$144&amp;"."&amp;$U$144</f>
        <v>2.17.1.1</v>
      </c>
      <c r="AR144" s="2875"/>
    </row>
    <row customHeight="1" ht="17.25">
      <c r="A145" s="1881"/>
      <c r="B145" s="2875"/>
      <c r="C145" s="1886"/>
      <c r="D145" s="1871"/>
      <c r="E145" s="1888"/>
      <c r="F145" s="1825"/>
      <c r="G145" s="1889"/>
      <c r="H145" s="1871"/>
      <c r="I145" s="1871"/>
      <c r="J145" s="1890"/>
      <c r="K145" s="1800"/>
      <c r="L145" s="1982"/>
      <c r="M145" s="1982"/>
      <c r="N145" s="2387"/>
      <c r="O145" s="2045"/>
      <c r="P145" s="1982"/>
      <c r="Q145" s="1982"/>
      <c r="R145" s="2911" t="s">
        <v>24</v>
      </c>
      <c r="S145" s="1981"/>
      <c r="T145" s="310"/>
      <c r="U145" s="311"/>
      <c r="V145" s="311" t="s">
        <v>254</v>
      </c>
      <c r="W145" s="312"/>
      <c r="X145" s="2875"/>
      <c r="Y145" s="1288"/>
      <c r="Z145" s="1288"/>
      <c r="AA145" s="1288"/>
      <c r="AB145" s="1288"/>
      <c r="AC145" s="1288"/>
      <c r="AD145" s="1288"/>
      <c r="AE145" s="1288"/>
      <c r="AF145" s="1288"/>
      <c r="AG145" s="1288"/>
      <c r="AH145" s="1288"/>
      <c r="AI145" s="1288"/>
      <c r="AJ145" s="1288"/>
      <c r="AK145" s="1288"/>
      <c r="AL145" s="2875"/>
      <c r="AM145" s="2875"/>
      <c r="AN145" s="2875"/>
      <c r="AO145" s="2875"/>
      <c r="AP145" s="2875"/>
      <c r="AQ145" s="2875"/>
      <c r="AR145" s="2875"/>
    </row>
    <row customHeight="1" ht="17.25">
      <c r="A146" s="1881"/>
      <c r="B146" s="2875"/>
      <c r="C146" s="1886"/>
      <c r="D146" s="1871"/>
      <c r="E146" s="1888"/>
      <c r="F146" s="1825"/>
      <c r="G146" s="1889"/>
      <c r="H146" s="1871"/>
      <c r="I146" s="1871"/>
      <c r="J146" s="1890"/>
      <c r="K146" s="1800"/>
      <c r="L146" s="2354"/>
      <c r="M146" s="2354"/>
      <c r="N146" s="2388"/>
      <c r="O146" s="1986"/>
      <c r="P146" s="310"/>
      <c r="Q146" s="311"/>
      <c r="R146" s="311" t="s">
        <v>255</v>
      </c>
      <c r="S146" s="1887"/>
      <c r="T146" s="1887"/>
      <c r="U146" s="1887"/>
      <c r="V146" s="1887"/>
      <c r="W146" s="312"/>
      <c r="X146" s="2875"/>
      <c r="Y146" s="1288"/>
      <c r="Z146" s="1288"/>
      <c r="AA146" s="1288"/>
      <c r="AB146" s="1288"/>
      <c r="AC146" s="1288"/>
      <c r="AD146" s="1288"/>
      <c r="AE146" s="1288"/>
      <c r="AF146" s="1288"/>
      <c r="AG146" s="1288"/>
      <c r="AH146" s="1288"/>
      <c r="AI146" s="1288"/>
      <c r="AJ146" s="1288"/>
      <c r="AK146" s="1288"/>
      <c r="AL146" s="2875"/>
      <c r="AM146" s="2875"/>
      <c r="AN146" s="2875"/>
      <c r="AO146" s="2875"/>
      <c r="AP146" s="2875"/>
      <c r="AQ146" s="2875"/>
      <c r="AR146" s="2875"/>
    </row>
    <row customHeight="1" ht="17.25">
      <c r="A147" s="1881"/>
      <c r="B147" s="2875"/>
      <c r="C147" s="1883"/>
      <c r="D147" s="1871"/>
      <c r="E147" s="1888"/>
      <c r="F147" s="1825"/>
      <c r="G147" s="1889"/>
      <c r="H147" s="1871"/>
      <c r="I147" s="1871"/>
      <c r="J147" s="1890"/>
      <c r="K147" s="1800"/>
      <c r="L147" s="1982" t="s">
        <v>105</v>
      </c>
      <c r="M147" s="1982" t="s">
        <v>175</v>
      </c>
      <c r="N147" s="2387" t="str">
        <f>IF(Z147="","",INDEX(TERRITORY_MR_LIST,MATCH(Z147,TERRITORY_LIST_ID,0)))</f>
        <v>Территория 18</v>
      </c>
      <c r="O147" s="2044" t="s">
        <v>58</v>
      </c>
      <c r="P147" s="1982"/>
      <c r="Q147" s="1982" t="s">
        <v>193</v>
      </c>
      <c r="R147" s="2911" t="s">
        <v>24</v>
      </c>
      <c r="S147" s="1981" t="s">
        <v>63</v>
      </c>
      <c r="T147" s="1852"/>
      <c r="U147" s="1852" t="s">
        <v>193</v>
      </c>
      <c r="V147" s="1884" t="s">
        <v>319</v>
      </c>
      <c r="W147" s="1842"/>
      <c r="X147" s="2875"/>
      <c r="Y147" s="1296"/>
      <c r="Z147" s="1296" t="s">
        <v>176</v>
      </c>
      <c r="AA147" s="1296"/>
      <c r="AB147" s="1296"/>
      <c r="AC147" s="2887" t="s">
        <v>245</v>
      </c>
      <c r="AD147" s="2887" t="s">
        <v>331</v>
      </c>
      <c r="AE147" s="1296" t="s">
        <v>389</v>
      </c>
      <c r="AF147" s="1296" t="s">
        <v>390</v>
      </c>
      <c r="AG147" s="1296" t="s">
        <v>391</v>
      </c>
      <c r="AH147" s="1296" t="str">
        <f>IF($E$23=0,"",$E$23)</f>
        <v>Тарифы на теплоноситель, поставляемый теплоснабжающими организациями потребителям, другим теплоснабжающим организациям</v>
      </c>
      <c r="AI147" s="1296" t="str">
        <f>IF($G$23=0,"",$G$23)</f>
        <v>Производство. Теплоноситель, Передача. Теплоноситель, Сбыт. Теплоноситель</v>
      </c>
      <c r="AJ147" s="1296" t="str">
        <f>IF($J$90=0,"",$J$90)</f>
        <v>Тариф на теплоноситель, поставляемый населению</v>
      </c>
      <c r="AK147" s="1296" t="str">
        <f>IF($K$147="нет","без дифференциации",IF($N$147=0,"",$N$147))</f>
        <v>Территория 18</v>
      </c>
      <c r="AL147" s="1885" t="str">
        <f>IF($O$147="нет","без дифференциации",IF($R$147=0,"",$R$147))</f>
        <v>без дифференциации</v>
      </c>
      <c r="AM147" s="1885" t="str">
        <f>IF($S$147="нет","без дифференциации",IF($V$147=0,"",$V$147))</f>
        <v>ж.д.ст. Лопарская</v>
      </c>
      <c r="AN147" s="1296" t="str">
        <f>$I$90</f>
        <v>2</v>
      </c>
      <c r="AO147" s="1296" t="str">
        <f>$I$90&amp;"."&amp;$M$147</f>
        <v>2.18</v>
      </c>
      <c r="AP147" s="1296" t="str">
        <f>$I$90&amp;"."&amp;$M$147&amp;"."&amp;$Q$147</f>
        <v>2.18.1</v>
      </c>
      <c r="AQ147" s="1296" t="str">
        <f>$I$90&amp;"."&amp;$M$147&amp;"."&amp;$Q$147&amp;"."&amp;$U$147</f>
        <v>2.18.1.1</v>
      </c>
      <c r="AR147" s="2875"/>
    </row>
    <row customHeight="1" ht="17.25">
      <c r="A148" s="1881"/>
      <c r="B148" s="2875"/>
      <c r="C148" s="1886"/>
      <c r="D148" s="1871"/>
      <c r="E148" s="1888"/>
      <c r="F148" s="1825"/>
      <c r="G148" s="1889"/>
      <c r="H148" s="1871"/>
      <c r="I148" s="1871"/>
      <c r="J148" s="1890"/>
      <c r="K148" s="1800"/>
      <c r="L148" s="1982"/>
      <c r="M148" s="1982"/>
      <c r="N148" s="2387"/>
      <c r="O148" s="2045"/>
      <c r="P148" s="1982"/>
      <c r="Q148" s="1982"/>
      <c r="R148" s="2911" t="s">
        <v>24</v>
      </c>
      <c r="S148" s="1981"/>
      <c r="T148" s="310"/>
      <c r="U148" s="311"/>
      <c r="V148" s="311" t="s">
        <v>254</v>
      </c>
      <c r="W148" s="312"/>
      <c r="X148" s="2875"/>
      <c r="Y148" s="1288"/>
      <c r="Z148" s="1288"/>
      <c r="AA148" s="1288"/>
      <c r="AB148" s="1288"/>
      <c r="AC148" s="1288"/>
      <c r="AD148" s="1288"/>
      <c r="AE148" s="1288"/>
      <c r="AF148" s="1288"/>
      <c r="AG148" s="1288"/>
      <c r="AH148" s="1288"/>
      <c r="AI148" s="1288"/>
      <c r="AJ148" s="1288"/>
      <c r="AK148" s="1288"/>
      <c r="AL148" s="2875"/>
      <c r="AM148" s="2875"/>
      <c r="AN148" s="2875"/>
      <c r="AO148" s="2875"/>
      <c r="AP148" s="2875"/>
      <c r="AQ148" s="2875"/>
      <c r="AR148" s="2875"/>
    </row>
    <row customHeight="1" ht="17.25">
      <c r="A149" s="1881"/>
      <c r="B149" s="2875"/>
      <c r="C149" s="1886"/>
      <c r="D149" s="1871"/>
      <c r="E149" s="1888"/>
      <c r="F149" s="1825"/>
      <c r="G149" s="1889"/>
      <c r="H149" s="1871"/>
      <c r="I149" s="1871"/>
      <c r="J149" s="1890"/>
      <c r="K149" s="1800"/>
      <c r="L149" s="2354"/>
      <c r="M149" s="2354"/>
      <c r="N149" s="2388"/>
      <c r="O149" s="1986"/>
      <c r="P149" s="310"/>
      <c r="Q149" s="311"/>
      <c r="R149" s="311" t="s">
        <v>255</v>
      </c>
      <c r="S149" s="1887"/>
      <c r="T149" s="1887"/>
      <c r="U149" s="1887"/>
      <c r="V149" s="1887"/>
      <c r="W149" s="312"/>
      <c r="X149" s="2875"/>
      <c r="Y149" s="1288"/>
      <c r="Z149" s="1288"/>
      <c r="AA149" s="1288"/>
      <c r="AB149" s="1288"/>
      <c r="AC149" s="1288"/>
      <c r="AD149" s="1288"/>
      <c r="AE149" s="1288"/>
      <c r="AF149" s="1288"/>
      <c r="AG149" s="1288"/>
      <c r="AH149" s="1288"/>
      <c r="AI149" s="1288"/>
      <c r="AJ149" s="1288"/>
      <c r="AK149" s="1288"/>
      <c r="AL149" s="2875"/>
      <c r="AM149" s="2875"/>
      <c r="AN149" s="2875"/>
      <c r="AO149" s="2875"/>
      <c r="AP149" s="2875"/>
      <c r="AQ149" s="2875"/>
      <c r="AR149" s="2875"/>
    </row>
    <row customHeight="1" ht="17.25">
      <c r="A150" s="1881"/>
      <c r="B150" s="2875"/>
      <c r="C150" s="1883"/>
      <c r="D150" s="1871"/>
      <c r="E150" s="1888"/>
      <c r="F150" s="1825"/>
      <c r="G150" s="1889"/>
      <c r="H150" s="1871"/>
      <c r="I150" s="1871"/>
      <c r="J150" s="1890"/>
      <c r="K150" s="1800"/>
      <c r="L150" s="1982" t="s">
        <v>105</v>
      </c>
      <c r="M150" s="1982" t="s">
        <v>180</v>
      </c>
      <c r="N150" s="2387" t="str">
        <f>IF(Z150="","",INDEX(TERRITORY_MR_LIST,MATCH(Z150,TERRITORY_LIST_ID,0)))</f>
        <v>Территория 19</v>
      </c>
      <c r="O150" s="2044" t="s">
        <v>58</v>
      </c>
      <c r="P150" s="1982"/>
      <c r="Q150" s="1982" t="s">
        <v>193</v>
      </c>
      <c r="R150" s="2911" t="s">
        <v>24</v>
      </c>
      <c r="S150" s="1981" t="s">
        <v>58</v>
      </c>
      <c r="T150" s="1852"/>
      <c r="U150" s="1852" t="s">
        <v>193</v>
      </c>
      <c r="V150" s="2912" t="s">
        <v>24</v>
      </c>
      <c r="W150" s="1842"/>
      <c r="X150" s="2875"/>
      <c r="Y150" s="1296"/>
      <c r="Z150" s="1296" t="s">
        <v>181</v>
      </c>
      <c r="AA150" s="1296"/>
      <c r="AB150" s="1296"/>
      <c r="AC150" s="2887" t="s">
        <v>245</v>
      </c>
      <c r="AD150" s="2887" t="s">
        <v>331</v>
      </c>
      <c r="AE150" s="1296" t="s">
        <v>392</v>
      </c>
      <c r="AF150" s="1296" t="s">
        <v>393</v>
      </c>
      <c r="AG150" s="1296" t="s">
        <v>394</v>
      </c>
      <c r="AH150" s="1296" t="str">
        <f>IF($E$23=0,"",$E$23)</f>
        <v>Тарифы на теплоноситель, поставляемый теплоснабжающими организациями потребителям, другим теплоснабжающим организациям</v>
      </c>
      <c r="AI150" s="1296" t="str">
        <f>IF($G$23=0,"",$G$23)</f>
        <v>Производство. Теплоноситель, Передача. Теплоноситель, Сбыт. Теплоноситель</v>
      </c>
      <c r="AJ150" s="1296" t="str">
        <f>IF($J$90=0,"",$J$90)</f>
        <v>Тариф на теплоноситель, поставляемый населению</v>
      </c>
      <c r="AK150" s="1296" t="str">
        <f>IF($K$150="нет","без дифференциации",IF($N$150=0,"",$N$150))</f>
        <v>Территория 19</v>
      </c>
      <c r="AL150" s="1885" t="str">
        <f>IF($O$150="нет","без дифференциации",IF($R$150=0,"",$R$150))</f>
        <v>без дифференциации</v>
      </c>
      <c r="AM150" s="1885" t="str">
        <f>IF($S$150="нет","без дифференциации",IF($V$150=0,"",$V$150))</f>
        <v>без дифференциации</v>
      </c>
      <c r="AN150" s="1296" t="str">
        <f>$I$90</f>
        <v>2</v>
      </c>
      <c r="AO150" s="1296" t="str">
        <f>$I$90&amp;"."&amp;$M$150</f>
        <v>2.19</v>
      </c>
      <c r="AP150" s="1296" t="str">
        <f>$I$90&amp;"."&amp;$M$150&amp;"."&amp;$Q$150</f>
        <v>2.19.1</v>
      </c>
      <c r="AQ150" s="1296" t="str">
        <f>$I$90&amp;"."&amp;$M$150&amp;"."&amp;$Q$150&amp;"."&amp;$U$150</f>
        <v>2.19.1.1</v>
      </c>
      <c r="AR150" s="2875"/>
    </row>
    <row customHeight="1" ht="17.25">
      <c r="A151" s="1881"/>
      <c r="B151" s="2875"/>
      <c r="C151" s="1886"/>
      <c r="D151" s="1871"/>
      <c r="E151" s="1888"/>
      <c r="F151" s="1825"/>
      <c r="G151" s="1889"/>
      <c r="H151" s="1871"/>
      <c r="I151" s="1871"/>
      <c r="J151" s="1890"/>
      <c r="K151" s="1800"/>
      <c r="L151" s="1982"/>
      <c r="M151" s="1982"/>
      <c r="N151" s="2387"/>
      <c r="O151" s="2045"/>
      <c r="P151" s="1982"/>
      <c r="Q151" s="1982"/>
      <c r="R151" s="2911" t="s">
        <v>24</v>
      </c>
      <c r="S151" s="1981"/>
      <c r="T151" s="310"/>
      <c r="U151" s="311"/>
      <c r="V151" s="311" t="s">
        <v>254</v>
      </c>
      <c r="W151" s="312"/>
      <c r="X151" s="2875"/>
      <c r="Y151" s="1288"/>
      <c r="Z151" s="1288"/>
      <c r="AA151" s="1288"/>
      <c r="AB151" s="1288"/>
      <c r="AC151" s="1288"/>
      <c r="AD151" s="1288"/>
      <c r="AE151" s="1288"/>
      <c r="AF151" s="1288"/>
      <c r="AG151" s="1288"/>
      <c r="AH151" s="1288"/>
      <c r="AI151" s="1288"/>
      <c r="AJ151" s="1288"/>
      <c r="AK151" s="1288"/>
      <c r="AL151" s="2875"/>
      <c r="AM151" s="2875"/>
      <c r="AN151" s="2875"/>
      <c r="AO151" s="2875"/>
      <c r="AP151" s="2875"/>
      <c r="AQ151" s="2875"/>
      <c r="AR151" s="2875"/>
    </row>
    <row customHeight="1" ht="17.25">
      <c r="A152" s="1881"/>
      <c r="B152" s="2875"/>
      <c r="C152" s="1886"/>
      <c r="D152" s="1871"/>
      <c r="E152" s="1888"/>
      <c r="F152" s="1825"/>
      <c r="G152" s="1889"/>
      <c r="H152" s="1871"/>
      <c r="I152" s="1871"/>
      <c r="J152" s="1890"/>
      <c r="K152" s="1800"/>
      <c r="L152" s="2354"/>
      <c r="M152" s="2354"/>
      <c r="N152" s="2388"/>
      <c r="O152" s="1986"/>
      <c r="P152" s="310"/>
      <c r="Q152" s="311"/>
      <c r="R152" s="311" t="s">
        <v>255</v>
      </c>
      <c r="S152" s="1887"/>
      <c r="T152" s="1887"/>
      <c r="U152" s="1887"/>
      <c r="V152" s="1887"/>
      <c r="W152" s="312"/>
      <c r="X152" s="2875"/>
      <c r="Y152" s="1288"/>
      <c r="Z152" s="1288"/>
      <c r="AA152" s="1288"/>
      <c r="AB152" s="1288"/>
      <c r="AC152" s="1288"/>
      <c r="AD152" s="1288"/>
      <c r="AE152" s="1288"/>
      <c r="AF152" s="1288"/>
      <c r="AG152" s="1288"/>
      <c r="AH152" s="1288"/>
      <c r="AI152" s="1288"/>
      <c r="AJ152" s="1288"/>
      <c r="AK152" s="1288"/>
      <c r="AL152" s="2875"/>
      <c r="AM152" s="2875"/>
      <c r="AN152" s="2875"/>
      <c r="AO152" s="2875"/>
      <c r="AP152" s="2875"/>
      <c r="AQ152" s="2875"/>
      <c r="AR152" s="2875"/>
    </row>
    <row customHeight="1" ht="17.25">
      <c r="A153" s="1881"/>
      <c r="B153" s="2875"/>
      <c r="C153" s="1883"/>
      <c r="D153" s="1871"/>
      <c r="E153" s="1888"/>
      <c r="F153" s="1825"/>
      <c r="G153" s="1889"/>
      <c r="H153" s="1871"/>
      <c r="I153" s="1871"/>
      <c r="J153" s="1890"/>
      <c r="K153" s="1800"/>
      <c r="L153" s="1982" t="s">
        <v>105</v>
      </c>
      <c r="M153" s="1982" t="s">
        <v>118</v>
      </c>
      <c r="N153" s="2387" t="str">
        <f>IF(Z153="","",INDEX(TERRITORY_MR_LIST,MATCH(Z153,TERRITORY_LIST_ID,0)))</f>
        <v>Территория 20</v>
      </c>
      <c r="O153" s="2044" t="s">
        <v>58</v>
      </c>
      <c r="P153" s="1982"/>
      <c r="Q153" s="1982" t="s">
        <v>193</v>
      </c>
      <c r="R153" s="2911" t="s">
        <v>24</v>
      </c>
      <c r="S153" s="1981" t="s">
        <v>58</v>
      </c>
      <c r="T153" s="1852"/>
      <c r="U153" s="1852" t="s">
        <v>193</v>
      </c>
      <c r="V153" s="2912" t="s">
        <v>24</v>
      </c>
      <c r="W153" s="1842"/>
      <c r="X153" s="2875"/>
      <c r="Y153" s="1296"/>
      <c r="Z153" s="1296" t="s">
        <v>184</v>
      </c>
      <c r="AA153" s="1296"/>
      <c r="AB153" s="1296"/>
      <c r="AC153" s="2887" t="s">
        <v>245</v>
      </c>
      <c r="AD153" s="2887" t="s">
        <v>331</v>
      </c>
      <c r="AE153" s="1296" t="s">
        <v>395</v>
      </c>
      <c r="AF153" s="1296" t="s">
        <v>396</v>
      </c>
      <c r="AG153" s="1296" t="s">
        <v>397</v>
      </c>
      <c r="AH153" s="1296" t="str">
        <f>IF($E$23=0,"",$E$23)</f>
        <v>Тарифы на теплоноситель, поставляемый теплоснабжающими организациями потребителям, другим теплоснабжающим организациям</v>
      </c>
      <c r="AI153" s="1296" t="str">
        <f>IF($G$23=0,"",$G$23)</f>
        <v>Производство. Теплоноситель, Передача. Теплоноситель, Сбыт. Теплоноситель</v>
      </c>
      <c r="AJ153" s="1296" t="str">
        <f>IF($J$90=0,"",$J$90)</f>
        <v>Тариф на теплоноситель, поставляемый населению</v>
      </c>
      <c r="AK153" s="1296" t="str">
        <f>IF($K$153="нет","без дифференциации",IF($N$153=0,"",$N$153))</f>
        <v>Территория 20</v>
      </c>
      <c r="AL153" s="1885" t="str">
        <f>IF($O$153="нет","без дифференциации",IF($R$153=0,"",$R$153))</f>
        <v>без дифференциации</v>
      </c>
      <c r="AM153" s="1885" t="str">
        <f>IF($S$153="нет","без дифференциации",IF($V$153=0,"",$V$153))</f>
        <v>без дифференциации</v>
      </c>
      <c r="AN153" s="1296" t="str">
        <f>$I$90</f>
        <v>2</v>
      </c>
      <c r="AO153" s="1296" t="str">
        <f>$I$90&amp;"."&amp;$M$153</f>
        <v>2.20</v>
      </c>
      <c r="AP153" s="1296" t="str">
        <f>$I$90&amp;"."&amp;$M$153&amp;"."&amp;$Q$153</f>
        <v>2.20.1</v>
      </c>
      <c r="AQ153" s="1296" t="str">
        <f>$I$90&amp;"."&amp;$M$153&amp;"."&amp;$Q$153&amp;"."&amp;$U$153</f>
        <v>2.20.1.1</v>
      </c>
      <c r="AR153" s="2875"/>
    </row>
    <row customHeight="1" ht="17.25">
      <c r="A154" s="1881"/>
      <c r="B154" s="2875"/>
      <c r="C154" s="1886"/>
      <c r="D154" s="1871"/>
      <c r="E154" s="1888"/>
      <c r="F154" s="1825"/>
      <c r="G154" s="1889"/>
      <c r="H154" s="1871"/>
      <c r="I154" s="1871"/>
      <c r="J154" s="1890"/>
      <c r="K154" s="1800"/>
      <c r="L154" s="1982"/>
      <c r="M154" s="1982"/>
      <c r="N154" s="2387"/>
      <c r="O154" s="2045"/>
      <c r="P154" s="1982"/>
      <c r="Q154" s="1982"/>
      <c r="R154" s="2911" t="s">
        <v>24</v>
      </c>
      <c r="S154" s="1981"/>
      <c r="T154" s="310"/>
      <c r="U154" s="311"/>
      <c r="V154" s="311" t="s">
        <v>254</v>
      </c>
      <c r="W154" s="312"/>
      <c r="X154" s="2875"/>
      <c r="Y154" s="1288"/>
      <c r="Z154" s="1288"/>
      <c r="AA154" s="1288"/>
      <c r="AB154" s="1288"/>
      <c r="AC154" s="1288"/>
      <c r="AD154" s="1288"/>
      <c r="AE154" s="1288"/>
      <c r="AF154" s="1288"/>
      <c r="AG154" s="1288"/>
      <c r="AH154" s="1288"/>
      <c r="AI154" s="1288"/>
      <c r="AJ154" s="1288"/>
      <c r="AK154" s="1288"/>
      <c r="AL154" s="2875"/>
      <c r="AM154" s="2875"/>
      <c r="AN154" s="2875"/>
      <c r="AO154" s="2875"/>
      <c r="AP154" s="2875"/>
      <c r="AQ154" s="2875"/>
      <c r="AR154" s="2875"/>
    </row>
    <row customHeight="1" ht="17.25">
      <c r="A155" s="1881"/>
      <c r="B155" s="2875"/>
      <c r="C155" s="1886"/>
      <c r="D155" s="1871"/>
      <c r="E155" s="1888"/>
      <c r="F155" s="1825"/>
      <c r="G155" s="1889"/>
      <c r="H155" s="1871"/>
      <c r="I155" s="1871"/>
      <c r="J155" s="1890"/>
      <c r="K155" s="1800"/>
      <c r="L155" s="2354"/>
      <c r="M155" s="2354"/>
      <c r="N155" s="2388"/>
      <c r="O155" s="1986"/>
      <c r="P155" s="310"/>
      <c r="Q155" s="311"/>
      <c r="R155" s="311" t="s">
        <v>255</v>
      </c>
      <c r="S155" s="1887"/>
      <c r="T155" s="1887"/>
      <c r="U155" s="1887"/>
      <c r="V155" s="1887"/>
      <c r="W155" s="312"/>
      <c r="X155" s="2875"/>
      <c r="Y155" s="1288"/>
      <c r="Z155" s="1288"/>
      <c r="AA155" s="1288"/>
      <c r="AB155" s="1288"/>
      <c r="AC155" s="1288"/>
      <c r="AD155" s="1288"/>
      <c r="AE155" s="1288"/>
      <c r="AF155" s="1288"/>
      <c r="AG155" s="1288"/>
      <c r="AH155" s="1288"/>
      <c r="AI155" s="1288"/>
      <c r="AJ155" s="1288"/>
      <c r="AK155" s="1288"/>
      <c r="AL155" s="2875"/>
      <c r="AM155" s="2875"/>
      <c r="AN155" s="2875"/>
      <c r="AO155" s="2875"/>
      <c r="AP155" s="2875"/>
      <c r="AQ155" s="2875"/>
      <c r="AR155" s="2875"/>
    </row>
    <row customHeight="1" ht="17.25">
      <c r="A156" s="1881"/>
      <c r="B156" s="2875"/>
      <c r="C156" s="1886"/>
      <c r="D156" s="1871"/>
      <c r="E156" s="1888"/>
      <c r="F156" s="1825"/>
      <c r="G156" s="1889"/>
      <c r="H156" s="2354"/>
      <c r="I156" s="2354"/>
      <c r="J156" s="2390"/>
      <c r="K156" s="1986"/>
      <c r="L156" s="310"/>
      <c r="M156" s="311"/>
      <c r="N156" s="311" t="s">
        <v>329</v>
      </c>
      <c r="O156" s="311"/>
      <c r="P156" s="311"/>
      <c r="Q156" s="311"/>
      <c r="R156" s="311"/>
      <c r="S156" s="1887"/>
      <c r="T156" s="1887"/>
      <c r="U156" s="1887"/>
      <c r="V156" s="1887"/>
      <c r="W156" s="312"/>
      <c r="X156" s="2875"/>
      <c r="Y156" s="1288"/>
      <c r="Z156" s="1288"/>
      <c r="AA156" s="1288"/>
      <c r="AB156" s="1288"/>
      <c r="AC156" s="1288"/>
      <c r="AD156" s="1288"/>
      <c r="AE156" s="1288"/>
      <c r="AF156" s="1288"/>
      <c r="AG156" s="1288"/>
      <c r="AH156" s="1288"/>
      <c r="AI156" s="1288"/>
      <c r="AJ156" s="1288"/>
      <c r="AK156" s="1288"/>
      <c r="AL156" s="2875"/>
      <c r="AM156" s="2875"/>
      <c r="AN156" s="2875"/>
      <c r="AO156" s="2875"/>
      <c r="AP156" s="2875"/>
      <c r="AQ156" s="2875"/>
      <c r="AR156" s="2875"/>
    </row>
    <row s="2863" customFormat="1" customHeight="1" ht="17.25">
      <c r="A157" s="314"/>
      <c r="C157" s="313"/>
      <c r="D157" s="1992"/>
      <c r="E157" s="1994"/>
      <c r="F157" s="1997"/>
      <c r="G157" s="2894"/>
      <c r="H157" s="2936"/>
      <c r="I157" s="2937"/>
      <c r="J157" s="2938" t="s">
        <v>398</v>
      </c>
      <c r="K157" s="2939"/>
      <c r="L157" s="2940"/>
      <c r="M157" s="2941"/>
      <c r="N157" s="2942"/>
      <c r="O157" s="2943"/>
      <c r="P157" s="2944"/>
      <c r="Q157" s="2945"/>
      <c r="R157" s="2946"/>
      <c r="S157" s="2947"/>
      <c r="T157" s="2948"/>
      <c r="U157" s="2949"/>
      <c r="V157" s="2950"/>
      <c r="W157" s="2951"/>
      <c r="X157" s="1288"/>
      <c r="Y157" s="1288"/>
      <c r="Z157" s="1288"/>
      <c r="AA157" s="1288"/>
      <c r="AB157" s="1288"/>
      <c r="AC157" s="1288"/>
      <c r="AD157" s="1288"/>
      <c r="AE157" s="1288"/>
      <c r="AF157" s="1288"/>
      <c r="AG157" s="1288"/>
      <c r="AH157" s="1288"/>
      <c r="AI157" s="1288"/>
      <c r="AJ157" s="1288"/>
      <c r="AK157" s="1288"/>
      <c r="AL157" s="1288"/>
      <c r="AM157" s="1288"/>
      <c r="AN157" s="1288"/>
      <c r="AO157" s="1288"/>
      <c r="AP157" s="1288"/>
      <c r="AQ157" s="1288"/>
    </row>
    <row s="2863" customFormat="1" customHeight="1" ht="17.25">
      <c r="A158" s="314"/>
      <c r="C158" s="195"/>
      <c r="D158" s="1991">
        <v>4</v>
      </c>
      <c r="E158" s="1993" t="s">
        <v>399</v>
      </c>
      <c r="F158" s="1995" t="s">
        <v>58</v>
      </c>
      <c r="G158" s="1993"/>
      <c r="H158" s="1998"/>
      <c r="I158" s="2000"/>
      <c r="J158" s="2002"/>
      <c r="K158" s="1989"/>
      <c r="L158" s="1989"/>
      <c r="M158" s="1989"/>
      <c r="N158" s="2005"/>
      <c r="O158" s="1989"/>
      <c r="P158" s="1989"/>
      <c r="Q158" s="1989"/>
      <c r="R158" s="2008"/>
      <c r="S158" s="1989"/>
      <c r="T158" s="1450"/>
      <c r="U158" s="1450"/>
      <c r="V158" s="1449"/>
      <c r="W158" s="1326"/>
      <c r="X158" s="1296"/>
      <c r="Y158" s="1296"/>
      <c r="Z158" s="1296"/>
      <c r="AA158" s="1296"/>
      <c r="AB158" s="1296"/>
      <c r="AC158" s="1296" t="s">
        <v>400</v>
      </c>
      <c r="AD158" s="1296" t="s">
        <v>401</v>
      </c>
      <c r="AE158" s="1296" t="s">
        <v>402</v>
      </c>
      <c r="AF158" s="1296" t="s">
        <v>403</v>
      </c>
      <c r="AG158" s="1296" t="s">
        <v>404</v>
      </c>
      <c r="AH158" s="1296" t="str">
        <f>IF($E$158=0,"",$E$158)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158" s="1296" t="str">
        <f>IF($G$158=0,"",$G$158)</f>
        <v/>
      </c>
      <c r="AJ158" s="1296" t="str">
        <f>IF($J$158=0,"",$J$158)</f>
        <v/>
      </c>
      <c r="AK158" s="1296" t="str">
        <f>IF($K$158="нет","без дифференциации",IF($N$158=0,"",$N$158))</f>
        <v/>
      </c>
      <c r="AL158" s="1296" t="str">
        <f>IF($O$158="нет","без дифференциации",IF($R$158=0,"",$R$158))</f>
        <v/>
      </c>
      <c r="AM158" s="1296" t="str">
        <f>IF($S$158="нет","без дифференциации",IF($V$158=0,"",$V$158))</f>
        <v/>
      </c>
      <c r="AN158" s="1813">
        <f>$I$158</f>
        <v>0</v>
      </c>
      <c r="AO158" s="1296" t="str">
        <f>$I$158&amp;"."&amp;$M$158</f>
        <v>.</v>
      </c>
      <c r="AP158" s="1288" t="str">
        <f>$I$158&amp;"."&amp;$M$158&amp;"."&amp;$Q$158</f>
        <v>..</v>
      </c>
      <c r="AQ158" s="1288" t="str">
        <f>$I$158&amp;"."&amp;$M$158&amp;"."&amp;$Q$158&amp;"."&amp;$U$158</f>
        <v>...</v>
      </c>
    </row>
    <row s="2863" customFormat="1" customHeight="1" ht="17.25">
      <c r="A159" s="314"/>
      <c r="C159" s="313"/>
      <c r="D159" s="1991"/>
      <c r="E159" s="1993"/>
      <c r="F159" s="1996"/>
      <c r="G159" s="1993"/>
      <c r="H159" s="1999"/>
      <c r="I159" s="2001"/>
      <c r="J159" s="2003"/>
      <c r="K159" s="1990"/>
      <c r="L159" s="1990"/>
      <c r="M159" s="1990"/>
      <c r="N159" s="2006"/>
      <c r="O159" s="1990"/>
      <c r="P159" s="1990"/>
      <c r="Q159" s="1990"/>
      <c r="R159" s="2007"/>
      <c r="S159" s="1990"/>
      <c r="T159" s="1327"/>
      <c r="U159" s="1327"/>
      <c r="V159" s="1327"/>
      <c r="W159" s="1328"/>
      <c r="X159" s="1288"/>
      <c r="Y159" s="1288"/>
      <c r="Z159" s="1288"/>
      <c r="AA159" s="1288"/>
      <c r="AB159" s="1288"/>
      <c r="AC159" s="1288"/>
      <c r="AD159" s="1288"/>
      <c r="AE159" s="1288"/>
      <c r="AF159" s="1288"/>
      <c r="AG159" s="1288"/>
      <c r="AH159" s="1288"/>
      <c r="AI159" s="1288"/>
      <c r="AJ159" s="1288"/>
      <c r="AK159" s="1288"/>
      <c r="AL159" s="1288"/>
      <c r="AM159" s="1288"/>
      <c r="AN159" s="1288"/>
      <c r="AO159" s="1288"/>
      <c r="AP159" s="1288"/>
      <c r="AQ159" s="1288"/>
    </row>
    <row s="2863" customFormat="1" customHeight="1" ht="17.25">
      <c r="A160" s="314"/>
      <c r="C160" s="313"/>
      <c r="D160" s="1992"/>
      <c r="E160" s="1994"/>
      <c r="F160" s="1996"/>
      <c r="G160" s="1994"/>
      <c r="H160" s="1999"/>
      <c r="I160" s="2001"/>
      <c r="J160" s="2004"/>
      <c r="K160" s="1990"/>
      <c r="L160" s="1990"/>
      <c r="M160" s="1990"/>
      <c r="N160" s="2007"/>
      <c r="O160" s="1990"/>
      <c r="P160" s="1448"/>
      <c r="Q160" s="1327"/>
      <c r="R160" s="1327"/>
      <c r="S160" s="325"/>
      <c r="T160" s="325"/>
      <c r="U160" s="325"/>
      <c r="V160" s="325"/>
      <c r="W160" s="1328"/>
      <c r="X160" s="1288"/>
      <c r="Y160" s="1288"/>
      <c r="Z160" s="1288"/>
      <c r="AA160" s="1288"/>
      <c r="AB160" s="1288"/>
      <c r="AC160" s="1288"/>
      <c r="AD160" s="1288"/>
      <c r="AE160" s="1288"/>
      <c r="AF160" s="1288"/>
      <c r="AG160" s="1288"/>
      <c r="AH160" s="1288"/>
      <c r="AI160" s="1288"/>
      <c r="AJ160" s="1288"/>
      <c r="AK160" s="1288"/>
      <c r="AL160" s="1288"/>
      <c r="AM160" s="1288"/>
      <c r="AN160" s="1288"/>
      <c r="AO160" s="1288"/>
      <c r="AP160" s="1288"/>
      <c r="AQ160" s="1288"/>
    </row>
    <row s="2863" customFormat="1" customHeight="1" ht="17.25">
      <c r="A161" s="314"/>
      <c r="C161" s="313"/>
      <c r="D161" s="1992"/>
      <c r="E161" s="1994"/>
      <c r="F161" s="1996"/>
      <c r="G161" s="1994"/>
      <c r="H161" s="1999"/>
      <c r="I161" s="2001"/>
      <c r="J161" s="2004"/>
      <c r="K161" s="1990"/>
      <c r="L161" s="1327"/>
      <c r="M161" s="1327"/>
      <c r="N161" s="1327"/>
      <c r="O161" s="1327"/>
      <c r="P161" s="1327"/>
      <c r="Q161" s="1327"/>
      <c r="R161" s="1327"/>
      <c r="S161" s="325"/>
      <c r="T161" s="325"/>
      <c r="U161" s="325"/>
      <c r="V161" s="325"/>
      <c r="W161" s="1328"/>
      <c r="X161" s="1288"/>
      <c r="Y161" s="1288"/>
      <c r="Z161" s="1288"/>
      <c r="AA161" s="1288"/>
      <c r="AB161" s="1288"/>
      <c r="AC161" s="1288"/>
      <c r="AD161" s="1288"/>
      <c r="AE161" s="1288"/>
      <c r="AF161" s="1288"/>
      <c r="AG161" s="1288"/>
      <c r="AH161" s="1288"/>
      <c r="AI161" s="1288"/>
      <c r="AJ161" s="1288"/>
      <c r="AK161" s="1288"/>
      <c r="AL161" s="1288"/>
      <c r="AM161" s="1288"/>
      <c r="AN161" s="1288"/>
      <c r="AO161" s="1288"/>
      <c r="AP161" s="1288"/>
      <c r="AQ161" s="1288"/>
    </row>
    <row s="2863" customFormat="1" customHeight="1" ht="17.25">
      <c r="A162" s="314"/>
      <c r="C162" s="313"/>
      <c r="D162" s="1992"/>
      <c r="E162" s="1994"/>
      <c r="F162" s="1997"/>
      <c r="G162" s="1994"/>
      <c r="H162" s="1329"/>
      <c r="I162" s="1330"/>
      <c r="J162" s="1330"/>
      <c r="K162" s="1330"/>
      <c r="L162" s="1330"/>
      <c r="M162" s="1330"/>
      <c r="N162" s="1330"/>
      <c r="O162" s="1330"/>
      <c r="P162" s="1330"/>
      <c r="Q162" s="1330"/>
      <c r="R162" s="1330"/>
      <c r="S162" s="1331"/>
      <c r="T162" s="1331"/>
      <c r="U162" s="1331"/>
      <c r="V162" s="1331"/>
      <c r="W162" s="1332"/>
      <c r="X162" s="1288"/>
      <c r="Y162" s="1288"/>
      <c r="Z162" s="1288"/>
      <c r="AA162" s="1288"/>
      <c r="AB162" s="1288"/>
      <c r="AC162" s="1288"/>
      <c r="AD162" s="1288"/>
      <c r="AE162" s="1288"/>
      <c r="AF162" s="1288"/>
      <c r="AG162" s="1288"/>
      <c r="AH162" s="1288"/>
      <c r="AI162" s="1288"/>
      <c r="AJ162" s="1288"/>
      <c r="AK162" s="1288"/>
      <c r="AL162" s="1288"/>
      <c r="AM162" s="1288"/>
      <c r="AN162" s="1288"/>
      <c r="AO162" s="1288"/>
      <c r="AP162" s="1288"/>
      <c r="AQ162" s="1288"/>
    </row>
    <row s="2863" customFormat="1" customHeight="1" ht="17.25">
      <c r="A163" s="314"/>
      <c r="C163" s="195"/>
      <c r="D163" s="1991">
        <v>5</v>
      </c>
      <c r="E163" s="1993" t="s">
        <v>405</v>
      </c>
      <c r="F163" s="1995" t="s">
        <v>58</v>
      </c>
      <c r="G163" s="1993"/>
      <c r="H163" s="1998"/>
      <c r="I163" s="2000"/>
      <c r="J163" s="2002"/>
      <c r="K163" s="1989"/>
      <c r="L163" s="1989"/>
      <c r="M163" s="1989"/>
      <c r="N163" s="2005"/>
      <c r="O163" s="1989"/>
      <c r="P163" s="1989"/>
      <c r="Q163" s="1989"/>
      <c r="R163" s="2008"/>
      <c r="S163" s="1989"/>
      <c r="T163" s="1450"/>
      <c r="U163" s="1450"/>
      <c r="V163" s="1449"/>
      <c r="W163" s="1326"/>
      <c r="X163" s="1296"/>
      <c r="Y163" s="1296"/>
      <c r="Z163" s="1296"/>
      <c r="AA163" s="1296"/>
      <c r="AB163" s="1296"/>
      <c r="AC163" s="1296" t="s">
        <v>406</v>
      </c>
      <c r="AD163" s="1296" t="s">
        <v>407</v>
      </c>
      <c r="AE163" s="1296" t="s">
        <v>408</v>
      </c>
      <c r="AF163" s="1296" t="s">
        <v>409</v>
      </c>
      <c r="AG163" s="1296" t="s">
        <v>410</v>
      </c>
      <c r="AH163" s="1296" t="str">
        <f>IF($E$163=0,"",$E$163)</f>
        <v>Тарифы на услуги по передаче тепловой энергии</v>
      </c>
      <c r="AI163" s="1296" t="str">
        <f>IF($G$163=0,"",$G$163)</f>
        <v/>
      </c>
      <c r="AJ163" s="1296" t="str">
        <f>IF($J$163=0,"",$J$163)</f>
        <v/>
      </c>
      <c r="AK163" s="1296" t="str">
        <f>IF($K$163="нет","без дифференциации",IF($N$163=0,"",$N$163))</f>
        <v/>
      </c>
      <c r="AL163" s="1296" t="str">
        <f>IF($O$163="нет","без дифференциации",IF($R$163=0,"",$R$163))</f>
        <v/>
      </c>
      <c r="AM163" s="1296" t="str">
        <f>IF($S$163="нет","без дифференциации",IF($V$163=0,"",$V$163))</f>
        <v/>
      </c>
      <c r="AN163" s="1813">
        <f>$I$163</f>
        <v>0</v>
      </c>
      <c r="AO163" s="1296" t="str">
        <f>$I$163&amp;"."&amp;$M$163</f>
        <v>.</v>
      </c>
      <c r="AP163" s="1288" t="str">
        <f>$I$163&amp;"."&amp;$M$163&amp;"."&amp;$Q$163</f>
        <v>..</v>
      </c>
      <c r="AQ163" s="1288" t="str">
        <f>$I$163&amp;"."&amp;$M$163&amp;"."&amp;$Q$163&amp;"."&amp;$U$163</f>
        <v>...</v>
      </c>
    </row>
    <row s="2863" customFormat="1" customHeight="1" ht="17.25">
      <c r="A164" s="314"/>
      <c r="C164" s="313"/>
      <c r="D164" s="1991"/>
      <c r="E164" s="1993"/>
      <c r="F164" s="1996"/>
      <c r="G164" s="1993"/>
      <c r="H164" s="1999"/>
      <c r="I164" s="2001"/>
      <c r="J164" s="2003"/>
      <c r="K164" s="1990"/>
      <c r="L164" s="1990"/>
      <c r="M164" s="1990"/>
      <c r="N164" s="2006"/>
      <c r="O164" s="1990"/>
      <c r="P164" s="1990"/>
      <c r="Q164" s="1990"/>
      <c r="R164" s="2007"/>
      <c r="S164" s="1990"/>
      <c r="T164" s="1327"/>
      <c r="U164" s="1327"/>
      <c r="V164" s="1327"/>
      <c r="W164" s="1328"/>
      <c r="X164" s="1288"/>
      <c r="Y164" s="1288"/>
      <c r="Z164" s="1288"/>
      <c r="AA164" s="1288"/>
      <c r="AB164" s="1288"/>
      <c r="AC164" s="1288"/>
      <c r="AD164" s="1288"/>
      <c r="AE164" s="1288"/>
      <c r="AF164" s="1288"/>
      <c r="AG164" s="1288"/>
      <c r="AH164" s="1288"/>
      <c r="AI164" s="1288"/>
      <c r="AJ164" s="1288"/>
      <c r="AK164" s="1288"/>
      <c r="AL164" s="1288"/>
      <c r="AM164" s="1288"/>
      <c r="AN164" s="1288"/>
      <c r="AO164" s="1288"/>
      <c r="AP164" s="1288"/>
      <c r="AQ164" s="1288"/>
    </row>
    <row s="2863" customFormat="1" customHeight="1" ht="17.25">
      <c r="A165" s="314"/>
      <c r="C165" s="313"/>
      <c r="D165" s="1992"/>
      <c r="E165" s="1994"/>
      <c r="F165" s="1996"/>
      <c r="G165" s="1994"/>
      <c r="H165" s="1999"/>
      <c r="I165" s="2001"/>
      <c r="J165" s="2004"/>
      <c r="K165" s="1990"/>
      <c r="L165" s="1990"/>
      <c r="M165" s="1990"/>
      <c r="N165" s="2007"/>
      <c r="O165" s="1990"/>
      <c r="P165" s="1448"/>
      <c r="Q165" s="1327"/>
      <c r="R165" s="1327"/>
      <c r="S165" s="325"/>
      <c r="T165" s="325"/>
      <c r="U165" s="325"/>
      <c r="V165" s="325"/>
      <c r="W165" s="1328"/>
      <c r="X165" s="1288"/>
      <c r="Y165" s="1288"/>
      <c r="Z165" s="1288"/>
      <c r="AA165" s="1288"/>
      <c r="AB165" s="1288"/>
      <c r="AC165" s="1288"/>
      <c r="AD165" s="1288"/>
      <c r="AE165" s="1288"/>
      <c r="AF165" s="1288"/>
      <c r="AG165" s="1288"/>
      <c r="AH165" s="1288"/>
      <c r="AI165" s="1288"/>
      <c r="AJ165" s="1288"/>
      <c r="AK165" s="1288"/>
      <c r="AL165" s="1288"/>
      <c r="AM165" s="1288"/>
      <c r="AN165" s="1288"/>
      <c r="AO165" s="1288"/>
      <c r="AP165" s="1288"/>
      <c r="AQ165" s="1288"/>
    </row>
    <row s="2863" customFormat="1" customHeight="1" ht="17.25">
      <c r="A166" s="314"/>
      <c r="C166" s="313"/>
      <c r="D166" s="1992"/>
      <c r="E166" s="1994"/>
      <c r="F166" s="1996"/>
      <c r="G166" s="1994"/>
      <c r="H166" s="1999"/>
      <c r="I166" s="2001"/>
      <c r="J166" s="2004"/>
      <c r="K166" s="1990"/>
      <c r="L166" s="1327"/>
      <c r="M166" s="1327"/>
      <c r="N166" s="1327"/>
      <c r="O166" s="1327"/>
      <c r="P166" s="1327"/>
      <c r="Q166" s="1327"/>
      <c r="R166" s="1327"/>
      <c r="S166" s="325"/>
      <c r="T166" s="325"/>
      <c r="U166" s="325"/>
      <c r="V166" s="325"/>
      <c r="W166" s="1328"/>
      <c r="X166" s="1288"/>
      <c r="Y166" s="1288"/>
      <c r="Z166" s="1288"/>
      <c r="AA166" s="1288"/>
      <c r="AB166" s="1288"/>
      <c r="AC166" s="1288"/>
      <c r="AD166" s="1288"/>
      <c r="AE166" s="1288"/>
      <c r="AF166" s="1288"/>
      <c r="AG166" s="1288"/>
      <c r="AH166" s="1288"/>
      <c r="AI166" s="1288"/>
      <c r="AJ166" s="1288"/>
      <c r="AK166" s="1288"/>
      <c r="AL166" s="1288"/>
      <c r="AM166" s="1288"/>
      <c r="AN166" s="1288"/>
      <c r="AO166" s="1288"/>
      <c r="AP166" s="1288"/>
      <c r="AQ166" s="1288"/>
    </row>
    <row s="2863" customFormat="1" customHeight="1" ht="17.25">
      <c r="A167" s="314"/>
      <c r="C167" s="313"/>
      <c r="D167" s="1992"/>
      <c r="E167" s="1994"/>
      <c r="F167" s="1997"/>
      <c r="G167" s="1994"/>
      <c r="H167" s="1329"/>
      <c r="I167" s="1330"/>
      <c r="J167" s="1330"/>
      <c r="K167" s="1330"/>
      <c r="L167" s="1330"/>
      <c r="M167" s="1330"/>
      <c r="N167" s="1330"/>
      <c r="O167" s="1330"/>
      <c r="P167" s="1330"/>
      <c r="Q167" s="1330"/>
      <c r="R167" s="1330"/>
      <c r="S167" s="1331"/>
      <c r="T167" s="1331"/>
      <c r="U167" s="1331"/>
      <c r="V167" s="1331"/>
      <c r="W167" s="1332"/>
      <c r="X167" s="1288"/>
      <c r="Y167" s="1288"/>
      <c r="Z167" s="1288"/>
      <c r="AA167" s="1288"/>
      <c r="AB167" s="1288"/>
      <c r="AC167" s="1288"/>
      <c r="AD167" s="1288"/>
      <c r="AE167" s="1288"/>
      <c r="AF167" s="1288"/>
      <c r="AG167" s="1288"/>
      <c r="AH167" s="1288"/>
      <c r="AI167" s="1288"/>
      <c r="AJ167" s="1288"/>
      <c r="AK167" s="1288"/>
      <c r="AL167" s="1288"/>
      <c r="AM167" s="1288"/>
      <c r="AN167" s="1288"/>
      <c r="AO167" s="1288"/>
      <c r="AP167" s="1288"/>
      <c r="AQ167" s="1288"/>
    </row>
    <row s="2863" customFormat="1" customHeight="1" ht="17.25">
      <c r="A168" s="314"/>
      <c r="C168" s="195"/>
      <c r="D168" s="1991">
        <v>6</v>
      </c>
      <c r="E168" s="1993" t="s">
        <v>411</v>
      </c>
      <c r="F168" s="1995" t="s">
        <v>58</v>
      </c>
      <c r="G168" s="1993"/>
      <c r="H168" s="1998"/>
      <c r="I168" s="2000"/>
      <c r="J168" s="2002"/>
      <c r="K168" s="1989"/>
      <c r="L168" s="1989"/>
      <c r="M168" s="1989"/>
      <c r="N168" s="2005"/>
      <c r="O168" s="1989"/>
      <c r="P168" s="1989"/>
      <c r="Q168" s="1989"/>
      <c r="R168" s="2008"/>
      <c r="S168" s="1989"/>
      <c r="T168" s="1450"/>
      <c r="U168" s="1450"/>
      <c r="V168" s="1449"/>
      <c r="W168" s="1326"/>
      <c r="X168" s="1296"/>
      <c r="Y168" s="1296"/>
      <c r="Z168" s="1296"/>
      <c r="AA168" s="1296"/>
      <c r="AB168" s="1296"/>
      <c r="AC168" s="1296" t="s">
        <v>412</v>
      </c>
      <c r="AD168" s="1296" t="s">
        <v>413</v>
      </c>
      <c r="AE168" s="1296" t="s">
        <v>414</v>
      </c>
      <c r="AF168" s="1296" t="s">
        <v>415</v>
      </c>
      <c r="AG168" s="1296" t="s">
        <v>416</v>
      </c>
      <c r="AH168" s="1296" t="str">
        <f>IF($E$168=0,"",$E$168)</f>
        <v>Тарифы на услуги по передаче теплоносителя</v>
      </c>
      <c r="AI168" s="1296" t="str">
        <f>IF($G$168=0,"",$G$168)</f>
        <v/>
      </c>
      <c r="AJ168" s="1296" t="str">
        <f>IF($J$168=0,"",$J$168)</f>
        <v/>
      </c>
      <c r="AK168" s="1296" t="str">
        <f>IF($K$168="нет","без дифференциации",IF($N$168=0,"",$N$168))</f>
        <v/>
      </c>
      <c r="AL168" s="1296" t="str">
        <f>IF($O$168="нет","без дифференциации",IF($R$168=0,"",$R$168))</f>
        <v/>
      </c>
      <c r="AM168" s="1296" t="str">
        <f>IF($S$168="нет","без дифференциации",IF($V$168=0,"",$V$168))</f>
        <v/>
      </c>
      <c r="AN168" s="1813">
        <f>$I$168</f>
        <v>0</v>
      </c>
      <c r="AO168" s="1296" t="str">
        <f>$I$168&amp;"."&amp;$M$168</f>
        <v>.</v>
      </c>
      <c r="AP168" s="1288" t="str">
        <f>$I$168&amp;"."&amp;$M$168&amp;"."&amp;$Q$168</f>
        <v>..</v>
      </c>
      <c r="AQ168" s="1288" t="str">
        <f>$I$168&amp;"."&amp;$M$168&amp;"."&amp;$Q$168&amp;"."&amp;$U$168</f>
        <v>...</v>
      </c>
    </row>
    <row s="2863" customFormat="1" customHeight="1" ht="17.25">
      <c r="A169" s="314"/>
      <c r="C169" s="313"/>
      <c r="D169" s="1991"/>
      <c r="E169" s="1993"/>
      <c r="F169" s="1996"/>
      <c r="G169" s="1993"/>
      <c r="H169" s="1999"/>
      <c r="I169" s="2001"/>
      <c r="J169" s="2003"/>
      <c r="K169" s="1990"/>
      <c r="L169" s="1990"/>
      <c r="M169" s="1990"/>
      <c r="N169" s="2006"/>
      <c r="O169" s="1990"/>
      <c r="P169" s="1990"/>
      <c r="Q169" s="1990"/>
      <c r="R169" s="2007"/>
      <c r="S169" s="1990"/>
      <c r="T169" s="1327"/>
      <c r="U169" s="1327"/>
      <c r="V169" s="1327"/>
      <c r="W169" s="1328"/>
      <c r="X169" s="1288"/>
      <c r="Y169" s="1288"/>
      <c r="Z169" s="1288"/>
      <c r="AA169" s="1288"/>
      <c r="AB169" s="1288"/>
      <c r="AC169" s="1288"/>
      <c r="AD169" s="1288"/>
      <c r="AE169" s="1288"/>
      <c r="AF169" s="1288"/>
      <c r="AG169" s="1288"/>
      <c r="AH169" s="1288"/>
      <c r="AI169" s="1288"/>
      <c r="AJ169" s="1288"/>
      <c r="AK169" s="1288"/>
      <c r="AL169" s="1288"/>
      <c r="AM169" s="1288"/>
      <c r="AN169" s="1288"/>
      <c r="AO169" s="1288"/>
      <c r="AP169" s="1288"/>
      <c r="AQ169" s="1288"/>
    </row>
    <row s="2863" customFormat="1" customHeight="1" ht="17.25">
      <c r="A170" s="314"/>
      <c r="C170" s="313"/>
      <c r="D170" s="1992"/>
      <c r="E170" s="1994"/>
      <c r="F170" s="1996"/>
      <c r="G170" s="1994"/>
      <c r="H170" s="1999"/>
      <c r="I170" s="2001"/>
      <c r="J170" s="2004"/>
      <c r="K170" s="1990"/>
      <c r="L170" s="1990"/>
      <c r="M170" s="1990"/>
      <c r="N170" s="2007"/>
      <c r="O170" s="1990"/>
      <c r="P170" s="1448"/>
      <c r="Q170" s="1327"/>
      <c r="R170" s="1327"/>
      <c r="S170" s="325"/>
      <c r="T170" s="325"/>
      <c r="U170" s="325"/>
      <c r="V170" s="325"/>
      <c r="W170" s="1328"/>
      <c r="X170" s="1288"/>
      <c r="Y170" s="1288"/>
      <c r="Z170" s="1288"/>
      <c r="AA170" s="1288"/>
      <c r="AB170" s="1288"/>
      <c r="AC170" s="1288"/>
      <c r="AD170" s="1288"/>
      <c r="AE170" s="1288"/>
      <c r="AF170" s="1288"/>
      <c r="AG170" s="1288"/>
      <c r="AH170" s="1288"/>
      <c r="AI170" s="1288"/>
      <c r="AJ170" s="1288"/>
      <c r="AK170" s="1288"/>
      <c r="AL170" s="1288"/>
      <c r="AM170" s="1288"/>
      <c r="AN170" s="1288"/>
      <c r="AO170" s="1288"/>
      <c r="AP170" s="1288"/>
      <c r="AQ170" s="1288"/>
    </row>
    <row s="2952" customFormat="1" customHeight="1" ht="17.25">
      <c r="A171" s="314"/>
      <c r="C171" s="195"/>
      <c r="D171" s="1992"/>
      <c r="E171" s="1994"/>
      <c r="F171" s="1996"/>
      <c r="G171" s="1994"/>
      <c r="H171" s="1999"/>
      <c r="I171" s="2001"/>
      <c r="J171" s="2004"/>
      <c r="K171" s="1990"/>
      <c r="L171" s="1327"/>
      <c r="M171" s="1327"/>
      <c r="N171" s="1327"/>
      <c r="O171" s="1327"/>
      <c r="P171" s="1327"/>
      <c r="Q171" s="1327"/>
      <c r="R171" s="1327"/>
      <c r="S171" s="325"/>
      <c r="T171" s="325"/>
      <c r="U171" s="325"/>
      <c r="V171" s="325"/>
      <c r="W171" s="1328"/>
      <c r="Y171" s="1296"/>
      <c r="Z171" s="1296"/>
      <c r="AA171" s="1296"/>
      <c r="AB171" s="1296"/>
      <c r="AC171" s="1296"/>
      <c r="AD171" s="1296"/>
      <c r="AE171" s="1296"/>
      <c r="AF171" s="1296"/>
      <c r="AG171" s="1296"/>
      <c r="AH171" s="1296"/>
      <c r="AI171" s="1296"/>
      <c r="AJ171" s="1296"/>
      <c r="AK171" s="1296"/>
      <c r="AL171" s="1296"/>
      <c r="AM171" s="1296"/>
      <c r="AN171" s="1296"/>
      <c r="AO171" s="1296"/>
      <c r="AP171" s="1296"/>
      <c r="AQ171" s="1296"/>
    </row>
    <row s="2863" customFormat="1" customHeight="1" ht="17.25">
      <c r="A172" s="314"/>
      <c r="C172" s="313"/>
      <c r="D172" s="1992"/>
      <c r="E172" s="1994"/>
      <c r="F172" s="1997"/>
      <c r="G172" s="1994"/>
      <c r="H172" s="1329"/>
      <c r="I172" s="1330"/>
      <c r="J172" s="1330"/>
      <c r="K172" s="1330"/>
      <c r="L172" s="1330"/>
      <c r="M172" s="1330"/>
      <c r="N172" s="1330"/>
      <c r="O172" s="1330"/>
      <c r="P172" s="1330"/>
      <c r="Q172" s="1330"/>
      <c r="R172" s="1330"/>
      <c r="S172" s="1331"/>
      <c r="T172" s="1331"/>
      <c r="U172" s="1331"/>
      <c r="V172" s="1331"/>
      <c r="W172" s="1332"/>
      <c r="X172" s="1288"/>
      <c r="Y172" s="1288"/>
      <c r="Z172" s="1288"/>
      <c r="AA172" s="1288"/>
      <c r="AB172" s="1288"/>
      <c r="AC172" s="1288"/>
      <c r="AD172" s="1288"/>
      <c r="AE172" s="1288"/>
      <c r="AF172" s="1288"/>
      <c r="AG172" s="1288"/>
      <c r="AH172" s="1288"/>
      <c r="AI172" s="1288"/>
      <c r="AJ172" s="1288"/>
      <c r="AK172" s="1288"/>
      <c r="AL172" s="1288"/>
      <c r="AM172" s="1288"/>
      <c r="AN172" s="1288"/>
      <c r="AO172" s="1288"/>
      <c r="AP172" s="1288"/>
      <c r="AQ172" s="1288"/>
    </row>
    <row s="2953" customFormat="1" customHeight="1" ht="17.25">
      <c r="A173" s="314"/>
      <c r="C173" s="195"/>
      <c r="D173" s="2012">
        <v>7</v>
      </c>
      <c r="E173" s="2015" t="s">
        <v>417</v>
      </c>
      <c r="F173" s="1995" t="s">
        <v>58</v>
      </c>
      <c r="G173" s="2015"/>
      <c r="H173" s="1998"/>
      <c r="I173" s="2000"/>
      <c r="J173" s="2002"/>
      <c r="K173" s="1989"/>
      <c r="L173" s="1989"/>
      <c r="M173" s="1989"/>
      <c r="N173" s="2005"/>
      <c r="O173" s="1989"/>
      <c r="P173" s="1989"/>
      <c r="Q173" s="1989"/>
      <c r="R173" s="2008"/>
      <c r="S173" s="1989"/>
      <c r="T173" s="1450"/>
      <c r="U173" s="1450"/>
      <c r="V173" s="1449"/>
      <c r="W173" s="1326"/>
      <c r="X173" s="1296"/>
      <c r="Y173" s="1296"/>
      <c r="Z173" s="1296"/>
      <c r="AA173" s="1296"/>
      <c r="AB173" s="1296"/>
      <c r="AC173" s="1296" t="s">
        <v>418</v>
      </c>
      <c r="AD173" s="1296" t="s">
        <v>419</v>
      </c>
      <c r="AE173" s="1296" t="s">
        <v>420</v>
      </c>
      <c r="AF173" s="1296" t="s">
        <v>421</v>
      </c>
      <c r="AG173" s="1296" t="s">
        <v>422</v>
      </c>
      <c r="AH173" s="1296" t="str">
        <f>IF($E$173=0,"",$E$173)</f>
        <v>Плата за услуги по поддержанию резервной тепловой мощности при отсутствии потребления тепловой энергии</v>
      </c>
      <c r="AI173" s="1296" t="str">
        <f>IF($G$173=0,"",$G$173)</f>
        <v/>
      </c>
      <c r="AJ173" s="1296" t="str">
        <f>IF($J$173=0,"",$J$173)</f>
        <v/>
      </c>
      <c r="AK173" s="1296" t="str">
        <f>IF($K$173="нет","без дифференциации",IF($N$173=0,"",$N$173))</f>
        <v/>
      </c>
      <c r="AL173" s="1296" t="str">
        <f>IF($O$173="нет","без дифференциации",IF($R$173=0,"",$R$173))</f>
        <v/>
      </c>
      <c r="AM173" s="1296" t="str">
        <f>IF($S$173="нет","без дифференциации",IF($V$173=0,"",$V$173))</f>
        <v/>
      </c>
      <c r="AN173" s="1813">
        <f>$I$173</f>
        <v>0</v>
      </c>
      <c r="AO173" s="1296" t="str">
        <f>$I$173&amp;"."&amp;$M$173</f>
        <v>.</v>
      </c>
      <c r="AP173" s="1288" t="str">
        <f>$I$173&amp;"."&amp;$M$173&amp;"."&amp;$Q$173</f>
        <v>..</v>
      </c>
      <c r="AQ173" s="1288" t="str">
        <f>$I$173&amp;"."&amp;$M$173&amp;"."&amp;$Q$173&amp;"."&amp;$U$173</f>
        <v>...</v>
      </c>
    </row>
    <row s="2953" customFormat="1" customHeight="1" ht="17.25">
      <c r="A174" s="314"/>
      <c r="C174" s="313"/>
      <c r="D174" s="2013"/>
      <c r="E174" s="2016"/>
      <c r="F174" s="1996"/>
      <c r="G174" s="2016"/>
      <c r="H174" s="1999"/>
      <c r="I174" s="2001"/>
      <c r="J174" s="2003"/>
      <c r="K174" s="1990"/>
      <c r="L174" s="1990"/>
      <c r="M174" s="1990"/>
      <c r="N174" s="2006"/>
      <c r="O174" s="1990"/>
      <c r="P174" s="1990"/>
      <c r="Q174" s="1990"/>
      <c r="R174" s="2007"/>
      <c r="S174" s="1990"/>
      <c r="T174" s="1327"/>
      <c r="U174" s="1327"/>
      <c r="V174" s="1327"/>
      <c r="W174" s="1328"/>
      <c r="X174" s="1288"/>
      <c r="Y174" s="1288"/>
      <c r="Z174" s="1288"/>
      <c r="AA174" s="1288"/>
      <c r="AB174" s="1288"/>
      <c r="AC174" s="1288"/>
      <c r="AD174" s="1288"/>
      <c r="AE174" s="1288"/>
      <c r="AF174" s="1288"/>
      <c r="AG174" s="1288"/>
      <c r="AH174" s="1288"/>
      <c r="AI174" s="1288"/>
      <c r="AJ174" s="1288"/>
      <c r="AK174" s="1288"/>
      <c r="AL174" s="1288"/>
      <c r="AM174" s="1288"/>
      <c r="AN174" s="1288"/>
      <c r="AO174" s="1288"/>
      <c r="AP174" s="1288"/>
      <c r="AQ174" s="1288"/>
    </row>
    <row s="2953" customFormat="1" customHeight="1" ht="17.25">
      <c r="A175" s="314"/>
      <c r="C175" s="313"/>
      <c r="D175" s="2013"/>
      <c r="E175" s="2016"/>
      <c r="F175" s="1996"/>
      <c r="G175" s="2016"/>
      <c r="H175" s="1999"/>
      <c r="I175" s="2001"/>
      <c r="J175" s="2004"/>
      <c r="K175" s="1990"/>
      <c r="L175" s="1990"/>
      <c r="M175" s="1990"/>
      <c r="N175" s="2007"/>
      <c r="O175" s="1990"/>
      <c r="P175" s="1448"/>
      <c r="Q175" s="1327"/>
      <c r="R175" s="1327"/>
      <c r="S175" s="325"/>
      <c r="T175" s="325"/>
      <c r="U175" s="325"/>
      <c r="V175" s="325"/>
      <c r="W175" s="1328"/>
      <c r="X175" s="1288"/>
      <c r="Y175" s="1288"/>
      <c r="Z175" s="1288"/>
      <c r="AA175" s="1288"/>
      <c r="AB175" s="1288"/>
      <c r="AC175" s="1288"/>
      <c r="AD175" s="1288"/>
      <c r="AE175" s="1288"/>
      <c r="AF175" s="1288"/>
      <c r="AG175" s="1288"/>
      <c r="AH175" s="1288"/>
      <c r="AI175" s="1288"/>
      <c r="AJ175" s="1288"/>
      <c r="AK175" s="1288"/>
      <c r="AL175" s="1288"/>
      <c r="AM175" s="1288"/>
      <c r="AN175" s="1288"/>
      <c r="AO175" s="1288"/>
      <c r="AP175" s="1288"/>
      <c r="AQ175" s="1288"/>
    </row>
    <row s="2952" customFormat="1" customHeight="1" ht="17.25">
      <c r="A176" s="314"/>
      <c r="C176" s="195"/>
      <c r="D176" s="2013"/>
      <c r="E176" s="2016"/>
      <c r="F176" s="1996"/>
      <c r="G176" s="2016"/>
      <c r="H176" s="1999"/>
      <c r="I176" s="2001"/>
      <c r="J176" s="2004"/>
      <c r="K176" s="1990"/>
      <c r="L176" s="1327"/>
      <c r="M176" s="1327"/>
      <c r="N176" s="1327"/>
      <c r="O176" s="1327"/>
      <c r="P176" s="1327"/>
      <c r="Q176" s="1327"/>
      <c r="R176" s="1327"/>
      <c r="S176" s="325"/>
      <c r="T176" s="325"/>
      <c r="U176" s="325"/>
      <c r="V176" s="325"/>
      <c r="W176" s="1328"/>
      <c r="Y176" s="1296"/>
      <c r="Z176" s="1296"/>
      <c r="AA176" s="1296"/>
      <c r="AB176" s="1296"/>
      <c r="AC176" s="1296"/>
      <c r="AD176" s="1296"/>
      <c r="AE176" s="1296"/>
      <c r="AF176" s="1296"/>
      <c r="AG176" s="1296"/>
      <c r="AH176" s="1296"/>
      <c r="AI176" s="1296"/>
      <c r="AJ176" s="1296"/>
      <c r="AK176" s="1296"/>
      <c r="AL176" s="1296"/>
      <c r="AM176" s="1296"/>
      <c r="AN176" s="1296"/>
      <c r="AO176" s="1296"/>
      <c r="AP176" s="1296"/>
      <c r="AQ176" s="1296"/>
    </row>
    <row s="2953" customFormat="1" customHeight="1" ht="17.25">
      <c r="A177" s="314"/>
      <c r="C177" s="313"/>
      <c r="D177" s="2014"/>
      <c r="E177" s="2017"/>
      <c r="F177" s="1997"/>
      <c r="G177" s="2017"/>
      <c r="H177" s="1329"/>
      <c r="I177" s="1330"/>
      <c r="J177" s="1330"/>
      <c r="K177" s="1330"/>
      <c r="L177" s="1330"/>
      <c r="M177" s="1330"/>
      <c r="N177" s="1330"/>
      <c r="O177" s="1330"/>
      <c r="P177" s="1330"/>
      <c r="Q177" s="1330"/>
      <c r="R177" s="1330"/>
      <c r="S177" s="1331"/>
      <c r="T177" s="1331"/>
      <c r="U177" s="1331"/>
      <c r="V177" s="1331"/>
      <c r="W177" s="1332"/>
      <c r="X177" s="1288"/>
      <c r="Y177" s="1288"/>
      <c r="Z177" s="1288"/>
      <c r="AA177" s="1288"/>
      <c r="AB177" s="1288"/>
      <c r="AC177" s="1288"/>
      <c r="AD177" s="1288"/>
      <c r="AE177" s="1288"/>
      <c r="AF177" s="1288"/>
      <c r="AG177" s="1288"/>
      <c r="AH177" s="1288"/>
      <c r="AI177" s="1288"/>
      <c r="AJ177" s="1288"/>
      <c r="AK177" s="1288"/>
      <c r="AL177" s="1288"/>
      <c r="AM177" s="1288"/>
      <c r="AN177" s="1288"/>
      <c r="AO177" s="1288"/>
      <c r="AP177" s="1288"/>
      <c r="AQ177" s="1288"/>
    </row>
    <row s="2953" customFormat="1" customHeight="1" ht="17.25">
      <c r="A178" s="314"/>
      <c r="C178" s="195"/>
      <c r="D178" s="1991">
        <v>8</v>
      </c>
      <c r="E178" s="1993" t="s">
        <v>423</v>
      </c>
      <c r="F178" s="1995" t="s">
        <v>58</v>
      </c>
      <c r="G178" s="1993"/>
      <c r="H178" s="1998"/>
      <c r="I178" s="2000"/>
      <c r="J178" s="2002"/>
      <c r="K178" s="1989"/>
      <c r="L178" s="1989"/>
      <c r="M178" s="1989"/>
      <c r="N178" s="2005"/>
      <c r="O178" s="1989"/>
      <c r="P178" s="1989"/>
      <c r="Q178" s="1989"/>
      <c r="R178" s="2008"/>
      <c r="S178" s="1989"/>
      <c r="T178" s="1500"/>
      <c r="U178" s="1500"/>
      <c r="V178" s="1502"/>
      <c r="W178" s="1326"/>
      <c r="X178" s="1296"/>
      <c r="Y178" s="1296"/>
      <c r="Z178" s="1296"/>
      <c r="AA178" s="1296"/>
      <c r="AB178" s="1296"/>
      <c r="AC178" s="1296" t="s">
        <v>424</v>
      </c>
      <c r="AD178" s="1296" t="s">
        <v>425</v>
      </c>
      <c r="AE178" s="1296" t="s">
        <v>426</v>
      </c>
      <c r="AF178" s="1296" t="s">
        <v>427</v>
      </c>
      <c r="AG178" s="1296" t="s">
        <v>428</v>
      </c>
      <c r="AH178" s="1296" t="str">
        <f>IF($E$178=0,"",$E$178)</f>
        <v>Плата за подключение (технологическое присоединение) к системе теплоснабжения</v>
      </c>
      <c r="AI178" s="1296" t="str">
        <f>IF($G$178=0,"",$G$178)</f>
        <v/>
      </c>
      <c r="AJ178" s="1296" t="str">
        <f>IF($J$178=0,"",$J$178)</f>
        <v/>
      </c>
      <c r="AK178" s="1296" t="str">
        <f>IF($K$178="нет","без дифференциации",IF($N$178=0,"",$N$178))</f>
        <v/>
      </c>
      <c r="AL178" s="1296" t="str">
        <f>IF($O$178="нет","без дифференциации",IF($R$178=0,"",$R$178))</f>
        <v/>
      </c>
      <c r="AM178" s="1296" t="str">
        <f>IF($S$178="нет","без дифференциации",IF($V$178=0,"",$V$178))</f>
        <v/>
      </c>
      <c r="AN178" s="1813">
        <f>$I$178</f>
        <v>0</v>
      </c>
      <c r="AO178" s="1296" t="str">
        <f>$I$178&amp;"."&amp;$M$178</f>
        <v>.</v>
      </c>
      <c r="AP178" s="1288" t="str">
        <f>$I$178&amp;"."&amp;$M$178&amp;"."&amp;$Q$178</f>
        <v>..</v>
      </c>
      <c r="AQ178" s="1288" t="str">
        <f>$I$178&amp;"."&amp;$M$178&amp;"."&amp;$Q$178&amp;"."&amp;$U$178</f>
        <v>...</v>
      </c>
    </row>
    <row s="2953" customFormat="1" customHeight="1" ht="17.25">
      <c r="A179" s="314"/>
      <c r="C179" s="313"/>
      <c r="D179" s="1991"/>
      <c r="E179" s="1993"/>
      <c r="F179" s="1996"/>
      <c r="G179" s="1993"/>
      <c r="H179" s="1999"/>
      <c r="I179" s="2001"/>
      <c r="J179" s="2003"/>
      <c r="K179" s="1990"/>
      <c r="L179" s="1990"/>
      <c r="M179" s="1990"/>
      <c r="N179" s="2006"/>
      <c r="O179" s="1990"/>
      <c r="P179" s="1990"/>
      <c r="Q179" s="1990"/>
      <c r="R179" s="2007"/>
      <c r="S179" s="1990"/>
      <c r="T179" s="1327"/>
      <c r="U179" s="1327"/>
      <c r="V179" s="1327"/>
      <c r="W179" s="1328"/>
      <c r="X179" s="1288"/>
      <c r="Y179" s="1288"/>
      <c r="Z179" s="1288"/>
      <c r="AA179" s="1288"/>
      <c r="AB179" s="1288"/>
      <c r="AC179" s="1288"/>
      <c r="AD179" s="1288"/>
      <c r="AE179" s="1288"/>
      <c r="AF179" s="1288"/>
      <c r="AG179" s="1288"/>
      <c r="AH179" s="1288"/>
      <c r="AI179" s="1288"/>
      <c r="AJ179" s="1288"/>
      <c r="AK179" s="1288"/>
      <c r="AL179" s="1288"/>
      <c r="AM179" s="1288"/>
      <c r="AN179" s="1288"/>
      <c r="AO179" s="1288"/>
      <c r="AP179" s="1288"/>
      <c r="AQ179" s="1288"/>
    </row>
    <row s="2953" customFormat="1" customHeight="1" ht="17.25">
      <c r="A180" s="314"/>
      <c r="C180" s="313"/>
      <c r="D180" s="1992"/>
      <c r="E180" s="1994"/>
      <c r="F180" s="1996"/>
      <c r="G180" s="1994"/>
      <c r="H180" s="1999"/>
      <c r="I180" s="2001"/>
      <c r="J180" s="2004"/>
      <c r="K180" s="1990"/>
      <c r="L180" s="1990"/>
      <c r="M180" s="1990"/>
      <c r="N180" s="2007"/>
      <c r="O180" s="1990"/>
      <c r="P180" s="1501"/>
      <c r="Q180" s="1327"/>
      <c r="R180" s="1327"/>
      <c r="S180" s="325"/>
      <c r="T180" s="325"/>
      <c r="U180" s="325"/>
      <c r="V180" s="325"/>
      <c r="W180" s="1328"/>
      <c r="X180" s="1288"/>
      <c r="Y180" s="1288"/>
      <c r="Z180" s="1288"/>
      <c r="AA180" s="1288"/>
      <c r="AB180" s="1288"/>
      <c r="AC180" s="1288"/>
      <c r="AD180" s="1288"/>
      <c r="AE180" s="1288"/>
      <c r="AF180" s="1288"/>
      <c r="AG180" s="1288"/>
      <c r="AH180" s="1288"/>
      <c r="AI180" s="1288"/>
      <c r="AJ180" s="1288"/>
      <c r="AK180" s="1288"/>
      <c r="AL180" s="1288"/>
      <c r="AM180" s="1288"/>
      <c r="AN180" s="1288"/>
      <c r="AO180" s="1288"/>
      <c r="AP180" s="1288"/>
      <c r="AQ180" s="1288"/>
    </row>
    <row s="2952" customFormat="1" customHeight="1" ht="17.25">
      <c r="A181" s="314"/>
      <c r="C181" s="195"/>
      <c r="D181" s="1992"/>
      <c r="E181" s="1994"/>
      <c r="F181" s="1996"/>
      <c r="G181" s="1994"/>
      <c r="H181" s="1999"/>
      <c r="I181" s="2001"/>
      <c r="J181" s="2004"/>
      <c r="K181" s="1990"/>
      <c r="L181" s="1327"/>
      <c r="M181" s="1327"/>
      <c r="N181" s="1327"/>
      <c r="O181" s="1327"/>
      <c r="P181" s="1327"/>
      <c r="Q181" s="1327"/>
      <c r="R181" s="1327"/>
      <c r="S181" s="325"/>
      <c r="T181" s="325"/>
      <c r="U181" s="325"/>
      <c r="V181" s="325"/>
      <c r="W181" s="1328"/>
      <c r="Y181" s="1296"/>
      <c r="Z181" s="1296"/>
      <c r="AA181" s="1296"/>
      <c r="AB181" s="1296"/>
      <c r="AC181" s="1296"/>
      <c r="AD181" s="1296"/>
      <c r="AE181" s="1296"/>
      <c r="AF181" s="1296"/>
      <c r="AG181" s="1296"/>
      <c r="AH181" s="1296"/>
      <c r="AI181" s="1296"/>
      <c r="AJ181" s="1296"/>
      <c r="AK181" s="1296"/>
      <c r="AL181" s="1296"/>
      <c r="AM181" s="1296"/>
      <c r="AN181" s="1296"/>
      <c r="AO181" s="1296"/>
      <c r="AP181" s="1296"/>
      <c r="AQ181" s="1296"/>
    </row>
    <row s="2953" customFormat="1" customHeight="1" ht="17.25">
      <c r="A182" s="314"/>
      <c r="C182" s="313"/>
      <c r="D182" s="1992"/>
      <c r="E182" s="1994"/>
      <c r="F182" s="1997"/>
      <c r="G182" s="1994"/>
      <c r="H182" s="1329"/>
      <c r="I182" s="1330"/>
      <c r="J182" s="1330"/>
      <c r="K182" s="1330"/>
      <c r="L182" s="1330"/>
      <c r="M182" s="1330"/>
      <c r="N182" s="1330"/>
      <c r="O182" s="1330"/>
      <c r="P182" s="1330"/>
      <c r="Q182" s="1330"/>
      <c r="R182" s="1330"/>
      <c r="S182" s="1331"/>
      <c r="T182" s="1331"/>
      <c r="U182" s="1331"/>
      <c r="V182" s="1331"/>
      <c r="W182" s="1332"/>
      <c r="X182" s="1288"/>
      <c r="Y182" s="1288"/>
      <c r="Z182" s="1288"/>
      <c r="AA182" s="1288"/>
      <c r="AB182" s="1288"/>
      <c r="AC182" s="1288"/>
      <c r="AD182" s="1288"/>
      <c r="AE182" s="1288"/>
      <c r="AF182" s="1288"/>
      <c r="AG182" s="1288"/>
      <c r="AH182" s="1288"/>
      <c r="AI182" s="1288"/>
      <c r="AJ182" s="1288"/>
      <c r="AK182" s="1288"/>
      <c r="AL182" s="1288"/>
      <c r="AM182" s="1288"/>
      <c r="AN182" s="1288"/>
      <c r="AO182" s="1288"/>
      <c r="AP182" s="1288"/>
      <c r="AQ182" s="1288"/>
    </row>
    <row customHeight="1" ht="11.25"/>
    <row customHeight="1" ht="11.25">
      <c r="E184" s="2011" t="s">
        <v>429</v>
      </c>
      <c r="F184" s="2011"/>
      <c r="G184" s="2011"/>
      <c r="H184" s="2011"/>
      <c r="I184" s="2011"/>
      <c r="J184" s="2011"/>
      <c r="K184" s="2011"/>
      <c r="L184" s="2011"/>
      <c r="M184" s="2011"/>
      <c r="N184" s="2011"/>
      <c r="O184" s="2011"/>
      <c r="P184" s="2011"/>
      <c r="Q184" s="2011"/>
      <c r="R184" s="2011"/>
      <c r="S184" s="2011"/>
      <c r="T184" s="2011"/>
      <c r="U184" s="2011"/>
      <c r="V184" s="2011"/>
      <c r="W184" s="2011"/>
    </row>
    <row customHeight="1" ht="36.75">
      <c r="E185" s="2009" t="s">
        <v>430</v>
      </c>
      <c r="F185" s="2009"/>
      <c r="G185" s="2010"/>
      <c r="H185" s="2010"/>
      <c r="I185" s="2010"/>
      <c r="J185" s="2010"/>
      <c r="K185" s="2010"/>
      <c r="L185" s="2010"/>
      <c r="M185" s="2010"/>
      <c r="N185" s="2010"/>
      <c r="O185" s="2010"/>
      <c r="P185" s="2010"/>
      <c r="Q185" s="2010"/>
      <c r="R185" s="2010"/>
      <c r="S185" s="2010"/>
      <c r="T185" s="2010"/>
      <c r="U185" s="2010"/>
      <c r="V185" s="2010"/>
      <c r="W185" s="2010"/>
    </row>
    <row customHeight="1" ht="28.5">
      <c r="E186" s="2009" t="s">
        <v>431</v>
      </c>
      <c r="F186" s="2009"/>
      <c r="G186" s="2010"/>
      <c r="H186" s="2010"/>
      <c r="I186" s="2010"/>
      <c r="J186" s="2010"/>
      <c r="K186" s="2010"/>
      <c r="L186" s="2010"/>
      <c r="M186" s="2010"/>
      <c r="N186" s="2010"/>
      <c r="O186" s="2010"/>
      <c r="P186" s="2010"/>
      <c r="Q186" s="2010"/>
      <c r="R186" s="2010"/>
      <c r="S186" s="2010"/>
      <c r="T186" s="2010"/>
      <c r="U186" s="2010"/>
      <c r="V186" s="2010"/>
      <c r="W186" s="2010"/>
    </row>
    <row customHeight="1" ht="27">
      <c r="E187" s="2009" t="s">
        <v>432</v>
      </c>
      <c r="F187" s="2009"/>
      <c r="G187" s="2010"/>
      <c r="H187" s="2010"/>
      <c r="I187" s="2010"/>
      <c r="J187" s="2010"/>
      <c r="K187" s="2010"/>
      <c r="L187" s="2010"/>
      <c r="M187" s="2010"/>
      <c r="N187" s="2010"/>
      <c r="O187" s="2010"/>
      <c r="P187" s="2010"/>
      <c r="Q187" s="2010"/>
      <c r="R187" s="2010"/>
      <c r="S187" s="2010"/>
      <c r="T187" s="2010"/>
      <c r="U187" s="2010"/>
      <c r="V187" s="2010"/>
      <c r="W187" s="2010"/>
    </row>
    <row customHeight="1" ht="17.25">
      <c r="E188" s="2009" t="s">
        <v>433</v>
      </c>
      <c r="F188" s="2009"/>
      <c r="G188" s="2010"/>
      <c r="H188" s="2010"/>
      <c r="I188" s="2010"/>
      <c r="J188" s="2010"/>
      <c r="K188" s="2010"/>
      <c r="L188" s="2010"/>
      <c r="M188" s="2010"/>
      <c r="N188" s="2010"/>
      <c r="O188" s="2010"/>
      <c r="P188" s="2010"/>
      <c r="Q188" s="2010"/>
      <c r="R188" s="2010"/>
      <c r="S188" s="2010"/>
      <c r="T188" s="2010"/>
      <c r="U188" s="2010"/>
      <c r="V188" s="2010"/>
      <c r="W188" s="2010"/>
    </row>
    <row customHeight="1" ht="15">
      <c r="E189" s="336"/>
      <c r="F189" s="1315"/>
      <c r="G189" s="143"/>
      <c r="H189" s="143"/>
      <c r="I189" s="143"/>
      <c r="J189" s="143"/>
      <c r="K189" s="143"/>
      <c r="L189" s="143"/>
      <c r="M189" s="143"/>
      <c r="N189" s="143"/>
      <c r="O189" s="143"/>
      <c r="P189" s="143"/>
      <c r="Q189" s="143"/>
      <c r="R189" s="143"/>
      <c r="S189" s="143"/>
      <c r="T189" s="143"/>
      <c r="U189" s="143"/>
      <c r="V189" s="143"/>
      <c r="W189" s="143"/>
    </row>
    <row customHeight="1" ht="15">
      <c r="E190" s="2011" t="s">
        <v>434</v>
      </c>
      <c r="F190" s="2011"/>
      <c r="G190" s="2011"/>
      <c r="H190" s="2011"/>
      <c r="I190" s="2011"/>
      <c r="J190" s="2011"/>
      <c r="K190" s="2011"/>
      <c r="L190" s="2011"/>
      <c r="M190" s="2011"/>
      <c r="N190" s="2011"/>
      <c r="O190" s="2011"/>
      <c r="P190" s="2011"/>
      <c r="Q190" s="2011"/>
      <c r="R190" s="2011"/>
      <c r="S190" s="2011"/>
      <c r="T190" s="2011"/>
      <c r="U190" s="2011"/>
      <c r="V190" s="2011"/>
      <c r="W190" s="2011"/>
    </row>
    <row customHeight="1" ht="17.25">
      <c r="E191" s="2009" t="s">
        <v>435</v>
      </c>
      <c r="F191" s="2009"/>
      <c r="G191" s="2010"/>
      <c r="H191" s="2010"/>
      <c r="I191" s="2010"/>
      <c r="J191" s="2010"/>
      <c r="K191" s="2010"/>
      <c r="L191" s="2010"/>
      <c r="M191" s="2010"/>
      <c r="N191" s="2010"/>
      <c r="O191" s="2010"/>
      <c r="P191" s="2010"/>
      <c r="Q191" s="2010"/>
      <c r="R191" s="2010"/>
      <c r="S191" s="2010"/>
      <c r="T191" s="2010"/>
      <c r="U191" s="2010"/>
      <c r="V191" s="2010"/>
      <c r="W191" s="2010"/>
    </row>
    <row customHeight="1" ht="17.25">
      <c r="E192" s="2009" t="s">
        <v>436</v>
      </c>
      <c r="F192" s="2009"/>
      <c r="G192" s="2010"/>
      <c r="H192" s="2010"/>
      <c r="I192" s="2010"/>
      <c r="J192" s="2010"/>
      <c r="K192" s="2010"/>
      <c r="L192" s="2010"/>
      <c r="M192" s="2010"/>
      <c r="N192" s="2010"/>
      <c r="O192" s="2010"/>
      <c r="P192" s="2010"/>
      <c r="Q192" s="2010"/>
      <c r="R192" s="2010"/>
      <c r="S192" s="2010"/>
      <c r="T192" s="2010"/>
      <c r="U192" s="2010"/>
      <c r="V192" s="2010"/>
      <c r="W192" s="2010"/>
    </row>
    <row s="2969" customFormat="1" customHeight="1" ht="11.25" hidden="1">
      <c r="A193" s="263"/>
      <c r="B193" s="263"/>
      <c r="Y193" s="1288"/>
      <c r="Z193" s="1288"/>
      <c r="AA193" s="1288"/>
      <c r="AB193" s="1288"/>
      <c r="AC193" s="1288"/>
      <c r="AD193" s="1288"/>
      <c r="AE193" s="1288"/>
      <c r="AF193" s="1288"/>
      <c r="AG193" s="1288"/>
      <c r="AH193" s="1288"/>
      <c r="AI193" s="1288"/>
      <c r="AJ193" s="1288"/>
      <c r="AK193" s="1288"/>
      <c r="AL193" s="1288"/>
      <c r="AM193" s="1288"/>
      <c r="AN193" s="1288"/>
      <c r="AO193" s="1288"/>
      <c r="AP193" s="1288"/>
      <c r="AQ193" s="1288"/>
    </row>
    <row s="2969" customFormat="1" customHeight="1" ht="17.25" hidden="1">
      <c r="A194" s="314"/>
      <c r="C194" s="195"/>
      <c r="D194" s="1991">
        <v>1</v>
      </c>
      <c r="E194" s="1993" t="s">
        <v>437</v>
      </c>
      <c r="F194" s="1995" t="s">
        <v>58</v>
      </c>
      <c r="G194" s="1993"/>
      <c r="H194" s="1998"/>
      <c r="I194" s="2000"/>
      <c r="J194" s="2002"/>
      <c r="K194" s="1989"/>
      <c r="L194" s="1989"/>
      <c r="M194" s="1989"/>
      <c r="N194" s="2005"/>
      <c r="O194" s="1989"/>
      <c r="P194" s="1989"/>
      <c r="Q194" s="1989"/>
      <c r="R194" s="2008"/>
      <c r="S194" s="1989"/>
      <c r="T194" s="1500"/>
      <c r="U194" s="1500"/>
      <c r="V194" s="1502"/>
      <c r="W194" s="1326"/>
      <c r="Y194" s="1296"/>
      <c r="Z194" s="1296"/>
      <c r="AA194" s="1296"/>
      <c r="AB194" s="1296"/>
      <c r="AC194" s="1296" t="s">
        <v>438</v>
      </c>
      <c r="AD194" s="1296" t="s">
        <v>439</v>
      </c>
      <c r="AE194" s="1296" t="s">
        <v>440</v>
      </c>
      <c r="AF194" s="1296" t="s">
        <v>441</v>
      </c>
      <c r="AG194" s="1296"/>
      <c r="AH194" s="1296" t="str">
        <f>IF($E$194=0,"",$E$194)</f>
        <v>Тариф на питьевую воду (питьевое водоснабжение)</v>
      </c>
      <c r="AI194" s="1296" t="str">
        <f>IF($G$194=0,"",$G$194)</f>
        <v/>
      </c>
      <c r="AJ194" s="1296" t="str">
        <f>IF($J$194=0,"",$J$194)</f>
        <v/>
      </c>
      <c r="AK194" s="1296" t="str">
        <f>IF($K$194="нет","без дифференциации",IF($N$194=0,"",$N$194))</f>
        <v/>
      </c>
      <c r="AL194" s="1296" t="str">
        <f>IF($O$194="нет","без дифференциации",IF($R$194=0,"",$R$194))</f>
        <v/>
      </c>
      <c r="AM194" s="1296" t="str">
        <f>IF($S$194="нет","без дифференциации",IF($V$194=0,"",$V$194))</f>
        <v/>
      </c>
      <c r="AN194" s="1296">
        <f>$I$194</f>
        <v>0</v>
      </c>
      <c r="AO194" s="1296" t="str">
        <f>$I$194&amp;"."&amp;$M$194</f>
        <v>.</v>
      </c>
      <c r="AP194" s="1296" t="str">
        <f>$I$194&amp;"."&amp;$M$194&amp;"."&amp;$Q$194</f>
        <v>..</v>
      </c>
      <c r="AQ194" s="1296" t="str">
        <f>$I$194&amp;"."&amp;$M$194&amp;"."&amp;$Q$194&amp;"."&amp;$U$194</f>
        <v>...</v>
      </c>
    </row>
    <row s="2969" customFormat="1" customHeight="1" ht="17.25" hidden="1">
      <c r="A195" s="314"/>
      <c r="C195" s="313"/>
      <c r="D195" s="1991"/>
      <c r="E195" s="1993"/>
      <c r="F195" s="1996"/>
      <c r="G195" s="1993"/>
      <c r="H195" s="1999"/>
      <c r="I195" s="2001"/>
      <c r="J195" s="2003"/>
      <c r="K195" s="1990"/>
      <c r="L195" s="1990"/>
      <c r="M195" s="1990"/>
      <c r="N195" s="2006"/>
      <c r="O195" s="1990"/>
      <c r="P195" s="1990"/>
      <c r="Q195" s="1990"/>
      <c r="R195" s="2007"/>
      <c r="S195" s="1990"/>
      <c r="T195" s="1327"/>
      <c r="U195" s="1327"/>
      <c r="V195" s="1327"/>
      <c r="W195" s="1328"/>
      <c r="Y195" s="1288"/>
      <c r="Z195" s="1288"/>
      <c r="AA195" s="1288"/>
      <c r="AB195" s="1288"/>
      <c r="AC195" s="1288"/>
      <c r="AD195" s="1288"/>
      <c r="AE195" s="1288"/>
      <c r="AF195" s="1288"/>
      <c r="AG195" s="1288"/>
      <c r="AH195" s="1288"/>
      <c r="AI195" s="1288"/>
      <c r="AJ195" s="1288"/>
      <c r="AK195" s="1288"/>
      <c r="AL195" s="1288"/>
      <c r="AM195" s="1288"/>
      <c r="AN195" s="1288"/>
      <c r="AO195" s="1288"/>
      <c r="AP195" s="1288"/>
      <c r="AQ195" s="1288"/>
    </row>
    <row s="2970" customFormat="1" customHeight="1" ht="17.25" hidden="1">
      <c r="A196" s="314"/>
      <c r="C196" s="195"/>
      <c r="D196" s="1991"/>
      <c r="E196" s="1993"/>
      <c r="F196" s="1996"/>
      <c r="G196" s="1993"/>
      <c r="H196" s="1999"/>
      <c r="I196" s="2001"/>
      <c r="J196" s="2004"/>
      <c r="K196" s="1990"/>
      <c r="L196" s="1990"/>
      <c r="M196" s="1990"/>
      <c r="N196" s="2007"/>
      <c r="O196" s="1990"/>
      <c r="P196" s="1501"/>
      <c r="Q196" s="1327"/>
      <c r="R196" s="1327"/>
      <c r="S196" s="325"/>
      <c r="T196" s="325"/>
      <c r="U196" s="325"/>
      <c r="V196" s="325"/>
      <c r="W196" s="1328"/>
      <c r="Y196" s="1296"/>
      <c r="Z196" s="1296"/>
      <c r="AA196" s="1296"/>
      <c r="AB196" s="1296"/>
      <c r="AC196" s="1296"/>
      <c r="AD196" s="1296"/>
      <c r="AE196" s="1296"/>
      <c r="AF196" s="1296"/>
      <c r="AG196" s="1296"/>
      <c r="AH196" s="1296"/>
      <c r="AI196" s="1296"/>
      <c r="AJ196" s="1296"/>
      <c r="AK196" s="1296"/>
      <c r="AL196" s="1296"/>
      <c r="AM196" s="1296"/>
      <c r="AN196" s="1296"/>
      <c r="AO196" s="1296"/>
      <c r="AP196" s="1296"/>
      <c r="AQ196" s="1296"/>
    </row>
    <row s="2970" customFormat="1" customHeight="1" ht="17.25" hidden="1">
      <c r="A197" s="314"/>
      <c r="C197" s="313"/>
      <c r="D197" s="1991"/>
      <c r="E197" s="1993"/>
      <c r="F197" s="1996"/>
      <c r="G197" s="1993"/>
      <c r="H197" s="1999"/>
      <c r="I197" s="2001"/>
      <c r="J197" s="2004"/>
      <c r="K197" s="1990"/>
      <c r="L197" s="1327"/>
      <c r="M197" s="1327"/>
      <c r="N197" s="1327"/>
      <c r="O197" s="1327"/>
      <c r="P197" s="1327"/>
      <c r="Q197" s="1327"/>
      <c r="R197" s="1327"/>
      <c r="S197" s="325"/>
      <c r="T197" s="325"/>
      <c r="U197" s="325"/>
      <c r="V197" s="325"/>
      <c r="W197" s="1328"/>
      <c r="Y197" s="1288"/>
      <c r="Z197" s="1288"/>
      <c r="AA197" s="1288"/>
      <c r="AB197" s="1288"/>
      <c r="AC197" s="1288"/>
      <c r="AD197" s="1288"/>
      <c r="AE197" s="1288"/>
      <c r="AF197" s="1288"/>
      <c r="AG197" s="1288"/>
      <c r="AH197" s="1288"/>
      <c r="AI197" s="1288"/>
      <c r="AJ197" s="1288"/>
      <c r="AK197" s="1288"/>
      <c r="AL197" s="1288"/>
      <c r="AM197" s="1288"/>
      <c r="AN197" s="1288"/>
      <c r="AO197" s="1288"/>
      <c r="AP197" s="1288"/>
      <c r="AQ197" s="1288"/>
    </row>
    <row s="2969" customFormat="1" customHeight="1" ht="17.25" hidden="1">
      <c r="A198" s="314"/>
      <c r="C198" s="313"/>
      <c r="D198" s="1992"/>
      <c r="E198" s="1994"/>
      <c r="F198" s="1997"/>
      <c r="G198" s="1994"/>
      <c r="H198" s="1329"/>
      <c r="I198" s="1330"/>
      <c r="J198" s="1330"/>
      <c r="K198" s="1330"/>
      <c r="L198" s="1330"/>
      <c r="M198" s="1330"/>
      <c r="N198" s="1330"/>
      <c r="O198" s="1330"/>
      <c r="P198" s="1330"/>
      <c r="Q198" s="1330"/>
      <c r="R198" s="1330"/>
      <c r="S198" s="1331"/>
      <c r="T198" s="1331"/>
      <c r="U198" s="1331"/>
      <c r="V198" s="1331"/>
      <c r="W198" s="1332"/>
      <c r="Y198" s="1288"/>
      <c r="Z198" s="1288"/>
      <c r="AA198" s="1288"/>
      <c r="AB198" s="1288"/>
      <c r="AC198" s="1288"/>
      <c r="AD198" s="1288"/>
      <c r="AE198" s="1288"/>
      <c r="AF198" s="1288"/>
      <c r="AG198" s="1288"/>
      <c r="AH198" s="1288"/>
      <c r="AI198" s="1288"/>
      <c r="AJ198" s="1288"/>
      <c r="AK198" s="1288"/>
      <c r="AL198" s="1288"/>
      <c r="AM198" s="1288"/>
      <c r="AN198" s="1288"/>
      <c r="AO198" s="1288"/>
      <c r="AP198" s="1288"/>
      <c r="AQ198" s="1288"/>
    </row>
    <row s="2969" customFormat="1" customHeight="1" ht="17.25" hidden="1">
      <c r="A199" s="314"/>
      <c r="C199" s="195"/>
      <c r="D199" s="1991">
        <v>2</v>
      </c>
      <c r="E199" s="1993" t="s">
        <v>442</v>
      </c>
      <c r="F199" s="1995" t="s">
        <v>58</v>
      </c>
      <c r="G199" s="1993"/>
      <c r="H199" s="1998"/>
      <c r="I199" s="2000"/>
      <c r="J199" s="2002"/>
      <c r="K199" s="1989"/>
      <c r="L199" s="1989"/>
      <c r="M199" s="1989"/>
      <c r="N199" s="2005"/>
      <c r="O199" s="1989"/>
      <c r="P199" s="1989"/>
      <c r="Q199" s="1989"/>
      <c r="R199" s="2008"/>
      <c r="S199" s="1989"/>
      <c r="T199" s="1473"/>
      <c r="U199" s="1473"/>
      <c r="V199" s="1475"/>
      <c r="W199" s="1326"/>
      <c r="X199" s="1296"/>
      <c r="Y199" s="1296"/>
      <c r="Z199" s="1296"/>
      <c r="AA199" s="1296"/>
      <c r="AB199" s="1296"/>
      <c r="AC199" s="1296" t="s">
        <v>443</v>
      </c>
      <c r="AD199" s="1296" t="s">
        <v>444</v>
      </c>
      <c r="AE199" s="1296" t="s">
        <v>445</v>
      </c>
      <c r="AF199" s="1296" t="s">
        <v>446</v>
      </c>
      <c r="AG199" s="1296"/>
      <c r="AH199" s="1296" t="str">
        <f>IF($E$199=0,"",$E$199)</f>
        <v>Тариф на техническую воду</v>
      </c>
      <c r="AI199" s="1296" t="str">
        <f>IF($G$199=0,"",$G$199)</f>
        <v/>
      </c>
      <c r="AJ199" s="1296" t="str">
        <f>IF($J$199=0,"",$J$199)</f>
        <v/>
      </c>
      <c r="AK199" s="1296" t="str">
        <f>IF($K$199="нет","без дифференциации",IF($N$199=0,"",$N$199))</f>
        <v/>
      </c>
      <c r="AL199" s="1296" t="str">
        <f>IF($O$199="нет","без дифференциации",IF($R$199=0,"",$R$199))</f>
        <v/>
      </c>
      <c r="AM199" s="1296" t="str">
        <f>IF($S$199="нет","без дифференциации",IF($V$199=0,"",$V$199))</f>
        <v/>
      </c>
      <c r="AN199" s="1813">
        <f>$I$199</f>
        <v>0</v>
      </c>
      <c r="AO199" s="1296" t="str">
        <f>$I$199&amp;"."&amp;$M$199</f>
        <v>.</v>
      </c>
      <c r="AP199" s="1288" t="str">
        <f>$I$199&amp;"."&amp;$M$199&amp;"."&amp;$Q$199</f>
        <v>..</v>
      </c>
      <c r="AQ199" s="1288" t="str">
        <f>$I$199&amp;"."&amp;$M$199&amp;"."&amp;$Q$199&amp;"."&amp;$U$199</f>
        <v>...</v>
      </c>
    </row>
    <row s="2969" customFormat="1" customHeight="1" ht="17.25" hidden="1">
      <c r="A200" s="314"/>
      <c r="C200" s="313"/>
      <c r="D200" s="1991"/>
      <c r="E200" s="1993"/>
      <c r="F200" s="1996"/>
      <c r="G200" s="1993"/>
      <c r="H200" s="1999"/>
      <c r="I200" s="2001"/>
      <c r="J200" s="2003"/>
      <c r="K200" s="1990"/>
      <c r="L200" s="1990"/>
      <c r="M200" s="1990"/>
      <c r="N200" s="2006"/>
      <c r="O200" s="1990"/>
      <c r="P200" s="1990"/>
      <c r="Q200" s="1990"/>
      <c r="R200" s="2007"/>
      <c r="S200" s="1990"/>
      <c r="T200" s="1327"/>
      <c r="U200" s="1327"/>
      <c r="V200" s="1327"/>
      <c r="W200" s="1328"/>
      <c r="X200" s="1288"/>
      <c r="Y200" s="1288"/>
      <c r="Z200" s="1288"/>
      <c r="AA200" s="1288"/>
      <c r="AB200" s="1288"/>
      <c r="AC200" s="1288"/>
      <c r="AD200" s="1288"/>
      <c r="AE200" s="1288"/>
      <c r="AF200" s="1288"/>
      <c r="AG200" s="1288"/>
      <c r="AH200" s="1288"/>
      <c r="AI200" s="1288"/>
      <c r="AJ200" s="1288"/>
      <c r="AK200" s="1288"/>
      <c r="AL200" s="1288"/>
      <c r="AM200" s="1288"/>
      <c r="AN200" s="1288"/>
      <c r="AO200" s="1288"/>
      <c r="AP200" s="1288"/>
      <c r="AQ200" s="1288"/>
    </row>
    <row s="2969" customFormat="1" customHeight="1" ht="17.25" hidden="1">
      <c r="A201" s="314"/>
      <c r="C201" s="313"/>
      <c r="D201" s="1992"/>
      <c r="E201" s="1994"/>
      <c r="F201" s="1996"/>
      <c r="G201" s="1994"/>
      <c r="H201" s="1999"/>
      <c r="I201" s="2001"/>
      <c r="J201" s="2004"/>
      <c r="K201" s="1990"/>
      <c r="L201" s="1990"/>
      <c r="M201" s="1990"/>
      <c r="N201" s="2007"/>
      <c r="O201" s="1990"/>
      <c r="P201" s="1474"/>
      <c r="Q201" s="1327"/>
      <c r="R201" s="1327"/>
      <c r="S201" s="325"/>
      <c r="T201" s="325"/>
      <c r="U201" s="325"/>
      <c r="V201" s="325"/>
      <c r="W201" s="1328"/>
      <c r="X201" s="1288"/>
      <c r="Y201" s="1288"/>
      <c r="Z201" s="1288"/>
      <c r="AA201" s="1288"/>
      <c r="AB201" s="1288"/>
      <c r="AC201" s="1288"/>
      <c r="AD201" s="1288"/>
      <c r="AE201" s="1288"/>
      <c r="AF201" s="1288"/>
      <c r="AG201" s="1288"/>
      <c r="AH201" s="1288"/>
      <c r="AI201" s="1288"/>
      <c r="AJ201" s="1288"/>
      <c r="AK201" s="1288"/>
      <c r="AL201" s="1288"/>
      <c r="AM201" s="1288"/>
      <c r="AN201" s="1288"/>
      <c r="AO201" s="1288"/>
      <c r="AP201" s="1288"/>
      <c r="AQ201" s="1288"/>
    </row>
    <row s="2969" customFormat="1" customHeight="1" ht="17.25" hidden="1">
      <c r="A202" s="314"/>
      <c r="C202" s="313"/>
      <c r="D202" s="1992"/>
      <c r="E202" s="1994"/>
      <c r="F202" s="1996"/>
      <c r="G202" s="1994"/>
      <c r="H202" s="1999"/>
      <c r="I202" s="2001"/>
      <c r="J202" s="2004"/>
      <c r="K202" s="1990"/>
      <c r="L202" s="1327"/>
      <c r="M202" s="1327"/>
      <c r="N202" s="1327"/>
      <c r="O202" s="1327"/>
      <c r="P202" s="1327"/>
      <c r="Q202" s="1327"/>
      <c r="R202" s="1327"/>
      <c r="S202" s="325"/>
      <c r="T202" s="325"/>
      <c r="U202" s="325"/>
      <c r="V202" s="325"/>
      <c r="W202" s="1328"/>
      <c r="X202" s="1288"/>
      <c r="Y202" s="1288"/>
      <c r="Z202" s="1288"/>
      <c r="AA202" s="1288"/>
      <c r="AB202" s="1288"/>
      <c r="AC202" s="1288"/>
      <c r="AD202" s="1288"/>
      <c r="AE202" s="1288"/>
      <c r="AF202" s="1288"/>
      <c r="AG202" s="1288"/>
      <c r="AH202" s="1288"/>
      <c r="AI202" s="1288"/>
      <c r="AJ202" s="1288"/>
      <c r="AK202" s="1288"/>
      <c r="AL202" s="1288"/>
      <c r="AM202" s="1288"/>
      <c r="AN202" s="1288"/>
      <c r="AO202" s="1288"/>
      <c r="AP202" s="1288"/>
      <c r="AQ202" s="1288"/>
    </row>
    <row s="2969" customFormat="1" customHeight="1" ht="17.25" hidden="1">
      <c r="A203" s="314"/>
      <c r="C203" s="313"/>
      <c r="D203" s="1992"/>
      <c r="E203" s="1994"/>
      <c r="F203" s="1997"/>
      <c r="G203" s="1994"/>
      <c r="H203" s="1329"/>
      <c r="I203" s="1330"/>
      <c r="J203" s="1330"/>
      <c r="K203" s="1330"/>
      <c r="L203" s="1330"/>
      <c r="M203" s="1330"/>
      <c r="N203" s="1330"/>
      <c r="O203" s="1330"/>
      <c r="P203" s="1330"/>
      <c r="Q203" s="1330"/>
      <c r="R203" s="1330"/>
      <c r="S203" s="1331"/>
      <c r="T203" s="1331"/>
      <c r="U203" s="1331"/>
      <c r="V203" s="1331"/>
      <c r="W203" s="1332"/>
      <c r="X203" s="1288"/>
      <c r="Y203" s="1288"/>
      <c r="Z203" s="1288"/>
      <c r="AA203" s="1288"/>
      <c r="AB203" s="1288"/>
      <c r="AC203" s="1288"/>
      <c r="AD203" s="1288"/>
      <c r="AE203" s="1288"/>
      <c r="AF203" s="1288"/>
      <c r="AG203" s="1288"/>
      <c r="AH203" s="1288"/>
      <c r="AI203" s="1288"/>
      <c r="AJ203" s="1288"/>
      <c r="AK203" s="1288"/>
      <c r="AL203" s="1288"/>
      <c r="AM203" s="1288"/>
      <c r="AN203" s="1288"/>
      <c r="AO203" s="1288"/>
      <c r="AP203" s="1288"/>
      <c r="AQ203" s="1288"/>
    </row>
    <row s="2969" customFormat="1" customHeight="1" ht="17.25" hidden="1">
      <c r="A204" s="314"/>
      <c r="C204" s="195"/>
      <c r="D204" s="1991">
        <v>3</v>
      </c>
      <c r="E204" s="1993" t="s">
        <v>447</v>
      </c>
      <c r="F204" s="1995" t="s">
        <v>58</v>
      </c>
      <c r="G204" s="1993"/>
      <c r="H204" s="1998"/>
      <c r="I204" s="2000"/>
      <c r="J204" s="2002"/>
      <c r="K204" s="1989"/>
      <c r="L204" s="1989"/>
      <c r="M204" s="1989"/>
      <c r="N204" s="2005"/>
      <c r="O204" s="1989"/>
      <c r="P204" s="1989"/>
      <c r="Q204" s="1989"/>
      <c r="R204" s="2008"/>
      <c r="S204" s="1989"/>
      <c r="T204" s="1473"/>
      <c r="U204" s="1473"/>
      <c r="V204" s="1475"/>
      <c r="W204" s="1326"/>
      <c r="X204" s="1296"/>
      <c r="Y204" s="1296"/>
      <c r="Z204" s="1296"/>
      <c r="AA204" s="1296"/>
      <c r="AB204" s="1296"/>
      <c r="AC204" s="1296" t="s">
        <v>448</v>
      </c>
      <c r="AD204" s="1296" t="s">
        <v>449</v>
      </c>
      <c r="AE204" s="1296" t="s">
        <v>450</v>
      </c>
      <c r="AF204" s="1296" t="s">
        <v>451</v>
      </c>
      <c r="AG204" s="1296"/>
      <c r="AH204" s="1296" t="str">
        <f>IF($E$204=0,"",$E$204)</f>
        <v>Тариф на транспортировку воды</v>
      </c>
      <c r="AI204" s="1296" t="str">
        <f>IF($G$204=0,"",$G$204)</f>
        <v/>
      </c>
      <c r="AJ204" s="1296" t="str">
        <f>IF($J$204=0,"",$J$204)</f>
        <v/>
      </c>
      <c r="AK204" s="1296" t="str">
        <f>IF($K$204="нет","без дифференциации",IF($N$204=0,"",$N$204))</f>
        <v/>
      </c>
      <c r="AL204" s="1296" t="str">
        <f>IF($O$204="нет","без дифференциации",IF($R$204=0,"",$R$204))</f>
        <v/>
      </c>
      <c r="AM204" s="1296" t="str">
        <f>IF($S$204="нет","без дифференциации",IF($V$204=0,"",$V$204))</f>
        <v/>
      </c>
      <c r="AN204" s="1813">
        <f>$I$204</f>
        <v>0</v>
      </c>
      <c r="AO204" s="1296" t="str">
        <f>$I$204&amp;"."&amp;$M$204</f>
        <v>.</v>
      </c>
      <c r="AP204" s="1288" t="str">
        <f>$I$204&amp;"."&amp;$M$204&amp;"."&amp;$Q$204</f>
        <v>..</v>
      </c>
      <c r="AQ204" s="1288" t="str">
        <f>$I$204&amp;"."&amp;$M$204&amp;"."&amp;$Q$204&amp;"."&amp;$U$204</f>
        <v>...</v>
      </c>
    </row>
    <row s="2969" customFormat="1" customHeight="1" ht="17.25" hidden="1">
      <c r="A205" s="314"/>
      <c r="C205" s="313"/>
      <c r="D205" s="1991"/>
      <c r="E205" s="1993"/>
      <c r="F205" s="1996"/>
      <c r="G205" s="1993"/>
      <c r="H205" s="1999"/>
      <c r="I205" s="2001"/>
      <c r="J205" s="2003"/>
      <c r="K205" s="1990"/>
      <c r="L205" s="1990"/>
      <c r="M205" s="1990"/>
      <c r="N205" s="2006"/>
      <c r="O205" s="1990"/>
      <c r="P205" s="1990"/>
      <c r="Q205" s="1990"/>
      <c r="R205" s="2007"/>
      <c r="S205" s="1990"/>
      <c r="T205" s="1327"/>
      <c r="U205" s="1327"/>
      <c r="V205" s="1327"/>
      <c r="W205" s="1328"/>
      <c r="X205" s="1288"/>
      <c r="Y205" s="1288"/>
      <c r="Z205" s="1288"/>
      <c r="AA205" s="1288"/>
      <c r="AB205" s="1288"/>
      <c r="AC205" s="1288"/>
      <c r="AD205" s="1288"/>
      <c r="AE205" s="1288"/>
      <c r="AF205" s="1288"/>
      <c r="AG205" s="1288"/>
      <c r="AH205" s="1288"/>
      <c r="AI205" s="1288"/>
      <c r="AJ205" s="1288"/>
      <c r="AK205" s="1288"/>
      <c r="AL205" s="1288"/>
      <c r="AM205" s="1288"/>
      <c r="AN205" s="1288"/>
      <c r="AO205" s="1288"/>
      <c r="AP205" s="1288"/>
      <c r="AQ205" s="1288"/>
    </row>
    <row s="2969" customFormat="1" customHeight="1" ht="17.25" hidden="1">
      <c r="A206" s="314"/>
      <c r="C206" s="313"/>
      <c r="D206" s="1992"/>
      <c r="E206" s="1994"/>
      <c r="F206" s="1996"/>
      <c r="G206" s="1994"/>
      <c r="H206" s="1999"/>
      <c r="I206" s="2001"/>
      <c r="J206" s="2004"/>
      <c r="K206" s="1990"/>
      <c r="L206" s="1990"/>
      <c r="M206" s="1990"/>
      <c r="N206" s="2007"/>
      <c r="O206" s="1990"/>
      <c r="P206" s="1474"/>
      <c r="Q206" s="1327"/>
      <c r="R206" s="1327"/>
      <c r="S206" s="325"/>
      <c r="T206" s="325"/>
      <c r="U206" s="325"/>
      <c r="V206" s="325"/>
      <c r="W206" s="1328"/>
      <c r="X206" s="1288"/>
      <c r="Y206" s="1288"/>
      <c r="Z206" s="1288"/>
      <c r="AA206" s="1288"/>
      <c r="AB206" s="1288"/>
      <c r="AC206" s="1288"/>
      <c r="AD206" s="1288"/>
      <c r="AE206" s="1288"/>
      <c r="AF206" s="1288"/>
      <c r="AG206" s="1288"/>
      <c r="AH206" s="1288"/>
      <c r="AI206" s="1288"/>
      <c r="AJ206" s="1288"/>
      <c r="AK206" s="1288"/>
      <c r="AL206" s="1288"/>
      <c r="AM206" s="1288"/>
      <c r="AN206" s="1288"/>
      <c r="AO206" s="1288"/>
      <c r="AP206" s="1288"/>
      <c r="AQ206" s="1288"/>
    </row>
    <row s="2969" customFormat="1" customHeight="1" ht="17.25" hidden="1">
      <c r="A207" s="314"/>
      <c r="C207" s="313"/>
      <c r="D207" s="1992"/>
      <c r="E207" s="1994"/>
      <c r="F207" s="1996"/>
      <c r="G207" s="1994"/>
      <c r="H207" s="1999"/>
      <c r="I207" s="2001"/>
      <c r="J207" s="2004"/>
      <c r="K207" s="1990"/>
      <c r="L207" s="1327"/>
      <c r="M207" s="1327"/>
      <c r="N207" s="1327"/>
      <c r="O207" s="1327"/>
      <c r="P207" s="1327"/>
      <c r="Q207" s="1327"/>
      <c r="R207" s="1327"/>
      <c r="S207" s="325"/>
      <c r="T207" s="325"/>
      <c r="U207" s="325"/>
      <c r="V207" s="325"/>
      <c r="W207" s="1328"/>
      <c r="X207" s="1288"/>
      <c r="Y207" s="1288"/>
      <c r="Z207" s="1288"/>
      <c r="AA207" s="1288"/>
      <c r="AB207" s="1288"/>
      <c r="AC207" s="1288"/>
      <c r="AD207" s="1288"/>
      <c r="AE207" s="1288"/>
      <c r="AF207" s="1288"/>
      <c r="AG207" s="1288"/>
      <c r="AH207" s="1288"/>
      <c r="AI207" s="1288"/>
      <c r="AJ207" s="1288"/>
      <c r="AK207" s="1288"/>
      <c r="AL207" s="1288"/>
      <c r="AM207" s="1288"/>
      <c r="AN207" s="1288"/>
      <c r="AO207" s="1288"/>
      <c r="AP207" s="1288"/>
      <c r="AQ207" s="1288"/>
    </row>
    <row s="2969" customFormat="1" customHeight="1" ht="17.25" hidden="1">
      <c r="A208" s="314"/>
      <c r="C208" s="313"/>
      <c r="D208" s="1992"/>
      <c r="E208" s="1994"/>
      <c r="F208" s="1997"/>
      <c r="G208" s="1994"/>
      <c r="H208" s="1329"/>
      <c r="I208" s="1330"/>
      <c r="J208" s="1330"/>
      <c r="K208" s="1330"/>
      <c r="L208" s="1330"/>
      <c r="M208" s="1330"/>
      <c r="N208" s="1330"/>
      <c r="O208" s="1330"/>
      <c r="P208" s="1330"/>
      <c r="Q208" s="1330"/>
      <c r="R208" s="1330"/>
      <c r="S208" s="1331"/>
      <c r="T208" s="1331"/>
      <c r="U208" s="1331"/>
      <c r="V208" s="1331"/>
      <c r="W208" s="1332"/>
      <c r="X208" s="1288"/>
      <c r="Y208" s="1288"/>
      <c r="Z208" s="1288"/>
      <c r="AA208" s="1288"/>
      <c r="AB208" s="1288"/>
      <c r="AC208" s="1288"/>
      <c r="AD208" s="1288"/>
      <c r="AE208" s="1288"/>
      <c r="AF208" s="1288"/>
      <c r="AG208" s="1288"/>
      <c r="AH208" s="1288"/>
      <c r="AI208" s="1288"/>
      <c r="AJ208" s="1288"/>
      <c r="AK208" s="1288"/>
      <c r="AL208" s="1288"/>
      <c r="AM208" s="1288"/>
      <c r="AN208" s="1288"/>
      <c r="AO208" s="1288"/>
      <c r="AP208" s="1288"/>
      <c r="AQ208" s="1288"/>
    </row>
    <row s="2969" customFormat="1" customHeight="1" ht="17.25" hidden="1">
      <c r="A209" s="314"/>
      <c r="C209" s="195"/>
      <c r="D209" s="1991">
        <v>4</v>
      </c>
      <c r="E209" s="1993" t="s">
        <v>452</v>
      </c>
      <c r="F209" s="1995" t="s">
        <v>58</v>
      </c>
      <c r="G209" s="1993"/>
      <c r="H209" s="1998"/>
      <c r="I209" s="2000"/>
      <c r="J209" s="2002"/>
      <c r="K209" s="1989"/>
      <c r="L209" s="1989"/>
      <c r="M209" s="1989"/>
      <c r="N209" s="2005"/>
      <c r="O209" s="1989"/>
      <c r="P209" s="1989"/>
      <c r="Q209" s="1989"/>
      <c r="R209" s="2008"/>
      <c r="S209" s="1989"/>
      <c r="T209" s="1473"/>
      <c r="U209" s="1473"/>
      <c r="V209" s="1475"/>
      <c r="W209" s="1326"/>
      <c r="X209" s="1296"/>
      <c r="Y209" s="1296"/>
      <c r="Z209" s="1296"/>
      <c r="AA209" s="1296"/>
      <c r="AB209" s="1296"/>
      <c r="AC209" s="1296" t="s">
        <v>453</v>
      </c>
      <c r="AD209" s="1296" t="s">
        <v>454</v>
      </c>
      <c r="AE209" s="1296" t="s">
        <v>455</v>
      </c>
      <c r="AF209" s="1296" t="s">
        <v>456</v>
      </c>
      <c r="AG209" s="1296"/>
      <c r="AH209" s="1296" t="str">
        <f>IF($E$209=0,"",$E$209)</f>
        <v>Тариф на подвоз воды</v>
      </c>
      <c r="AI209" s="1296" t="str">
        <f>IF($G$209=0,"",$G$209)</f>
        <v/>
      </c>
      <c r="AJ209" s="1296" t="str">
        <f>IF($J$209=0,"",$J$209)</f>
        <v/>
      </c>
      <c r="AK209" s="1296" t="str">
        <f>IF($K$209="нет","без дифференциации",IF($N$209=0,"",$N$209))</f>
        <v/>
      </c>
      <c r="AL209" s="1296" t="str">
        <f>IF($O$209="нет","без дифференциации",IF($R$209=0,"",$R$209))</f>
        <v/>
      </c>
      <c r="AM209" s="1296" t="str">
        <f>IF($S$209="нет","без дифференциации",IF($V$209=0,"",$V$209))</f>
        <v/>
      </c>
      <c r="AN209" s="1813">
        <f>$I$209</f>
        <v>0</v>
      </c>
      <c r="AO209" s="1296" t="str">
        <f>$I$209&amp;"."&amp;$M$209</f>
        <v>.</v>
      </c>
      <c r="AP209" s="1288" t="str">
        <f>$I$209&amp;"."&amp;$M$209&amp;"."&amp;$Q$209</f>
        <v>..</v>
      </c>
      <c r="AQ209" s="1288" t="str">
        <f>$I$209&amp;"."&amp;$M$209&amp;"."&amp;$Q$209&amp;"."&amp;$U$209</f>
        <v>...</v>
      </c>
    </row>
    <row s="2969" customFormat="1" customHeight="1" ht="17.25" hidden="1">
      <c r="A210" s="314"/>
      <c r="C210" s="313"/>
      <c r="D210" s="1991"/>
      <c r="E210" s="1993"/>
      <c r="F210" s="1996"/>
      <c r="G210" s="1993"/>
      <c r="H210" s="1999"/>
      <c r="I210" s="2001"/>
      <c r="J210" s="2003"/>
      <c r="K210" s="1990"/>
      <c r="L210" s="1990"/>
      <c r="M210" s="1990"/>
      <c r="N210" s="2006"/>
      <c r="O210" s="1990"/>
      <c r="P210" s="1990"/>
      <c r="Q210" s="1990"/>
      <c r="R210" s="2007"/>
      <c r="S210" s="1990"/>
      <c r="T210" s="1327"/>
      <c r="U210" s="1327"/>
      <c r="V210" s="1327"/>
      <c r="W210" s="1328"/>
      <c r="X210" s="1288"/>
      <c r="Y210" s="1288"/>
      <c r="Z210" s="1288"/>
      <c r="AA210" s="1288"/>
      <c r="AB210" s="1288"/>
      <c r="AC210" s="1288"/>
      <c r="AD210" s="1288"/>
      <c r="AE210" s="1288"/>
      <c r="AF210" s="1288"/>
      <c r="AG210" s="1288"/>
      <c r="AH210" s="1288"/>
      <c r="AI210" s="1288"/>
      <c r="AJ210" s="1288"/>
      <c r="AK210" s="1288"/>
      <c r="AL210" s="1288"/>
      <c r="AM210" s="1288"/>
      <c r="AN210" s="1288"/>
      <c r="AO210" s="1288"/>
      <c r="AP210" s="1288"/>
      <c r="AQ210" s="1288"/>
    </row>
    <row s="2969" customFormat="1" customHeight="1" ht="17.25" hidden="1">
      <c r="A211" s="314"/>
      <c r="C211" s="313"/>
      <c r="D211" s="1992"/>
      <c r="E211" s="1994"/>
      <c r="F211" s="1996"/>
      <c r="G211" s="1994"/>
      <c r="H211" s="1999"/>
      <c r="I211" s="2001"/>
      <c r="J211" s="2004"/>
      <c r="K211" s="1990"/>
      <c r="L211" s="1990"/>
      <c r="M211" s="1990"/>
      <c r="N211" s="2007"/>
      <c r="O211" s="1990"/>
      <c r="P211" s="1474"/>
      <c r="Q211" s="1327"/>
      <c r="R211" s="1327"/>
      <c r="S211" s="325"/>
      <c r="T211" s="325"/>
      <c r="U211" s="325"/>
      <c r="V211" s="325"/>
      <c r="W211" s="1328"/>
      <c r="X211" s="1288"/>
      <c r="Y211" s="1288"/>
      <c r="Z211" s="1288"/>
      <c r="AA211" s="1288"/>
      <c r="AB211" s="1288"/>
      <c r="AC211" s="1288"/>
      <c r="AD211" s="1288"/>
      <c r="AE211" s="1288"/>
      <c r="AF211" s="1288"/>
      <c r="AG211" s="1288"/>
      <c r="AH211" s="1288"/>
      <c r="AI211" s="1288"/>
      <c r="AJ211" s="1288"/>
      <c r="AK211" s="1288"/>
      <c r="AL211" s="1288"/>
      <c r="AM211" s="1288"/>
      <c r="AN211" s="1288"/>
      <c r="AO211" s="1288"/>
      <c r="AP211" s="1288"/>
      <c r="AQ211" s="1288"/>
    </row>
    <row s="2969" customFormat="1" customHeight="1" ht="17.25" hidden="1">
      <c r="A212" s="314"/>
      <c r="C212" s="313"/>
      <c r="D212" s="1992"/>
      <c r="E212" s="1994"/>
      <c r="F212" s="1996"/>
      <c r="G212" s="1994"/>
      <c r="H212" s="1999"/>
      <c r="I212" s="2001"/>
      <c r="J212" s="2004"/>
      <c r="K212" s="1990"/>
      <c r="L212" s="1327"/>
      <c r="M212" s="1327"/>
      <c r="N212" s="1327"/>
      <c r="O212" s="1327"/>
      <c r="P212" s="1327"/>
      <c r="Q212" s="1327"/>
      <c r="R212" s="1327"/>
      <c r="S212" s="325"/>
      <c r="T212" s="325"/>
      <c r="U212" s="325"/>
      <c r="V212" s="325"/>
      <c r="W212" s="1328"/>
      <c r="X212" s="1288"/>
      <c r="Y212" s="1288"/>
      <c r="Z212" s="1288"/>
      <c r="AA212" s="1288"/>
      <c r="AB212" s="1288"/>
      <c r="AC212" s="1288"/>
      <c r="AD212" s="1288"/>
      <c r="AE212" s="1288"/>
      <c r="AF212" s="1288"/>
      <c r="AG212" s="1288"/>
      <c r="AH212" s="1288"/>
      <c r="AI212" s="1288"/>
      <c r="AJ212" s="1288"/>
      <c r="AK212" s="1288"/>
      <c r="AL212" s="1288"/>
      <c r="AM212" s="1288"/>
      <c r="AN212" s="1288"/>
      <c r="AO212" s="1288"/>
      <c r="AP212" s="1288"/>
      <c r="AQ212" s="1288"/>
    </row>
    <row s="2969" customFormat="1" customHeight="1" ht="17.25" hidden="1">
      <c r="A213" s="314"/>
      <c r="C213" s="313"/>
      <c r="D213" s="1992"/>
      <c r="E213" s="1994"/>
      <c r="F213" s="1997"/>
      <c r="G213" s="1994"/>
      <c r="H213" s="1329"/>
      <c r="I213" s="1330"/>
      <c r="J213" s="1330"/>
      <c r="K213" s="1330"/>
      <c r="L213" s="1330"/>
      <c r="M213" s="1330"/>
      <c r="N213" s="1330"/>
      <c r="O213" s="1330"/>
      <c r="P213" s="1330"/>
      <c r="Q213" s="1330"/>
      <c r="R213" s="1330"/>
      <c r="S213" s="1331"/>
      <c r="T213" s="1331"/>
      <c r="U213" s="1331"/>
      <c r="V213" s="1331"/>
      <c r="W213" s="1332"/>
      <c r="X213" s="1288"/>
      <c r="Y213" s="1288"/>
      <c r="Z213" s="1288"/>
      <c r="AA213" s="1288"/>
      <c r="AB213" s="1288"/>
      <c r="AC213" s="1288"/>
      <c r="AD213" s="1288"/>
      <c r="AE213" s="1288"/>
      <c r="AF213" s="1288"/>
      <c r="AG213" s="1288"/>
      <c r="AH213" s="1288"/>
      <c r="AI213" s="1288"/>
      <c r="AJ213" s="1288"/>
      <c r="AK213" s="1288"/>
      <c r="AL213" s="1288"/>
      <c r="AM213" s="1288"/>
      <c r="AN213" s="1288"/>
      <c r="AO213" s="1288"/>
      <c r="AP213" s="1288"/>
      <c r="AQ213" s="1288"/>
    </row>
    <row s="2969" customFormat="1" customHeight="1" ht="17.25" hidden="1">
      <c r="A214" s="314"/>
      <c r="C214" s="195"/>
      <c r="D214" s="1991">
        <v>5</v>
      </c>
      <c r="E214" s="1993" t="s">
        <v>457</v>
      </c>
      <c r="F214" s="1995" t="s">
        <v>58</v>
      </c>
      <c r="G214" s="1993"/>
      <c r="H214" s="1998"/>
      <c r="I214" s="2000"/>
      <c r="J214" s="2002"/>
      <c r="K214" s="1989"/>
      <c r="L214" s="1989"/>
      <c r="M214" s="1989"/>
      <c r="N214" s="2005"/>
      <c r="O214" s="1989"/>
      <c r="P214" s="1989"/>
      <c r="Q214" s="1989"/>
      <c r="R214" s="2008"/>
      <c r="S214" s="1989"/>
      <c r="T214" s="1500"/>
      <c r="U214" s="1500"/>
      <c r="V214" s="1502"/>
      <c r="W214" s="1326"/>
      <c r="X214" s="1296"/>
      <c r="Y214" s="1296"/>
      <c r="Z214" s="1296"/>
      <c r="AA214" s="1296"/>
      <c r="AB214" s="1296"/>
      <c r="AC214" s="1296" t="s">
        <v>458</v>
      </c>
      <c r="AD214" s="1296" t="s">
        <v>459</v>
      </c>
      <c r="AE214" s="1296" t="s">
        <v>460</v>
      </c>
      <c r="AF214" s="1296" t="s">
        <v>461</v>
      </c>
      <c r="AG214" s="1296"/>
      <c r="AH214" s="1296" t="str">
        <f>IF($E$214=0,"",$E$214)</f>
        <v>Тариф на подключение (технологическое присоединение) к централизованной системе холодного водоснабжения</v>
      </c>
      <c r="AI214" s="1296" t="str">
        <f>IF($G$214=0,"",$G$214)</f>
        <v/>
      </c>
      <c r="AJ214" s="1296" t="str">
        <f>IF($J$214=0,"",$J$214)</f>
        <v/>
      </c>
      <c r="AK214" s="1296" t="str">
        <f>IF($K$214="нет","без дифференциации",IF($N$214=0,"",$N$214))</f>
        <v/>
      </c>
      <c r="AL214" s="1296" t="str">
        <f>IF($O$214="нет","без дифференциации",IF($R$214=0,"",$R$214))</f>
        <v/>
      </c>
      <c r="AM214" s="1296" t="str">
        <f>IF($S$214="нет","без дифференциации",IF($V$214=0,"",$V$214))</f>
        <v/>
      </c>
      <c r="AN214" s="1813">
        <f>$I$214</f>
        <v>0</v>
      </c>
      <c r="AO214" s="1296" t="str">
        <f>$I$214&amp;"."&amp;$M$214</f>
        <v>.</v>
      </c>
      <c r="AP214" s="1288" t="str">
        <f>$I$214&amp;"."&amp;$M$214&amp;"."&amp;$Q$214</f>
        <v>..</v>
      </c>
      <c r="AQ214" s="1288" t="str">
        <f>$I$214&amp;"."&amp;$M$214&amp;"."&amp;$Q$214&amp;"."&amp;$U$214</f>
        <v>...</v>
      </c>
    </row>
    <row s="2969" customFormat="1" customHeight="1" ht="17.25" hidden="1">
      <c r="A215" s="314"/>
      <c r="C215" s="313"/>
      <c r="D215" s="1991"/>
      <c r="E215" s="1993"/>
      <c r="F215" s="1996"/>
      <c r="G215" s="1993"/>
      <c r="H215" s="1999"/>
      <c r="I215" s="2001"/>
      <c r="J215" s="2003"/>
      <c r="K215" s="1990"/>
      <c r="L215" s="1990"/>
      <c r="M215" s="1990"/>
      <c r="N215" s="2006"/>
      <c r="O215" s="1990"/>
      <c r="P215" s="1990"/>
      <c r="Q215" s="1990"/>
      <c r="R215" s="2007"/>
      <c r="S215" s="1990"/>
      <c r="T215" s="1327"/>
      <c r="U215" s="1327"/>
      <c r="V215" s="1327"/>
      <c r="W215" s="1328"/>
      <c r="X215" s="1288"/>
      <c r="Y215" s="1288"/>
      <c r="Z215" s="1288"/>
      <c r="AA215" s="1288"/>
      <c r="AB215" s="1288"/>
      <c r="AC215" s="1288"/>
      <c r="AD215" s="1288"/>
      <c r="AE215" s="1288"/>
      <c r="AF215" s="1288"/>
      <c r="AG215" s="1288"/>
      <c r="AH215" s="1288"/>
      <c r="AI215" s="1288"/>
      <c r="AJ215" s="1288"/>
      <c r="AK215" s="1288"/>
      <c r="AL215" s="1288"/>
      <c r="AM215" s="1288"/>
      <c r="AN215" s="1288"/>
      <c r="AO215" s="1288"/>
      <c r="AP215" s="1288"/>
      <c r="AQ215" s="1288"/>
    </row>
    <row s="2969" customFormat="1" customHeight="1" ht="17.25" hidden="1">
      <c r="A216" s="314"/>
      <c r="C216" s="313"/>
      <c r="D216" s="1992"/>
      <c r="E216" s="1994"/>
      <c r="F216" s="1996"/>
      <c r="G216" s="1994"/>
      <c r="H216" s="1999"/>
      <c r="I216" s="2001"/>
      <c r="J216" s="2004"/>
      <c r="K216" s="1990"/>
      <c r="L216" s="1990"/>
      <c r="M216" s="1990"/>
      <c r="N216" s="2007"/>
      <c r="O216" s="1990"/>
      <c r="P216" s="1501"/>
      <c r="Q216" s="1327"/>
      <c r="R216" s="1327"/>
      <c r="S216" s="325"/>
      <c r="T216" s="325"/>
      <c r="U216" s="325"/>
      <c r="V216" s="325"/>
      <c r="W216" s="1328"/>
      <c r="X216" s="1288"/>
      <c r="Y216" s="1288"/>
      <c r="Z216" s="1288"/>
      <c r="AA216" s="1288"/>
      <c r="AB216" s="1288"/>
      <c r="AC216" s="1288"/>
      <c r="AD216" s="1288"/>
      <c r="AE216" s="1288"/>
      <c r="AF216" s="1288"/>
      <c r="AG216" s="1288"/>
      <c r="AH216" s="1288"/>
      <c r="AI216" s="1288"/>
      <c r="AJ216" s="1288"/>
      <c r="AK216" s="1288"/>
      <c r="AL216" s="1288"/>
      <c r="AM216" s="1288"/>
      <c r="AN216" s="1288"/>
      <c r="AO216" s="1288"/>
      <c r="AP216" s="1288"/>
      <c r="AQ216" s="1288"/>
    </row>
    <row s="2969" customFormat="1" customHeight="1" ht="17.25" hidden="1">
      <c r="A217" s="314"/>
      <c r="C217" s="313"/>
      <c r="D217" s="1992"/>
      <c r="E217" s="1994"/>
      <c r="F217" s="1996"/>
      <c r="G217" s="1994"/>
      <c r="H217" s="1999"/>
      <c r="I217" s="2001"/>
      <c r="J217" s="2004"/>
      <c r="K217" s="1990"/>
      <c r="L217" s="1327"/>
      <c r="M217" s="1327"/>
      <c r="N217" s="1327"/>
      <c r="O217" s="1327"/>
      <c r="P217" s="1327"/>
      <c r="Q217" s="1327"/>
      <c r="R217" s="1327"/>
      <c r="S217" s="325"/>
      <c r="T217" s="325"/>
      <c r="U217" s="325"/>
      <c r="V217" s="325"/>
      <c r="W217" s="1328"/>
      <c r="X217" s="1288"/>
      <c r="Y217" s="1288"/>
      <c r="Z217" s="1288"/>
      <c r="AA217" s="1288"/>
      <c r="AB217" s="1288"/>
      <c r="AC217" s="1288"/>
      <c r="AD217" s="1288"/>
      <c r="AE217" s="1288"/>
      <c r="AF217" s="1288"/>
      <c r="AG217" s="1288"/>
      <c r="AH217" s="1288"/>
      <c r="AI217" s="1288"/>
      <c r="AJ217" s="1288"/>
      <c r="AK217" s="1288"/>
      <c r="AL217" s="1288"/>
      <c r="AM217" s="1288"/>
      <c r="AN217" s="1288"/>
      <c r="AO217" s="1288"/>
      <c r="AP217" s="1288"/>
      <c r="AQ217" s="1288"/>
    </row>
    <row s="2969" customFormat="1" customHeight="1" ht="17.25" hidden="1">
      <c r="A218" s="314"/>
      <c r="C218" s="313"/>
      <c r="D218" s="1992"/>
      <c r="E218" s="1994"/>
      <c r="F218" s="1997"/>
      <c r="G218" s="1994"/>
      <c r="H218" s="1329"/>
      <c r="I218" s="1330"/>
      <c r="J218" s="1330"/>
      <c r="K218" s="1330"/>
      <c r="L218" s="1330"/>
      <c r="M218" s="1330"/>
      <c r="N218" s="1330"/>
      <c r="O218" s="1330"/>
      <c r="P218" s="1330"/>
      <c r="Q218" s="1330"/>
      <c r="R218" s="1330"/>
      <c r="S218" s="1331"/>
      <c r="T218" s="1331"/>
      <c r="U218" s="1331"/>
      <c r="V218" s="1331"/>
      <c r="W218" s="1332"/>
      <c r="X218" s="1288"/>
      <c r="Y218" s="1288"/>
      <c r="Z218" s="1288"/>
      <c r="AA218" s="1288"/>
      <c r="AB218" s="1288"/>
      <c r="AC218" s="1288"/>
      <c r="AD218" s="1288"/>
      <c r="AE218" s="1288"/>
      <c r="AF218" s="1288"/>
      <c r="AG218" s="1288"/>
      <c r="AH218" s="1288"/>
      <c r="AI218" s="1288"/>
      <c r="AJ218" s="1288"/>
      <c r="AK218" s="1288"/>
      <c r="AL218" s="1288"/>
      <c r="AM218" s="1288"/>
      <c r="AN218" s="1288"/>
      <c r="AO218" s="1288"/>
      <c r="AP218" s="1288"/>
      <c r="AQ218" s="1288"/>
    </row>
    <row s="2974" customFormat="1" customHeight="1" ht="11.25" hidden="1">
      <c r="A219" s="263"/>
      <c r="B219" s="263"/>
      <c r="Y219" s="1288"/>
      <c r="Z219" s="1288"/>
      <c r="AA219" s="1288"/>
      <c r="AB219" s="1288"/>
      <c r="AC219" s="1288"/>
      <c r="AD219" s="1288"/>
      <c r="AE219" s="1288"/>
      <c r="AF219" s="1288"/>
      <c r="AG219" s="1288"/>
      <c r="AH219" s="1288"/>
      <c r="AI219" s="1288"/>
      <c r="AJ219" s="1288"/>
      <c r="AK219" s="1288"/>
      <c r="AL219" s="1288"/>
      <c r="AM219" s="1288"/>
      <c r="AN219" s="1288"/>
      <c r="AO219" s="1288"/>
      <c r="AP219" s="1288"/>
      <c r="AQ219" s="1288"/>
    </row>
    <row s="2974" customFormat="1" customHeight="1" ht="17.25" hidden="1">
      <c r="A220" s="314"/>
      <c r="C220" s="195"/>
      <c r="D220" s="1991">
        <v>1</v>
      </c>
      <c r="E220" s="1993" t="s">
        <v>462</v>
      </c>
      <c r="F220" s="1995" t="s">
        <v>58</v>
      </c>
      <c r="G220" s="1993"/>
      <c r="H220" s="1998"/>
      <c r="I220" s="2000"/>
      <c r="J220" s="2002"/>
      <c r="K220" s="1989"/>
      <c r="L220" s="1989"/>
      <c r="M220" s="1989"/>
      <c r="N220" s="2005"/>
      <c r="O220" s="1989"/>
      <c r="P220" s="1989"/>
      <c r="Q220" s="1989"/>
      <c r="R220" s="2008"/>
      <c r="S220" s="1989"/>
      <c r="T220" s="1500"/>
      <c r="U220" s="1500"/>
      <c r="V220" s="1502"/>
      <c r="W220" s="1326"/>
      <c r="Y220" s="1296"/>
      <c r="Z220" s="1296"/>
      <c r="AA220" s="1296"/>
      <c r="AB220" s="1296"/>
      <c r="AC220" s="1296" t="s">
        <v>463</v>
      </c>
      <c r="AD220" s="1296" t="s">
        <v>464</v>
      </c>
      <c r="AE220" s="1296" t="s">
        <v>465</v>
      </c>
      <c r="AF220" s="1296" t="s">
        <v>466</v>
      </c>
      <c r="AG220" s="1296"/>
      <c r="AH220" s="1296" t="str">
        <f>IF($E$220=0,"",$E$220)</f>
        <v>Тариф на горячую воду (горячее водоснабжение)</v>
      </c>
      <c r="AI220" s="1296" t="str">
        <f>IF($G$220=0,"",$G$220)</f>
        <v/>
      </c>
      <c r="AJ220" s="1296" t="str">
        <f>IF($J$220=0,"",$J$220)</f>
        <v/>
      </c>
      <c r="AK220" s="1296" t="str">
        <f>IF($K$220="нет","без дифференциации",IF($N$220=0,"",$N$220))</f>
        <v/>
      </c>
      <c r="AL220" s="1296" t="str">
        <f>IF($O$220="нет","без дифференциации",IF($R$220=0,"",$R$220))</f>
        <v/>
      </c>
      <c r="AM220" s="1296" t="str">
        <f>IF($S$220="нет","без дифференциации",IF($V$220=0,"",$V$220))</f>
        <v/>
      </c>
      <c r="AN220" s="1296">
        <f>$I$220</f>
        <v>0</v>
      </c>
      <c r="AO220" s="1296" t="str">
        <f>$I$220&amp;"."&amp;$M$220</f>
        <v>.</v>
      </c>
      <c r="AP220" s="1296" t="str">
        <f>$I$220&amp;"."&amp;$M$220&amp;"."&amp;$Q$220</f>
        <v>..</v>
      </c>
      <c r="AQ220" s="1296" t="str">
        <f>$I$220&amp;"."&amp;$M$220&amp;"."&amp;$Q$220&amp;"."&amp;$U$220</f>
        <v>...</v>
      </c>
    </row>
    <row s="2974" customFormat="1" customHeight="1" ht="17.25" hidden="1">
      <c r="A221" s="314"/>
      <c r="C221" s="313"/>
      <c r="D221" s="1991"/>
      <c r="E221" s="1993"/>
      <c r="F221" s="1996"/>
      <c r="G221" s="1993"/>
      <c r="H221" s="1999"/>
      <c r="I221" s="2001"/>
      <c r="J221" s="2003"/>
      <c r="K221" s="1990"/>
      <c r="L221" s="1990"/>
      <c r="M221" s="1990"/>
      <c r="N221" s="2006"/>
      <c r="O221" s="1990"/>
      <c r="P221" s="1990"/>
      <c r="Q221" s="1990"/>
      <c r="R221" s="2007"/>
      <c r="S221" s="1990"/>
      <c r="T221" s="1327"/>
      <c r="U221" s="1327"/>
      <c r="V221" s="1327"/>
      <c r="W221" s="1328"/>
      <c r="Y221" s="1288"/>
      <c r="Z221" s="1288"/>
      <c r="AA221" s="1288"/>
      <c r="AB221" s="1288"/>
      <c r="AC221" s="1288"/>
      <c r="AD221" s="1288"/>
      <c r="AE221" s="1288"/>
      <c r="AF221" s="1288"/>
      <c r="AG221" s="1288"/>
      <c r="AH221" s="1288"/>
      <c r="AI221" s="1288"/>
      <c r="AJ221" s="1288"/>
      <c r="AK221" s="1288"/>
      <c r="AL221" s="1288"/>
      <c r="AM221" s="1288"/>
      <c r="AN221" s="1288"/>
      <c r="AO221" s="1288"/>
      <c r="AP221" s="1288"/>
      <c r="AQ221" s="1288"/>
    </row>
    <row s="2974" customFormat="1" customHeight="1" ht="17.25" hidden="1">
      <c r="A222" s="314"/>
      <c r="C222" s="195"/>
      <c r="D222" s="1991"/>
      <c r="E222" s="1993"/>
      <c r="F222" s="1996"/>
      <c r="G222" s="1993"/>
      <c r="H222" s="1999"/>
      <c r="I222" s="2001"/>
      <c r="J222" s="2004"/>
      <c r="K222" s="1990"/>
      <c r="L222" s="1990"/>
      <c r="M222" s="1990"/>
      <c r="N222" s="2007"/>
      <c r="O222" s="1990"/>
      <c r="P222" s="1501"/>
      <c r="Q222" s="1327"/>
      <c r="R222" s="1327"/>
      <c r="S222" s="325"/>
      <c r="T222" s="325"/>
      <c r="U222" s="325"/>
      <c r="V222" s="325"/>
      <c r="W222" s="1328"/>
      <c r="Y222" s="1296"/>
      <c r="Z222" s="1296"/>
      <c r="AA222" s="1296"/>
      <c r="AB222" s="1296"/>
      <c r="AC222" s="1296"/>
      <c r="AD222" s="1296"/>
      <c r="AE222" s="1296"/>
      <c r="AF222" s="1296"/>
      <c r="AG222" s="1296"/>
      <c r="AH222" s="1296"/>
      <c r="AI222" s="1296"/>
      <c r="AJ222" s="1296"/>
      <c r="AK222" s="1296"/>
      <c r="AL222" s="1296"/>
      <c r="AM222" s="1296"/>
      <c r="AN222" s="1296"/>
      <c r="AO222" s="1296"/>
      <c r="AP222" s="1296"/>
      <c r="AQ222" s="1296"/>
    </row>
    <row s="2974" customFormat="1" customHeight="1" ht="17.25" hidden="1">
      <c r="A223" s="314"/>
      <c r="C223" s="313"/>
      <c r="D223" s="1991"/>
      <c r="E223" s="1993"/>
      <c r="F223" s="1996"/>
      <c r="G223" s="1993"/>
      <c r="H223" s="1999"/>
      <c r="I223" s="2001"/>
      <c r="J223" s="2004"/>
      <c r="K223" s="1990"/>
      <c r="L223" s="1327"/>
      <c r="M223" s="1327"/>
      <c r="N223" s="1327"/>
      <c r="O223" s="1327"/>
      <c r="P223" s="1327"/>
      <c r="Q223" s="1327"/>
      <c r="R223" s="1327"/>
      <c r="S223" s="325"/>
      <c r="T223" s="325"/>
      <c r="U223" s="325"/>
      <c r="V223" s="325"/>
      <c r="W223" s="1328"/>
      <c r="Y223" s="1288"/>
      <c r="Z223" s="1288"/>
      <c r="AA223" s="1288"/>
      <c r="AB223" s="1288"/>
      <c r="AC223" s="1288"/>
      <c r="AD223" s="1288"/>
      <c r="AE223" s="1288"/>
      <c r="AF223" s="1288"/>
      <c r="AG223" s="1288"/>
      <c r="AH223" s="1288"/>
      <c r="AI223" s="1288"/>
      <c r="AJ223" s="1288"/>
      <c r="AK223" s="1288"/>
      <c r="AL223" s="1288"/>
      <c r="AM223" s="1288"/>
      <c r="AN223" s="1288"/>
      <c r="AO223" s="1288"/>
      <c r="AP223" s="1288"/>
      <c r="AQ223" s="1288"/>
    </row>
    <row s="2974" customFormat="1" customHeight="1" ht="17.25" hidden="1">
      <c r="A224" s="314"/>
      <c r="C224" s="313"/>
      <c r="D224" s="1992"/>
      <c r="E224" s="1994"/>
      <c r="F224" s="1997"/>
      <c r="G224" s="1994"/>
      <c r="H224" s="1329"/>
      <c r="I224" s="1330"/>
      <c r="J224" s="1330"/>
      <c r="K224" s="1330"/>
      <c r="L224" s="1330"/>
      <c r="M224" s="1330"/>
      <c r="N224" s="1330"/>
      <c r="O224" s="1330"/>
      <c r="P224" s="1330"/>
      <c r="Q224" s="1330"/>
      <c r="R224" s="1330"/>
      <c r="S224" s="1331"/>
      <c r="T224" s="1331"/>
      <c r="U224" s="1331"/>
      <c r="V224" s="1331"/>
      <c r="W224" s="1332"/>
      <c r="Y224" s="1288"/>
      <c r="Z224" s="1288"/>
      <c r="AA224" s="1288"/>
      <c r="AB224" s="1288"/>
      <c r="AC224" s="1288"/>
      <c r="AD224" s="1288"/>
      <c r="AE224" s="1288"/>
      <c r="AF224" s="1288"/>
      <c r="AG224" s="1288"/>
      <c r="AH224" s="1288"/>
      <c r="AI224" s="1288"/>
      <c r="AJ224" s="1288"/>
      <c r="AK224" s="1288"/>
      <c r="AL224" s="1288"/>
      <c r="AM224" s="1288"/>
      <c r="AN224" s="1288"/>
      <c r="AO224" s="1288"/>
      <c r="AP224" s="1288"/>
      <c r="AQ224" s="1288"/>
    </row>
    <row s="2974" customFormat="1" customHeight="1" ht="17.25" hidden="1">
      <c r="A225" s="314"/>
      <c r="C225" s="195"/>
      <c r="D225" s="1991">
        <v>2</v>
      </c>
      <c r="E225" s="1993" t="s">
        <v>467</v>
      </c>
      <c r="F225" s="1995" t="s">
        <v>58</v>
      </c>
      <c r="G225" s="1993"/>
      <c r="H225" s="1998"/>
      <c r="I225" s="2000"/>
      <c r="J225" s="2002"/>
      <c r="K225" s="1989"/>
      <c r="L225" s="1989"/>
      <c r="M225" s="1989"/>
      <c r="N225" s="2005"/>
      <c r="O225" s="1989"/>
      <c r="P225" s="1989"/>
      <c r="Q225" s="1989"/>
      <c r="R225" s="2008"/>
      <c r="S225" s="1989"/>
      <c r="T225" s="1500"/>
      <c r="U225" s="1500"/>
      <c r="V225" s="1502"/>
      <c r="W225" s="1326"/>
      <c r="X225" s="1296"/>
      <c r="Y225" s="1296"/>
      <c r="Z225" s="1296"/>
      <c r="AA225" s="1296"/>
      <c r="AB225" s="1296"/>
      <c r="AC225" s="1296" t="s">
        <v>468</v>
      </c>
      <c r="AD225" s="1296" t="s">
        <v>469</v>
      </c>
      <c r="AE225" s="1296" t="s">
        <v>470</v>
      </c>
      <c r="AF225" s="1296" t="s">
        <v>471</v>
      </c>
      <c r="AG225" s="1296"/>
      <c r="AH225" s="1296" t="str">
        <f>IF($E$225=0,"",$E$225)</f>
        <v>Тариф на транспортировку горячей воды</v>
      </c>
      <c r="AI225" s="1296" t="str">
        <f>IF($G$225=0,"",$G$225)</f>
        <v/>
      </c>
      <c r="AJ225" s="1296" t="str">
        <f>IF($J$225=0,"",$J$225)</f>
        <v/>
      </c>
      <c r="AK225" s="1296" t="str">
        <f>IF($K$225="нет","без дифференциации",IF($N$225=0,"",$N$225))</f>
        <v/>
      </c>
      <c r="AL225" s="1296" t="str">
        <f>IF($O$225="нет","без дифференциации",IF($R$225=0,"",$R$225))</f>
        <v/>
      </c>
      <c r="AM225" s="1296" t="str">
        <f>IF($S$225="нет","без дифференциации",IF($V$225=0,"",$V$225))</f>
        <v/>
      </c>
      <c r="AN225" s="1813">
        <f>$I$225</f>
        <v>0</v>
      </c>
      <c r="AO225" s="1296" t="str">
        <f>$I$225&amp;"."&amp;$M$225</f>
        <v>.</v>
      </c>
      <c r="AP225" s="1288" t="str">
        <f>$I$225&amp;"."&amp;$M$225&amp;"."&amp;$Q$225</f>
        <v>..</v>
      </c>
      <c r="AQ225" s="1288" t="str">
        <f>$I$225&amp;"."&amp;$M$225&amp;"."&amp;$Q$225&amp;"."&amp;$U$225</f>
        <v>...</v>
      </c>
    </row>
    <row s="2974" customFormat="1" customHeight="1" ht="17.25" hidden="1">
      <c r="A226" s="314"/>
      <c r="C226" s="313"/>
      <c r="D226" s="1991"/>
      <c r="E226" s="1993"/>
      <c r="F226" s="1996"/>
      <c r="G226" s="1993"/>
      <c r="H226" s="1999"/>
      <c r="I226" s="2001"/>
      <c r="J226" s="2003"/>
      <c r="K226" s="1990"/>
      <c r="L226" s="1990"/>
      <c r="M226" s="1990"/>
      <c r="N226" s="2006"/>
      <c r="O226" s="1990"/>
      <c r="P226" s="1990"/>
      <c r="Q226" s="1990"/>
      <c r="R226" s="2007"/>
      <c r="S226" s="1990"/>
      <c r="T226" s="1327"/>
      <c r="U226" s="1327"/>
      <c r="V226" s="1327"/>
      <c r="W226" s="1328"/>
      <c r="X226" s="1288"/>
      <c r="Y226" s="1288"/>
      <c r="Z226" s="1288"/>
      <c r="AA226" s="1288"/>
      <c r="AB226" s="1288"/>
      <c r="AC226" s="1288"/>
      <c r="AD226" s="1288"/>
      <c r="AE226" s="1288"/>
      <c r="AF226" s="1288"/>
      <c r="AG226" s="1288"/>
      <c r="AH226" s="1288"/>
      <c r="AI226" s="1288"/>
      <c r="AJ226" s="1288"/>
      <c r="AK226" s="1288"/>
      <c r="AL226" s="1288"/>
      <c r="AM226" s="1288"/>
      <c r="AN226" s="1288"/>
      <c r="AO226" s="1288"/>
      <c r="AP226" s="1288"/>
      <c r="AQ226" s="1288"/>
    </row>
    <row s="2974" customFormat="1" customHeight="1" ht="17.25" hidden="1">
      <c r="A227" s="314"/>
      <c r="C227" s="313"/>
      <c r="D227" s="1992"/>
      <c r="E227" s="1994"/>
      <c r="F227" s="1996"/>
      <c r="G227" s="1994"/>
      <c r="H227" s="1999"/>
      <c r="I227" s="2001"/>
      <c r="J227" s="2004"/>
      <c r="K227" s="1990"/>
      <c r="L227" s="1990"/>
      <c r="M227" s="1990"/>
      <c r="N227" s="2007"/>
      <c r="O227" s="1990"/>
      <c r="P227" s="1501"/>
      <c r="Q227" s="1327"/>
      <c r="R227" s="1327"/>
      <c r="S227" s="325"/>
      <c r="T227" s="325"/>
      <c r="U227" s="325"/>
      <c r="V227" s="325"/>
      <c r="W227" s="1328"/>
      <c r="X227" s="1288"/>
      <c r="Y227" s="1288"/>
      <c r="Z227" s="1288"/>
      <c r="AA227" s="1288"/>
      <c r="AB227" s="1288"/>
      <c r="AC227" s="1288"/>
      <c r="AD227" s="1288"/>
      <c r="AE227" s="1288"/>
      <c r="AF227" s="1288"/>
      <c r="AG227" s="1288"/>
      <c r="AH227" s="1288"/>
      <c r="AI227" s="1288"/>
      <c r="AJ227" s="1288"/>
      <c r="AK227" s="1288"/>
      <c r="AL227" s="1288"/>
      <c r="AM227" s="1288"/>
      <c r="AN227" s="1288"/>
      <c r="AO227" s="1288"/>
      <c r="AP227" s="1288"/>
      <c r="AQ227" s="1288"/>
    </row>
    <row s="2974" customFormat="1" customHeight="1" ht="17.25" hidden="1">
      <c r="A228" s="314"/>
      <c r="C228" s="313"/>
      <c r="D228" s="1992"/>
      <c r="E228" s="1994"/>
      <c r="F228" s="1996"/>
      <c r="G228" s="1994"/>
      <c r="H228" s="1999"/>
      <c r="I228" s="2001"/>
      <c r="J228" s="2004"/>
      <c r="K228" s="1990"/>
      <c r="L228" s="1327"/>
      <c r="M228" s="1327"/>
      <c r="N228" s="1327"/>
      <c r="O228" s="1327"/>
      <c r="P228" s="1327"/>
      <c r="Q228" s="1327"/>
      <c r="R228" s="1327"/>
      <c r="S228" s="325"/>
      <c r="T228" s="325"/>
      <c r="U228" s="325"/>
      <c r="V228" s="325"/>
      <c r="W228" s="1328"/>
      <c r="X228" s="1288"/>
      <c r="Y228" s="1288"/>
      <c r="Z228" s="1288"/>
      <c r="AA228" s="1288"/>
      <c r="AB228" s="1288"/>
      <c r="AC228" s="1288"/>
      <c r="AD228" s="1288"/>
      <c r="AE228" s="1288"/>
      <c r="AF228" s="1288"/>
      <c r="AG228" s="1288"/>
      <c r="AH228" s="1288"/>
      <c r="AI228" s="1288"/>
      <c r="AJ228" s="1288"/>
      <c r="AK228" s="1288"/>
      <c r="AL228" s="1288"/>
      <c r="AM228" s="1288"/>
      <c r="AN228" s="1288"/>
      <c r="AO228" s="1288"/>
      <c r="AP228" s="1288"/>
      <c r="AQ228" s="1288"/>
    </row>
    <row s="2974" customFormat="1" customHeight="1" ht="17.25" hidden="1">
      <c r="A229" s="314"/>
      <c r="C229" s="313"/>
      <c r="D229" s="1992"/>
      <c r="E229" s="1994"/>
      <c r="F229" s="1997"/>
      <c r="G229" s="1994"/>
      <c r="H229" s="1329"/>
      <c r="I229" s="1330"/>
      <c r="J229" s="1330"/>
      <c r="K229" s="1330"/>
      <c r="L229" s="1330"/>
      <c r="M229" s="1330"/>
      <c r="N229" s="1330"/>
      <c r="O229" s="1330"/>
      <c r="P229" s="1330"/>
      <c r="Q229" s="1330"/>
      <c r="R229" s="1330"/>
      <c r="S229" s="1331"/>
      <c r="T229" s="1331"/>
      <c r="U229" s="1331"/>
      <c r="V229" s="1331"/>
      <c r="W229" s="1332"/>
      <c r="X229" s="1288"/>
      <c r="Y229" s="1288"/>
      <c r="Z229" s="1288"/>
      <c r="AA229" s="1288"/>
      <c r="AB229" s="1288"/>
      <c r="AC229" s="1288"/>
      <c r="AD229" s="1288"/>
      <c r="AE229" s="1288"/>
      <c r="AF229" s="1288"/>
      <c r="AG229" s="1288"/>
      <c r="AH229" s="1288"/>
      <c r="AI229" s="1288"/>
      <c r="AJ229" s="1288"/>
      <c r="AK229" s="1288"/>
      <c r="AL229" s="1288"/>
      <c r="AM229" s="1288"/>
      <c r="AN229" s="1288"/>
      <c r="AO229" s="1288"/>
      <c r="AP229" s="1288"/>
      <c r="AQ229" s="1288"/>
    </row>
    <row s="2974" customFormat="1" customHeight="1" ht="17.25" hidden="1">
      <c r="A230" s="314"/>
      <c r="C230" s="195"/>
      <c r="D230" s="1991">
        <v>3</v>
      </c>
      <c r="E230" s="1993" t="s">
        <v>472</v>
      </c>
      <c r="F230" s="1995" t="s">
        <v>58</v>
      </c>
      <c r="G230" s="1993"/>
      <c r="H230" s="1998"/>
      <c r="I230" s="2000"/>
      <c r="J230" s="2002"/>
      <c r="K230" s="1989"/>
      <c r="L230" s="1989"/>
      <c r="M230" s="1989"/>
      <c r="N230" s="2005"/>
      <c r="O230" s="1989"/>
      <c r="P230" s="1989"/>
      <c r="Q230" s="1989"/>
      <c r="R230" s="2008"/>
      <c r="S230" s="1989"/>
      <c r="T230" s="1500"/>
      <c r="U230" s="1500"/>
      <c r="V230" s="1502"/>
      <c r="W230" s="1326"/>
      <c r="X230" s="1296"/>
      <c r="Y230" s="1296"/>
      <c r="Z230" s="1296"/>
      <c r="AA230" s="1296"/>
      <c r="AB230" s="1296"/>
      <c r="AC230" s="1296" t="s">
        <v>473</v>
      </c>
      <c r="AD230" s="1296" t="s">
        <v>474</v>
      </c>
      <c r="AE230" s="1296" t="s">
        <v>475</v>
      </c>
      <c r="AF230" s="1296" t="s">
        <v>476</v>
      </c>
      <c r="AG230" s="1296"/>
      <c r="AH230" s="1296" t="str">
        <f>IF($E$230=0,"",$E$230)</f>
        <v>Тариф на подключение (технологическое присоединение) к централизованной системе горячего водоснабжения</v>
      </c>
      <c r="AI230" s="1296" t="str">
        <f>IF($G$230=0,"",$G$230)</f>
        <v/>
      </c>
      <c r="AJ230" s="1296" t="str">
        <f>IF($J$230=0,"",$J$230)</f>
        <v/>
      </c>
      <c r="AK230" s="1296" t="str">
        <f>IF($K$230="нет","без дифференциации",IF($N$230=0,"",$N$230))</f>
        <v/>
      </c>
      <c r="AL230" s="1296" t="str">
        <f>IF($O$230="нет","без дифференциации",IF($R$230=0,"",$R$230))</f>
        <v/>
      </c>
      <c r="AM230" s="1296" t="str">
        <f>IF($S$230="нет","без дифференциации",IF($V$230=0,"",$V$230))</f>
        <v/>
      </c>
      <c r="AN230" s="1813">
        <f>$I$230</f>
        <v>0</v>
      </c>
      <c r="AO230" s="1296" t="str">
        <f>$I$230&amp;"."&amp;$M$230</f>
        <v>.</v>
      </c>
      <c r="AP230" s="1288" t="str">
        <f>$I$230&amp;"."&amp;$M$230&amp;"."&amp;$Q$230</f>
        <v>..</v>
      </c>
      <c r="AQ230" s="1288" t="str">
        <f>$I$230&amp;"."&amp;$M$230&amp;"."&amp;$Q$230&amp;"."&amp;$U$230</f>
        <v>...</v>
      </c>
    </row>
    <row s="2974" customFormat="1" customHeight="1" ht="17.25" hidden="1">
      <c r="A231" s="314"/>
      <c r="C231" s="313"/>
      <c r="D231" s="1991"/>
      <c r="E231" s="1993"/>
      <c r="F231" s="1996"/>
      <c r="G231" s="1993"/>
      <c r="H231" s="1999"/>
      <c r="I231" s="2001"/>
      <c r="J231" s="2003"/>
      <c r="K231" s="1990"/>
      <c r="L231" s="1990"/>
      <c r="M231" s="1990"/>
      <c r="N231" s="2006"/>
      <c r="O231" s="1990"/>
      <c r="P231" s="1990"/>
      <c r="Q231" s="1990"/>
      <c r="R231" s="2007"/>
      <c r="S231" s="1990"/>
      <c r="T231" s="1327"/>
      <c r="U231" s="1327"/>
      <c r="V231" s="1327"/>
      <c r="W231" s="1328"/>
      <c r="X231" s="1288"/>
      <c r="Y231" s="1288"/>
      <c r="Z231" s="1288"/>
      <c r="AA231" s="1288"/>
      <c r="AB231" s="1288"/>
      <c r="AC231" s="1288"/>
      <c r="AD231" s="1288"/>
      <c r="AE231" s="1288"/>
      <c r="AF231" s="1288"/>
      <c r="AG231" s="1288"/>
      <c r="AH231" s="1288"/>
      <c r="AI231" s="1288"/>
      <c r="AJ231" s="1288"/>
      <c r="AK231" s="1288"/>
      <c r="AL231" s="1288"/>
      <c r="AM231" s="1288"/>
      <c r="AN231" s="1288"/>
      <c r="AO231" s="1288"/>
      <c r="AP231" s="1288"/>
      <c r="AQ231" s="1288"/>
    </row>
    <row s="2974" customFormat="1" customHeight="1" ht="17.25" hidden="1">
      <c r="A232" s="314"/>
      <c r="C232" s="313"/>
      <c r="D232" s="1992"/>
      <c r="E232" s="1994"/>
      <c r="F232" s="1996"/>
      <c r="G232" s="1994"/>
      <c r="H232" s="1999"/>
      <c r="I232" s="2001"/>
      <c r="J232" s="2004"/>
      <c r="K232" s="1990"/>
      <c r="L232" s="1990"/>
      <c r="M232" s="1990"/>
      <c r="N232" s="2007"/>
      <c r="O232" s="1990"/>
      <c r="P232" s="1501"/>
      <c r="Q232" s="1327"/>
      <c r="R232" s="1327"/>
      <c r="S232" s="325"/>
      <c r="T232" s="325"/>
      <c r="U232" s="325"/>
      <c r="V232" s="325"/>
      <c r="W232" s="1328"/>
      <c r="X232" s="1288"/>
      <c r="Y232" s="1288"/>
      <c r="Z232" s="1288"/>
      <c r="AA232" s="1288"/>
      <c r="AB232" s="1288"/>
      <c r="AC232" s="1288"/>
      <c r="AD232" s="1288"/>
      <c r="AE232" s="1288"/>
      <c r="AF232" s="1288"/>
      <c r="AG232" s="1288"/>
      <c r="AH232" s="1288"/>
      <c r="AI232" s="1288"/>
      <c r="AJ232" s="1288"/>
      <c r="AK232" s="1288"/>
      <c r="AL232" s="1288"/>
      <c r="AM232" s="1288"/>
      <c r="AN232" s="1288"/>
      <c r="AO232" s="1288"/>
      <c r="AP232" s="1288"/>
      <c r="AQ232" s="1288"/>
    </row>
    <row s="2974" customFormat="1" customHeight="1" ht="17.25" hidden="1">
      <c r="A233" s="314"/>
      <c r="C233" s="313"/>
      <c r="D233" s="1992"/>
      <c r="E233" s="1994"/>
      <c r="F233" s="1996"/>
      <c r="G233" s="1994"/>
      <c r="H233" s="1999"/>
      <c r="I233" s="2001"/>
      <c r="J233" s="2004"/>
      <c r="K233" s="1990"/>
      <c r="L233" s="1327"/>
      <c r="M233" s="1327"/>
      <c r="N233" s="1327"/>
      <c r="O233" s="1327"/>
      <c r="P233" s="1327"/>
      <c r="Q233" s="1327"/>
      <c r="R233" s="1327"/>
      <c r="S233" s="325"/>
      <c r="T233" s="325"/>
      <c r="U233" s="325"/>
      <c r="V233" s="325"/>
      <c r="W233" s="1328"/>
      <c r="X233" s="1288"/>
      <c r="Y233" s="1288"/>
      <c r="Z233" s="1288"/>
      <c r="AA233" s="1288"/>
      <c r="AB233" s="1288"/>
      <c r="AC233" s="1288"/>
      <c r="AD233" s="1288"/>
      <c r="AE233" s="1288"/>
      <c r="AF233" s="1288"/>
      <c r="AG233" s="1288"/>
      <c r="AH233" s="1288"/>
      <c r="AI233" s="1288"/>
      <c r="AJ233" s="1288"/>
      <c r="AK233" s="1288"/>
      <c r="AL233" s="1288"/>
      <c r="AM233" s="1288"/>
      <c r="AN233" s="1288"/>
      <c r="AO233" s="1288"/>
      <c r="AP233" s="1288"/>
      <c r="AQ233" s="1288"/>
    </row>
    <row s="2974" customFormat="1" customHeight="1" ht="17.25" hidden="1">
      <c r="A234" s="314"/>
      <c r="C234" s="313"/>
      <c r="D234" s="1992"/>
      <c r="E234" s="1994"/>
      <c r="F234" s="1997"/>
      <c r="G234" s="1994"/>
      <c r="H234" s="1329"/>
      <c r="I234" s="1330"/>
      <c r="J234" s="1330"/>
      <c r="K234" s="1330"/>
      <c r="L234" s="1330"/>
      <c r="M234" s="1330"/>
      <c r="N234" s="1330"/>
      <c r="O234" s="1330"/>
      <c r="P234" s="1330"/>
      <c r="Q234" s="1330"/>
      <c r="R234" s="1330"/>
      <c r="S234" s="1331"/>
      <c r="T234" s="1331"/>
      <c r="U234" s="1331"/>
      <c r="V234" s="1331"/>
      <c r="W234" s="1332"/>
      <c r="X234" s="1288"/>
      <c r="Y234" s="1288"/>
      <c r="Z234" s="1288"/>
      <c r="AA234" s="1288"/>
      <c r="AB234" s="1288"/>
      <c r="AC234" s="1288"/>
      <c r="AD234" s="1288"/>
      <c r="AE234" s="1288"/>
      <c r="AF234" s="1288"/>
      <c r="AG234" s="1288"/>
      <c r="AH234" s="1288"/>
      <c r="AI234" s="1288"/>
      <c r="AJ234" s="1288"/>
      <c r="AK234" s="1288"/>
      <c r="AL234" s="1288"/>
      <c r="AM234" s="1288"/>
      <c r="AN234" s="1288"/>
      <c r="AO234" s="1288"/>
      <c r="AP234" s="1288"/>
      <c r="AQ234" s="1288"/>
    </row>
    <row s="2974" customFormat="1" customHeight="1" ht="11.25" hidden="1">
      <c r="A235" s="263"/>
      <c r="B235" s="263"/>
      <c r="Y235" s="1288"/>
      <c r="Z235" s="1288"/>
      <c r="AA235" s="1288"/>
      <c r="AB235" s="1288"/>
      <c r="AC235" s="1288"/>
      <c r="AD235" s="1288"/>
      <c r="AE235" s="1288"/>
      <c r="AF235" s="1288"/>
      <c r="AG235" s="1288"/>
      <c r="AH235" s="1288"/>
      <c r="AI235" s="1288"/>
      <c r="AJ235" s="1288"/>
      <c r="AK235" s="1288"/>
      <c r="AL235" s="1288"/>
      <c r="AM235" s="1288"/>
      <c r="AN235" s="1288"/>
      <c r="AO235" s="1288"/>
      <c r="AP235" s="1288"/>
      <c r="AQ235" s="1288"/>
    </row>
    <row s="2974" customFormat="1" customHeight="1" ht="17.25" hidden="1">
      <c r="A236" s="314"/>
      <c r="C236" s="195"/>
      <c r="D236" s="1991">
        <v>1</v>
      </c>
      <c r="E236" s="1993" t="s">
        <v>477</v>
      </c>
      <c r="F236" s="1995" t="s">
        <v>58</v>
      </c>
      <c r="G236" s="1993"/>
      <c r="H236" s="1998"/>
      <c r="I236" s="2000"/>
      <c r="J236" s="2002"/>
      <c r="K236" s="1989"/>
      <c r="L236" s="1989"/>
      <c r="M236" s="1989"/>
      <c r="N236" s="2005"/>
      <c r="O236" s="1989"/>
      <c r="P236" s="1989"/>
      <c r="Q236" s="1989"/>
      <c r="R236" s="2008"/>
      <c r="S236" s="1989"/>
      <c r="T236" s="1500"/>
      <c r="U236" s="1500"/>
      <c r="V236" s="1502"/>
      <c r="W236" s="1326"/>
      <c r="Y236" s="1296"/>
      <c r="Z236" s="1296"/>
      <c r="AA236" s="1296"/>
      <c r="AB236" s="1296"/>
      <c r="AC236" s="1296" t="s">
        <v>478</v>
      </c>
      <c r="AD236" s="1296" t="s">
        <v>479</v>
      </c>
      <c r="AE236" s="1296" t="s">
        <v>480</v>
      </c>
      <c r="AF236" s="1296" t="s">
        <v>481</v>
      </c>
      <c r="AG236" s="1296"/>
      <c r="AH236" s="1296" t="str">
        <f>IF($E$236=0,"",$E$236)</f>
        <v>Тариф на водоотведение</v>
      </c>
      <c r="AI236" s="1296" t="str">
        <f>IF($G$236=0,"",$G$236)</f>
        <v/>
      </c>
      <c r="AJ236" s="1296" t="str">
        <f>IF($J$236=0,"",$J$236)</f>
        <v/>
      </c>
      <c r="AK236" s="1296" t="str">
        <f>IF($K$236="нет","без дифференциации",IF($N$236=0,"",$N$236))</f>
        <v/>
      </c>
      <c r="AL236" s="1296" t="str">
        <f>IF($O$236="нет","без дифференциации",IF($R$236=0,"",$R$236))</f>
        <v/>
      </c>
      <c r="AM236" s="1296" t="str">
        <f>IF($S$236="нет","без дифференциации",IF($V$236=0,"",$V$236))</f>
        <v/>
      </c>
      <c r="AN236" s="1296">
        <f>$I$236</f>
        <v>0</v>
      </c>
      <c r="AO236" s="1296" t="str">
        <f>$I$236&amp;"."&amp;$M$236</f>
        <v>.</v>
      </c>
      <c r="AP236" s="1296" t="str">
        <f>$I$236&amp;"."&amp;$M$236&amp;"."&amp;$Q$236</f>
        <v>..</v>
      </c>
      <c r="AQ236" s="1296" t="str">
        <f>$I$236&amp;"."&amp;$M$236&amp;"."&amp;$Q$236&amp;"."&amp;$U$236</f>
        <v>...</v>
      </c>
    </row>
    <row s="2974" customFormat="1" customHeight="1" ht="17.25" hidden="1">
      <c r="A237" s="314"/>
      <c r="C237" s="313"/>
      <c r="D237" s="1991"/>
      <c r="E237" s="1993"/>
      <c r="F237" s="1996"/>
      <c r="G237" s="1993"/>
      <c r="H237" s="1999"/>
      <c r="I237" s="2001"/>
      <c r="J237" s="2003"/>
      <c r="K237" s="1990"/>
      <c r="L237" s="1990"/>
      <c r="M237" s="1990"/>
      <c r="N237" s="2006"/>
      <c r="O237" s="1990"/>
      <c r="P237" s="1990"/>
      <c r="Q237" s="1990"/>
      <c r="R237" s="2007"/>
      <c r="S237" s="1990"/>
      <c r="T237" s="1327"/>
      <c r="U237" s="1327"/>
      <c r="V237" s="1327"/>
      <c r="W237" s="1328"/>
      <c r="Y237" s="1288"/>
      <c r="Z237" s="1288"/>
      <c r="AA237" s="1288"/>
      <c r="AB237" s="1288"/>
      <c r="AC237" s="1288"/>
      <c r="AD237" s="1288"/>
      <c r="AE237" s="1288"/>
      <c r="AF237" s="1288"/>
      <c r="AG237" s="1288"/>
      <c r="AH237" s="1288"/>
      <c r="AI237" s="1288"/>
      <c r="AJ237" s="1288"/>
      <c r="AK237" s="1288"/>
      <c r="AL237" s="1288"/>
      <c r="AM237" s="1288"/>
      <c r="AN237" s="1288"/>
      <c r="AO237" s="1288"/>
      <c r="AP237" s="1288"/>
      <c r="AQ237" s="1288"/>
    </row>
    <row s="2974" customFormat="1" customHeight="1" ht="17.25" hidden="1">
      <c r="A238" s="314"/>
      <c r="C238" s="195"/>
      <c r="D238" s="1991"/>
      <c r="E238" s="1993"/>
      <c r="F238" s="1996"/>
      <c r="G238" s="1993"/>
      <c r="H238" s="1999"/>
      <c r="I238" s="2001"/>
      <c r="J238" s="2004"/>
      <c r="K238" s="1990"/>
      <c r="L238" s="1990"/>
      <c r="M238" s="1990"/>
      <c r="N238" s="2007"/>
      <c r="O238" s="1990"/>
      <c r="P238" s="1501"/>
      <c r="Q238" s="1327"/>
      <c r="R238" s="1327"/>
      <c r="S238" s="325"/>
      <c r="T238" s="325"/>
      <c r="U238" s="325"/>
      <c r="V238" s="325"/>
      <c r="W238" s="1328"/>
      <c r="Y238" s="1296"/>
      <c r="Z238" s="1296"/>
      <c r="AA238" s="1296"/>
      <c r="AB238" s="1296"/>
      <c r="AC238" s="1296"/>
      <c r="AD238" s="1296"/>
      <c r="AE238" s="1296"/>
      <c r="AF238" s="1296"/>
      <c r="AG238" s="1296"/>
      <c r="AH238" s="1296"/>
      <c r="AI238" s="1296"/>
      <c r="AJ238" s="1296"/>
      <c r="AK238" s="1296"/>
      <c r="AL238" s="1296"/>
      <c r="AM238" s="1296"/>
      <c r="AN238" s="1296"/>
      <c r="AO238" s="1296"/>
      <c r="AP238" s="1296"/>
      <c r="AQ238" s="1296"/>
    </row>
    <row s="2974" customFormat="1" customHeight="1" ht="17.25" hidden="1">
      <c r="A239" s="314"/>
      <c r="C239" s="313"/>
      <c r="D239" s="1991"/>
      <c r="E239" s="1993"/>
      <c r="F239" s="1996"/>
      <c r="G239" s="1993"/>
      <c r="H239" s="1999"/>
      <c r="I239" s="2001"/>
      <c r="J239" s="2004"/>
      <c r="K239" s="1990"/>
      <c r="L239" s="1327"/>
      <c r="M239" s="1327"/>
      <c r="N239" s="1327"/>
      <c r="O239" s="1327"/>
      <c r="P239" s="1327"/>
      <c r="Q239" s="1327"/>
      <c r="R239" s="1327"/>
      <c r="S239" s="325"/>
      <c r="T239" s="325"/>
      <c r="U239" s="325"/>
      <c r="V239" s="325"/>
      <c r="W239" s="1328"/>
      <c r="Y239" s="1288"/>
      <c r="Z239" s="1288"/>
      <c r="AA239" s="1288"/>
      <c r="AB239" s="1288"/>
      <c r="AC239" s="1288"/>
      <c r="AD239" s="1288"/>
      <c r="AE239" s="1288"/>
      <c r="AF239" s="1288"/>
      <c r="AG239" s="1288"/>
      <c r="AH239" s="1288"/>
      <c r="AI239" s="1288"/>
      <c r="AJ239" s="1288"/>
      <c r="AK239" s="1288"/>
      <c r="AL239" s="1288"/>
      <c r="AM239" s="1288"/>
      <c r="AN239" s="1288"/>
      <c r="AO239" s="1288"/>
      <c r="AP239" s="1288"/>
      <c r="AQ239" s="1288"/>
    </row>
    <row s="2974" customFormat="1" customHeight="1" ht="17.25" hidden="1">
      <c r="A240" s="314"/>
      <c r="C240" s="313"/>
      <c r="D240" s="1992"/>
      <c r="E240" s="1994"/>
      <c r="F240" s="1997"/>
      <c r="G240" s="1994"/>
      <c r="H240" s="1329"/>
      <c r="I240" s="1330"/>
      <c r="J240" s="1330"/>
      <c r="K240" s="1330"/>
      <c r="L240" s="1330"/>
      <c r="M240" s="1330"/>
      <c r="N240" s="1330"/>
      <c r="O240" s="1330"/>
      <c r="P240" s="1330"/>
      <c r="Q240" s="1330"/>
      <c r="R240" s="1330"/>
      <c r="S240" s="1331"/>
      <c r="T240" s="1331"/>
      <c r="U240" s="1331"/>
      <c r="V240" s="1331"/>
      <c r="W240" s="1332"/>
      <c r="Y240" s="1288"/>
      <c r="Z240" s="1288"/>
      <c r="AA240" s="1288"/>
      <c r="AB240" s="1288"/>
      <c r="AC240" s="1288"/>
      <c r="AD240" s="1288"/>
      <c r="AE240" s="1288"/>
      <c r="AF240" s="1288"/>
      <c r="AG240" s="1288"/>
      <c r="AH240" s="1288"/>
      <c r="AI240" s="1288"/>
      <c r="AJ240" s="1288"/>
      <c r="AK240" s="1288"/>
      <c r="AL240" s="1288"/>
      <c r="AM240" s="1288"/>
      <c r="AN240" s="1288"/>
      <c r="AO240" s="1288"/>
      <c r="AP240" s="1288"/>
      <c r="AQ240" s="1288"/>
    </row>
    <row s="2974" customFormat="1" customHeight="1" ht="17.25" hidden="1">
      <c r="A241" s="314"/>
      <c r="C241" s="195"/>
      <c r="D241" s="1991">
        <v>2</v>
      </c>
      <c r="E241" s="1993" t="s">
        <v>482</v>
      </c>
      <c r="F241" s="1995" t="s">
        <v>58</v>
      </c>
      <c r="G241" s="1993"/>
      <c r="H241" s="1998"/>
      <c r="I241" s="2000"/>
      <c r="J241" s="2002"/>
      <c r="K241" s="1989"/>
      <c r="L241" s="1989"/>
      <c r="M241" s="1989"/>
      <c r="N241" s="2005"/>
      <c r="O241" s="1989"/>
      <c r="P241" s="1989"/>
      <c r="Q241" s="1989"/>
      <c r="R241" s="2008"/>
      <c r="S241" s="1989"/>
      <c r="T241" s="1500"/>
      <c r="U241" s="1500"/>
      <c r="V241" s="1502"/>
      <c r="W241" s="1326"/>
      <c r="X241" s="1296"/>
      <c r="Y241" s="1296"/>
      <c r="Z241" s="1296"/>
      <c r="AA241" s="1296"/>
      <c r="AB241" s="1296"/>
      <c r="AC241" s="1296" t="s">
        <v>483</v>
      </c>
      <c r="AD241" s="1296" t="s">
        <v>484</v>
      </c>
      <c r="AE241" s="1296" t="s">
        <v>485</v>
      </c>
      <c r="AF241" s="1296" t="s">
        <v>486</v>
      </c>
      <c r="AG241" s="1296"/>
      <c r="AH241" s="1296" t="str">
        <f>IF($E$241=0,"",$E$241)</f>
        <v>Тариф на транспортировку сточных вод</v>
      </c>
      <c r="AI241" s="1296" t="str">
        <f>IF($G$241=0,"",$G$241)</f>
        <v/>
      </c>
      <c r="AJ241" s="1296" t="str">
        <f>IF($J$241=0,"",$J$241)</f>
        <v/>
      </c>
      <c r="AK241" s="1296" t="str">
        <f>IF($K$241="нет","без дифференциации",IF($N$241=0,"",$N$241))</f>
        <v/>
      </c>
      <c r="AL241" s="1296" t="str">
        <f>IF($O$241="нет","без дифференциации",IF($R$241=0,"",$R$241))</f>
        <v/>
      </c>
      <c r="AM241" s="1296" t="str">
        <f>IF($S$241="нет","без дифференциации",IF($V$241=0,"",$V$241))</f>
        <v/>
      </c>
      <c r="AN241" s="1813">
        <f>$I$241</f>
        <v>0</v>
      </c>
      <c r="AO241" s="1296" t="str">
        <f>$I$241&amp;"."&amp;$M$241</f>
        <v>.</v>
      </c>
      <c r="AP241" s="1288" t="str">
        <f>$I$241&amp;"."&amp;$M$241&amp;"."&amp;$Q$241</f>
        <v>..</v>
      </c>
      <c r="AQ241" s="1288" t="str">
        <f>$I$241&amp;"."&amp;$M$241&amp;"."&amp;$Q$241&amp;"."&amp;$U$241</f>
        <v>...</v>
      </c>
    </row>
    <row s="2974" customFormat="1" customHeight="1" ht="17.25" hidden="1">
      <c r="A242" s="314"/>
      <c r="C242" s="313"/>
      <c r="D242" s="1991"/>
      <c r="E242" s="1993"/>
      <c r="F242" s="1996"/>
      <c r="G242" s="1993"/>
      <c r="H242" s="1999"/>
      <c r="I242" s="2001"/>
      <c r="J242" s="2003"/>
      <c r="K242" s="1990"/>
      <c r="L242" s="1990"/>
      <c r="M242" s="1990"/>
      <c r="N242" s="2006"/>
      <c r="O242" s="1990"/>
      <c r="P242" s="1990"/>
      <c r="Q242" s="1990"/>
      <c r="R242" s="2007"/>
      <c r="S242" s="1990"/>
      <c r="T242" s="1327"/>
      <c r="U242" s="1327"/>
      <c r="V242" s="1327"/>
      <c r="W242" s="1328"/>
      <c r="X242" s="1288"/>
      <c r="Y242" s="1288"/>
      <c r="Z242" s="1288"/>
      <c r="AA242" s="1288"/>
      <c r="AB242" s="1288"/>
      <c r="AC242" s="1288"/>
      <c r="AD242" s="1288"/>
      <c r="AE242" s="1288"/>
      <c r="AF242" s="1288"/>
      <c r="AG242" s="1288"/>
      <c r="AH242" s="1288"/>
      <c r="AI242" s="1288"/>
      <c r="AJ242" s="1288"/>
      <c r="AK242" s="1288"/>
      <c r="AL242" s="1288"/>
      <c r="AM242" s="1288"/>
      <c r="AN242" s="1288"/>
      <c r="AO242" s="1288"/>
      <c r="AP242" s="1288"/>
      <c r="AQ242" s="1288"/>
    </row>
    <row s="2974" customFormat="1" customHeight="1" ht="17.25" hidden="1">
      <c r="A243" s="314"/>
      <c r="C243" s="313"/>
      <c r="D243" s="1992"/>
      <c r="E243" s="1994"/>
      <c r="F243" s="1996"/>
      <c r="G243" s="1994"/>
      <c r="H243" s="1999"/>
      <c r="I243" s="2001"/>
      <c r="J243" s="2004"/>
      <c r="K243" s="1990"/>
      <c r="L243" s="1990"/>
      <c r="M243" s="1990"/>
      <c r="N243" s="2007"/>
      <c r="O243" s="1990"/>
      <c r="P243" s="1501"/>
      <c r="Q243" s="1327"/>
      <c r="R243" s="1327"/>
      <c r="S243" s="325"/>
      <c r="T243" s="325"/>
      <c r="U243" s="325"/>
      <c r="V243" s="325"/>
      <c r="W243" s="1328"/>
      <c r="X243" s="1288"/>
      <c r="Y243" s="1288"/>
      <c r="Z243" s="1288"/>
      <c r="AA243" s="1288"/>
      <c r="AB243" s="1288"/>
      <c r="AC243" s="1288"/>
      <c r="AD243" s="1288"/>
      <c r="AE243" s="1288"/>
      <c r="AF243" s="1288"/>
      <c r="AG243" s="1288"/>
      <c r="AH243" s="1288"/>
      <c r="AI243" s="1288"/>
      <c r="AJ243" s="1288"/>
      <c r="AK243" s="1288"/>
      <c r="AL243" s="1288"/>
      <c r="AM243" s="1288"/>
      <c r="AN243" s="1288"/>
      <c r="AO243" s="1288"/>
      <c r="AP243" s="1288"/>
      <c r="AQ243" s="1288"/>
    </row>
    <row s="2974" customFormat="1" customHeight="1" ht="17.25" hidden="1">
      <c r="A244" s="314"/>
      <c r="C244" s="313"/>
      <c r="D244" s="1992"/>
      <c r="E244" s="1994"/>
      <c r="F244" s="1996"/>
      <c r="G244" s="1994"/>
      <c r="H244" s="1999"/>
      <c r="I244" s="2001"/>
      <c r="J244" s="2004"/>
      <c r="K244" s="1990"/>
      <c r="L244" s="1327"/>
      <c r="M244" s="1327"/>
      <c r="N244" s="1327"/>
      <c r="O244" s="1327"/>
      <c r="P244" s="1327"/>
      <c r="Q244" s="1327"/>
      <c r="R244" s="1327"/>
      <c r="S244" s="325"/>
      <c r="T244" s="325"/>
      <c r="U244" s="325"/>
      <c r="V244" s="325"/>
      <c r="W244" s="1328"/>
      <c r="X244" s="1288"/>
      <c r="Y244" s="1288"/>
      <c r="Z244" s="1288"/>
      <c r="AA244" s="1288"/>
      <c r="AB244" s="1288"/>
      <c r="AC244" s="1288"/>
      <c r="AD244" s="1288"/>
      <c r="AE244" s="1288"/>
      <c r="AF244" s="1288"/>
      <c r="AG244" s="1288"/>
      <c r="AH244" s="1288"/>
      <c r="AI244" s="1288"/>
      <c r="AJ244" s="1288"/>
      <c r="AK244" s="1288"/>
      <c r="AL244" s="1288"/>
      <c r="AM244" s="1288"/>
      <c r="AN244" s="1288"/>
      <c r="AO244" s="1288"/>
      <c r="AP244" s="1288"/>
      <c r="AQ244" s="1288"/>
    </row>
    <row s="2974" customFormat="1" customHeight="1" ht="17.25" hidden="1">
      <c r="A245" s="314"/>
      <c r="C245" s="313"/>
      <c r="D245" s="1992"/>
      <c r="E245" s="1994"/>
      <c r="F245" s="1997"/>
      <c r="G245" s="1994"/>
      <c r="H245" s="1329"/>
      <c r="I245" s="1330"/>
      <c r="J245" s="1330"/>
      <c r="K245" s="1330"/>
      <c r="L245" s="1330"/>
      <c r="M245" s="1330"/>
      <c r="N245" s="1330"/>
      <c r="O245" s="1330"/>
      <c r="P245" s="1330"/>
      <c r="Q245" s="1330"/>
      <c r="R245" s="1330"/>
      <c r="S245" s="1331"/>
      <c r="T245" s="1331"/>
      <c r="U245" s="1331"/>
      <c r="V245" s="1331"/>
      <c r="W245" s="1332"/>
      <c r="X245" s="1288"/>
      <c r="Y245" s="1288"/>
      <c r="Z245" s="1288"/>
      <c r="AA245" s="1288"/>
      <c r="AB245" s="1288"/>
      <c r="AC245" s="1288"/>
      <c r="AD245" s="1288"/>
      <c r="AE245" s="1288"/>
      <c r="AF245" s="1288"/>
      <c r="AG245" s="1288"/>
      <c r="AH245" s="1288"/>
      <c r="AI245" s="1288"/>
      <c r="AJ245" s="1288"/>
      <c r="AK245" s="1288"/>
      <c r="AL245" s="1288"/>
      <c r="AM245" s="1288"/>
      <c r="AN245" s="1288"/>
      <c r="AO245" s="1288"/>
      <c r="AP245" s="1288"/>
      <c r="AQ245" s="1288"/>
    </row>
    <row s="2974" customFormat="1" customHeight="1" ht="17.25" hidden="1">
      <c r="A246" s="314"/>
      <c r="C246" s="195"/>
      <c r="D246" s="1991">
        <v>3</v>
      </c>
      <c r="E246" s="1993" t="s">
        <v>487</v>
      </c>
      <c r="F246" s="1995" t="s">
        <v>58</v>
      </c>
      <c r="G246" s="1993"/>
      <c r="H246" s="1998"/>
      <c r="I246" s="2000"/>
      <c r="J246" s="2002"/>
      <c r="K246" s="1989"/>
      <c r="L246" s="1989"/>
      <c r="M246" s="1989"/>
      <c r="N246" s="2005"/>
      <c r="O246" s="1989"/>
      <c r="P246" s="1989"/>
      <c r="Q246" s="1989"/>
      <c r="R246" s="2008"/>
      <c r="S246" s="1989"/>
      <c r="T246" s="1500"/>
      <c r="U246" s="1500"/>
      <c r="V246" s="1502"/>
      <c r="W246" s="1326"/>
      <c r="X246" s="1296"/>
      <c r="Y246" s="1296"/>
      <c r="Z246" s="1296"/>
      <c r="AA246" s="1296"/>
      <c r="AB246" s="1296"/>
      <c r="AC246" s="1296" t="s">
        <v>488</v>
      </c>
      <c r="AD246" s="1296" t="s">
        <v>489</v>
      </c>
      <c r="AE246" s="1296" t="s">
        <v>490</v>
      </c>
      <c r="AF246" s="1296" t="s">
        <v>491</v>
      </c>
      <c r="AG246" s="1296"/>
      <c r="AH246" s="1296" t="str">
        <f>IF($E$246=0,"",$E$246)</f>
        <v>Тариф на подключение (технологическое присоединение) к централизованной системе водоотведения</v>
      </c>
      <c r="AI246" s="1296" t="str">
        <f>IF($G$246=0,"",$G$246)</f>
        <v/>
      </c>
      <c r="AJ246" s="1296" t="str">
        <f>IF($J$246=0,"",$J$246)</f>
        <v/>
      </c>
      <c r="AK246" s="1296" t="str">
        <f>IF($K$246="нет","без дифференциации",IF($N$246=0,"",$N$246))</f>
        <v/>
      </c>
      <c r="AL246" s="1296" t="str">
        <f>IF($O$246="нет","без дифференциации",IF($R$246=0,"",$R$246))</f>
        <v/>
      </c>
      <c r="AM246" s="1296" t="str">
        <f>IF($S$246="нет","без дифференциации",IF($V$246=0,"",$V$246))</f>
        <v/>
      </c>
      <c r="AN246" s="1813">
        <f>$I$246</f>
        <v>0</v>
      </c>
      <c r="AO246" s="1296" t="str">
        <f>$I$246&amp;"."&amp;$M$246</f>
        <v>.</v>
      </c>
      <c r="AP246" s="1288" t="str">
        <f>$I$246&amp;"."&amp;$M$246&amp;"."&amp;$Q$246</f>
        <v>..</v>
      </c>
      <c r="AQ246" s="1288" t="str">
        <f>$I$246&amp;"."&amp;$M$246&amp;"."&amp;$Q$246&amp;"."&amp;$U$246</f>
        <v>...</v>
      </c>
    </row>
    <row s="2974" customFormat="1" customHeight="1" ht="17.25" hidden="1">
      <c r="A247" s="314"/>
      <c r="C247" s="313"/>
      <c r="D247" s="1991"/>
      <c r="E247" s="1993"/>
      <c r="F247" s="1996"/>
      <c r="G247" s="1993"/>
      <c r="H247" s="1999"/>
      <c r="I247" s="2001"/>
      <c r="J247" s="2003"/>
      <c r="K247" s="1990"/>
      <c r="L247" s="1990"/>
      <c r="M247" s="1990"/>
      <c r="N247" s="2006"/>
      <c r="O247" s="1990"/>
      <c r="P247" s="1990"/>
      <c r="Q247" s="1990"/>
      <c r="R247" s="2007"/>
      <c r="S247" s="1990"/>
      <c r="T247" s="1327"/>
      <c r="U247" s="1327"/>
      <c r="V247" s="1327"/>
      <c r="W247" s="1328"/>
      <c r="X247" s="1288"/>
      <c r="Y247" s="1288"/>
      <c r="Z247" s="1288"/>
      <c r="AA247" s="1288"/>
      <c r="AB247" s="1288"/>
      <c r="AC247" s="1288"/>
      <c r="AD247" s="1288"/>
      <c r="AE247" s="1288"/>
      <c r="AF247" s="1288"/>
      <c r="AG247" s="1288"/>
      <c r="AH247" s="1288"/>
      <c r="AI247" s="1288"/>
      <c r="AJ247" s="1288"/>
      <c r="AK247" s="1288"/>
      <c r="AL247" s="1288"/>
      <c r="AM247" s="1288"/>
      <c r="AN247" s="1288"/>
      <c r="AO247" s="1288"/>
      <c r="AP247" s="1288"/>
      <c r="AQ247" s="1288"/>
    </row>
    <row s="2974" customFormat="1" customHeight="1" ht="17.25" hidden="1">
      <c r="A248" s="314"/>
      <c r="C248" s="313"/>
      <c r="D248" s="1992"/>
      <c r="E248" s="1994"/>
      <c r="F248" s="1996"/>
      <c r="G248" s="1994"/>
      <c r="H248" s="1999"/>
      <c r="I248" s="2001"/>
      <c r="J248" s="2004"/>
      <c r="K248" s="1990"/>
      <c r="L248" s="1990"/>
      <c r="M248" s="1990"/>
      <c r="N248" s="2007"/>
      <c r="O248" s="1990"/>
      <c r="P248" s="1501"/>
      <c r="Q248" s="1327"/>
      <c r="R248" s="1327"/>
      <c r="S248" s="325"/>
      <c r="T248" s="325"/>
      <c r="U248" s="325"/>
      <c r="V248" s="325"/>
      <c r="W248" s="1328"/>
      <c r="X248" s="1288"/>
      <c r="Y248" s="1288"/>
      <c r="Z248" s="1288"/>
      <c r="AA248" s="1288"/>
      <c r="AB248" s="1288"/>
      <c r="AC248" s="1288"/>
      <c r="AD248" s="1288"/>
      <c r="AE248" s="1288"/>
      <c r="AF248" s="1288"/>
      <c r="AG248" s="1288"/>
      <c r="AH248" s="1288"/>
      <c r="AI248" s="1288"/>
      <c r="AJ248" s="1288"/>
      <c r="AK248" s="1288"/>
      <c r="AL248" s="1288"/>
      <c r="AM248" s="1288"/>
      <c r="AN248" s="1288"/>
      <c r="AO248" s="1288"/>
      <c r="AP248" s="1288"/>
      <c r="AQ248" s="1288"/>
    </row>
    <row s="2974" customFormat="1" customHeight="1" ht="17.25" hidden="1">
      <c r="A249" s="314"/>
      <c r="C249" s="313"/>
      <c r="D249" s="1992"/>
      <c r="E249" s="1994"/>
      <c r="F249" s="1996"/>
      <c r="G249" s="1994"/>
      <c r="H249" s="1999"/>
      <c r="I249" s="2001"/>
      <c r="J249" s="2004"/>
      <c r="K249" s="1990"/>
      <c r="L249" s="1327"/>
      <c r="M249" s="1327"/>
      <c r="N249" s="1327"/>
      <c r="O249" s="1327"/>
      <c r="P249" s="1327"/>
      <c r="Q249" s="1327"/>
      <c r="R249" s="1327"/>
      <c r="S249" s="325"/>
      <c r="T249" s="325"/>
      <c r="U249" s="325"/>
      <c r="V249" s="325"/>
      <c r="W249" s="1328"/>
      <c r="X249" s="1288"/>
      <c r="Y249" s="1288"/>
      <c r="Z249" s="1288"/>
      <c r="AA249" s="1288"/>
      <c r="AB249" s="1288"/>
      <c r="AC249" s="1288"/>
      <c r="AD249" s="1288"/>
      <c r="AE249" s="1288"/>
      <c r="AF249" s="1288"/>
      <c r="AG249" s="1288"/>
      <c r="AH249" s="1288"/>
      <c r="AI249" s="1288"/>
      <c r="AJ249" s="1288"/>
      <c r="AK249" s="1288"/>
      <c r="AL249" s="1288"/>
      <c r="AM249" s="1288"/>
      <c r="AN249" s="1288"/>
      <c r="AO249" s="1288"/>
      <c r="AP249" s="1288"/>
      <c r="AQ249" s="1288"/>
    </row>
    <row s="2974" customFormat="1" customHeight="1" ht="17.25" hidden="1">
      <c r="A250" s="314"/>
      <c r="C250" s="313"/>
      <c r="D250" s="1992"/>
      <c r="E250" s="1994"/>
      <c r="F250" s="1997"/>
      <c r="G250" s="1994"/>
      <c r="H250" s="1329"/>
      <c r="I250" s="1330"/>
      <c r="J250" s="1330"/>
      <c r="K250" s="1330"/>
      <c r="L250" s="1330"/>
      <c r="M250" s="1330"/>
      <c r="N250" s="1330"/>
      <c r="O250" s="1330"/>
      <c r="P250" s="1330"/>
      <c r="Q250" s="1330"/>
      <c r="R250" s="1330"/>
      <c r="S250" s="1331"/>
      <c r="T250" s="1331"/>
      <c r="U250" s="1331"/>
      <c r="V250" s="1331"/>
      <c r="W250" s="1332"/>
      <c r="X250" s="1288"/>
      <c r="Y250" s="1288"/>
      <c r="Z250" s="1288"/>
      <c r="AA250" s="1288"/>
      <c r="AB250" s="1288"/>
      <c r="AC250" s="1288"/>
      <c r="AD250" s="1288"/>
      <c r="AE250" s="1288"/>
      <c r="AF250" s="1288"/>
      <c r="AG250" s="1288"/>
      <c r="AH250" s="1288"/>
      <c r="AI250" s="1288"/>
      <c r="AJ250" s="1288"/>
      <c r="AK250" s="1288"/>
      <c r="AL250" s="1288"/>
      <c r="AM250" s="1288"/>
      <c r="AN250" s="1288"/>
      <c r="AO250" s="1288"/>
      <c r="AP250" s="1288"/>
      <c r="AQ250" s="1288"/>
    </row>
    <row r="254" customHeight="1" ht="11.25">
      <c r="E254" s="1380"/>
    </row>
    <row customHeight="1" ht="11.25">
      <c r="E255" s="1380"/>
    </row>
    <row customHeight="1" ht="11.25">
      <c r="E256" s="1380"/>
    </row>
    <row customHeight="1" ht="11.25">
      <c r="E257" s="1380"/>
    </row>
    <row customHeight="1" ht="11.25">
      <c r="E258" s="1380"/>
    </row>
    <row customHeight="1" ht="11.25">
      <c r="E259" s="1380"/>
    </row>
    <row customHeight="1" ht="11.25">
      <c r="E260" s="1380"/>
    </row>
  </sheetData>
  <sheetProtection formatColumns="0" formatRows="0" autoFilter="0" sort="0" insertRows="0" insertColumns="1" deleteRows="0" deleteColumns="0"/>
  <mergeCells count="647">
    <mergeCell ref="M214:M216"/>
    <mergeCell ref="N214:N216"/>
    <mergeCell ref="O214:O216"/>
    <mergeCell ref="P214:P215"/>
    <mergeCell ref="Q214:Q215"/>
    <mergeCell ref="R214:R215"/>
    <mergeCell ref="S214:S215"/>
    <mergeCell ref="D214:D218"/>
    <mergeCell ref="E214:E218"/>
    <mergeCell ref="F214:F218"/>
    <mergeCell ref="G214:G218"/>
    <mergeCell ref="H214:H217"/>
    <mergeCell ref="I214:I217"/>
    <mergeCell ref="J214:J217"/>
    <mergeCell ref="K214:K217"/>
    <mergeCell ref="L214:L216"/>
    <mergeCell ref="M209:M211"/>
    <mergeCell ref="N209:N211"/>
    <mergeCell ref="O209:O211"/>
    <mergeCell ref="P209:P210"/>
    <mergeCell ref="Q209:Q210"/>
    <mergeCell ref="R209:R210"/>
    <mergeCell ref="S209:S210"/>
    <mergeCell ref="D204:D208"/>
    <mergeCell ref="E204:E208"/>
    <mergeCell ref="M204:M206"/>
    <mergeCell ref="D209:D213"/>
    <mergeCell ref="E209:E213"/>
    <mergeCell ref="F209:F213"/>
    <mergeCell ref="G209:G213"/>
    <mergeCell ref="H209:H212"/>
    <mergeCell ref="I209:I212"/>
    <mergeCell ref="J209:J212"/>
    <mergeCell ref="K209:K212"/>
    <mergeCell ref="L209:L211"/>
    <mergeCell ref="F204:F208"/>
    <mergeCell ref="G204:G208"/>
    <mergeCell ref="H204:H207"/>
    <mergeCell ref="I204:I207"/>
    <mergeCell ref="J204:J207"/>
    <mergeCell ref="L204:L206"/>
    <mergeCell ref="Q199:Q200"/>
    <mergeCell ref="R199:R200"/>
    <mergeCell ref="S199:S200"/>
    <mergeCell ref="K199:K202"/>
    <mergeCell ref="K194:K197"/>
    <mergeCell ref="N199:N201"/>
    <mergeCell ref="O199:O201"/>
    <mergeCell ref="P199:P200"/>
    <mergeCell ref="S204:S205"/>
    <mergeCell ref="N204:N206"/>
    <mergeCell ref="O204:O206"/>
    <mergeCell ref="P204:P205"/>
    <mergeCell ref="Q204:Q205"/>
    <mergeCell ref="R204:R205"/>
    <mergeCell ref="L199:L201"/>
    <mergeCell ref="N194:N196"/>
    <mergeCell ref="O194:O196"/>
    <mergeCell ref="P194:P195"/>
    <mergeCell ref="Q194:Q195"/>
    <mergeCell ref="R194:R195"/>
    <mergeCell ref="S194:S195"/>
    <mergeCell ref="M199:M201"/>
    <mergeCell ref="W9:W10"/>
    <mergeCell ref="O9:R9"/>
    <mergeCell ref="K9:N9"/>
    <mergeCell ref="T11:U11"/>
    <mergeCell ref="S9:V9"/>
    <mergeCell ref="T10:U10"/>
    <mergeCell ref="D194:D198"/>
    <mergeCell ref="E194:E198"/>
    <mergeCell ref="D199:D203"/>
    <mergeCell ref="E199:E203"/>
    <mergeCell ref="F199:F203"/>
    <mergeCell ref="G199:G203"/>
    <mergeCell ref="H199:H202"/>
    <mergeCell ref="I199:I202"/>
    <mergeCell ref="J199:J202"/>
    <mergeCell ref="F194:F198"/>
    <mergeCell ref="G194:G198"/>
    <mergeCell ref="H194:H197"/>
    <mergeCell ref="I194:I197"/>
    <mergeCell ref="J194:J197"/>
    <mergeCell ref="K13:K16"/>
    <mergeCell ref="G18:G22"/>
    <mergeCell ref="K18:K21"/>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P18:P19"/>
    <mergeCell ref="O18:O20"/>
    <mergeCell ref="L13:L15"/>
    <mergeCell ref="M13:M15"/>
    <mergeCell ref="N13:N15"/>
    <mergeCell ref="O13:O15"/>
    <mergeCell ref="Q13:Q14"/>
    <mergeCell ref="D18:D22"/>
    <mergeCell ref="E18:E22"/>
    <mergeCell ref="F18:F22"/>
    <mergeCell ref="Q18:Q19"/>
    <mergeCell ref="R18:R19"/>
    <mergeCell ref="H18:H21"/>
    <mergeCell ref="I18:I21"/>
    <mergeCell ref="J18:J21"/>
    <mergeCell ref="D23:D157"/>
    <mergeCell ref="E23:E157"/>
    <mergeCell ref="F23:F157"/>
    <mergeCell ref="G23:G157"/>
    <mergeCell ref="L18:L20"/>
    <mergeCell ref="M18:M20"/>
    <mergeCell ref="N18:N20"/>
    <mergeCell ref="D178:D182"/>
    <mergeCell ref="E178:E182"/>
    <mergeCell ref="F178:F182"/>
    <mergeCell ref="H178:H181"/>
    <mergeCell ref="N168:N170"/>
    <mergeCell ref="G163:G167"/>
    <mergeCell ref="K163:K166"/>
    <mergeCell ref="G178:G182"/>
    <mergeCell ref="K178:K181"/>
    <mergeCell ref="N178:N180"/>
    <mergeCell ref="I178:I181"/>
    <mergeCell ref="J178:J181"/>
    <mergeCell ref="L178:L180"/>
    <mergeCell ref="M178:M180"/>
    <mergeCell ref="L168:L170"/>
    <mergeCell ref="M168:M170"/>
    <mergeCell ref="K168:K171"/>
    <mergeCell ref="D168:D172"/>
    <mergeCell ref="I168:I171"/>
    <mergeCell ref="J168:J171"/>
    <mergeCell ref="I163:I166"/>
    <mergeCell ref="J163:J166"/>
    <mergeCell ref="L163:L165"/>
    <mergeCell ref="M163:M165"/>
    <mergeCell ref="D163:D167"/>
    <mergeCell ref="Q158:Q159"/>
    <mergeCell ref="R158:R159"/>
    <mergeCell ref="D173:D177"/>
    <mergeCell ref="E173:E177"/>
    <mergeCell ref="F173:F177"/>
    <mergeCell ref="G173:G177"/>
    <mergeCell ref="H173:H176"/>
    <mergeCell ref="I173:I176"/>
    <mergeCell ref="J173:J176"/>
    <mergeCell ref="K173:K176"/>
    <mergeCell ref="L173:L175"/>
    <mergeCell ref="D158:D162"/>
    <mergeCell ref="E158:E162"/>
    <mergeCell ref="F158:F162"/>
    <mergeCell ref="H158:H161"/>
    <mergeCell ref="I158:I161"/>
    <mergeCell ref="N158:N160"/>
    <mergeCell ref="P168:P169"/>
    <mergeCell ref="O163:O165"/>
    <mergeCell ref="Q168:Q169"/>
    <mergeCell ref="R168:R169"/>
    <mergeCell ref="O168:O170"/>
    <mergeCell ref="J158:J161"/>
    <mergeCell ref="G158:G162"/>
    <mergeCell ref="K158:K161"/>
    <mergeCell ref="S158:S159"/>
    <mergeCell ref="S163:S164"/>
    <mergeCell ref="S168:S169"/>
    <mergeCell ref="O158:O160"/>
    <mergeCell ref="E163:E167"/>
    <mergeCell ref="F163:F167"/>
    <mergeCell ref="H163:H166"/>
    <mergeCell ref="L158:L160"/>
    <mergeCell ref="M158:M160"/>
    <mergeCell ref="P163:P164"/>
    <mergeCell ref="Q163:Q164"/>
    <mergeCell ref="R163:R164"/>
    <mergeCell ref="P158:P159"/>
    <mergeCell ref="S18:S19"/>
    <mergeCell ref="M220:M222"/>
    <mergeCell ref="N220:N222"/>
    <mergeCell ref="O220:O222"/>
    <mergeCell ref="P220:P221"/>
    <mergeCell ref="Q220:Q221"/>
    <mergeCell ref="R220:R221"/>
    <mergeCell ref="S220:S221"/>
    <mergeCell ref="O178:O180"/>
    <mergeCell ref="E192:W192"/>
    <mergeCell ref="E184:W184"/>
    <mergeCell ref="E185:W185"/>
    <mergeCell ref="E186:W186"/>
    <mergeCell ref="E187:W187"/>
    <mergeCell ref="E188:W188"/>
    <mergeCell ref="L194:L196"/>
    <mergeCell ref="M194:M196"/>
    <mergeCell ref="E190:W190"/>
    <mergeCell ref="E191:W191"/>
    <mergeCell ref="K204:K207"/>
    <mergeCell ref="E168:E172"/>
    <mergeCell ref="F168:F172"/>
    <mergeCell ref="H168:H171"/>
    <mergeCell ref="G168:G172"/>
    <mergeCell ref="R13:R14"/>
    <mergeCell ref="S13:S14"/>
    <mergeCell ref="M173:M175"/>
    <mergeCell ref="N173:N175"/>
    <mergeCell ref="O173:O175"/>
    <mergeCell ref="N163:N165"/>
    <mergeCell ref="D220:D224"/>
    <mergeCell ref="E220:E224"/>
    <mergeCell ref="F220:F224"/>
    <mergeCell ref="G220:G224"/>
    <mergeCell ref="H220:H223"/>
    <mergeCell ref="I220:I223"/>
    <mergeCell ref="J220:J223"/>
    <mergeCell ref="K220:K223"/>
    <mergeCell ref="L220:L222"/>
    <mergeCell ref="P178:P179"/>
    <mergeCell ref="Q178:Q179"/>
    <mergeCell ref="R178:R179"/>
    <mergeCell ref="S178:S179"/>
    <mergeCell ref="P173:P174"/>
    <mergeCell ref="Q173:Q174"/>
    <mergeCell ref="R173:R174"/>
    <mergeCell ref="S173:S174"/>
    <mergeCell ref="P230:P231"/>
    <mergeCell ref="Q230:Q231"/>
    <mergeCell ref="R230:R231"/>
    <mergeCell ref="S230:S231"/>
    <mergeCell ref="D225:D229"/>
    <mergeCell ref="E225:E229"/>
    <mergeCell ref="F225:F229"/>
    <mergeCell ref="G225:G229"/>
    <mergeCell ref="H225:H228"/>
    <mergeCell ref="I225:I228"/>
    <mergeCell ref="J225:J228"/>
    <mergeCell ref="K225:K228"/>
    <mergeCell ref="L225:L227"/>
    <mergeCell ref="S236:S237"/>
    <mergeCell ref="D236:D240"/>
    <mergeCell ref="E236:E240"/>
    <mergeCell ref="F236:F240"/>
    <mergeCell ref="G236:G240"/>
    <mergeCell ref="M225:M227"/>
    <mergeCell ref="N225:N227"/>
    <mergeCell ref="O225:O227"/>
    <mergeCell ref="P225:P226"/>
    <mergeCell ref="Q225:Q226"/>
    <mergeCell ref="R225:R226"/>
    <mergeCell ref="S225:S226"/>
    <mergeCell ref="D230:D234"/>
    <mergeCell ref="E230:E234"/>
    <mergeCell ref="F230:F234"/>
    <mergeCell ref="G230:G234"/>
    <mergeCell ref="H230:H233"/>
    <mergeCell ref="I230:I233"/>
    <mergeCell ref="J230:J233"/>
    <mergeCell ref="K230:K233"/>
    <mergeCell ref="L230:L232"/>
    <mergeCell ref="M230:M232"/>
    <mergeCell ref="N230:N232"/>
    <mergeCell ref="O230:O232"/>
    <mergeCell ref="O236:O238"/>
    <mergeCell ref="M241:M243"/>
    <mergeCell ref="N241:N243"/>
    <mergeCell ref="O241:O243"/>
    <mergeCell ref="P236:P237"/>
    <mergeCell ref="Q236:Q237"/>
    <mergeCell ref="R236:R237"/>
    <mergeCell ref="P241:P242"/>
    <mergeCell ref="Q241:Q242"/>
    <mergeCell ref="R241:R242"/>
    <mergeCell ref="K241:K244"/>
    <mergeCell ref="L241:L243"/>
    <mergeCell ref="H236:H239"/>
    <mergeCell ref="I236:I239"/>
    <mergeCell ref="J236:J239"/>
    <mergeCell ref="K236:K239"/>
    <mergeCell ref="L236:L238"/>
    <mergeCell ref="M236:M238"/>
    <mergeCell ref="N236:N238"/>
    <mergeCell ref="S241:S242"/>
    <mergeCell ref="D246:D250"/>
    <mergeCell ref="E246:E250"/>
    <mergeCell ref="F246:F250"/>
    <mergeCell ref="G246:G250"/>
    <mergeCell ref="H246:H249"/>
    <mergeCell ref="I246:I249"/>
    <mergeCell ref="J246:J249"/>
    <mergeCell ref="K246:K249"/>
    <mergeCell ref="L246:L248"/>
    <mergeCell ref="M246:M248"/>
    <mergeCell ref="N246:N248"/>
    <mergeCell ref="O246:O248"/>
    <mergeCell ref="P246:P247"/>
    <mergeCell ref="Q246:Q247"/>
    <mergeCell ref="R246:R247"/>
    <mergeCell ref="S246:S247"/>
    <mergeCell ref="D241:D245"/>
    <mergeCell ref="E241:E245"/>
    <mergeCell ref="F241:F245"/>
    <mergeCell ref="G241:G245"/>
    <mergeCell ref="H241:H244"/>
    <mergeCell ref="I241:I244"/>
    <mergeCell ref="J241:J244"/>
    <mergeCell ref="I23:I89"/>
    <mergeCell ref="L23:L27"/>
    <mergeCell ref="N23:N27"/>
    <mergeCell ref="J23:J89"/>
    <mergeCell ref="H23:H89"/>
    <mergeCell ref="M23:M27"/>
    <mergeCell ref="O23:O27"/>
    <mergeCell ref="S23:S26"/>
    <mergeCell ref="P23:P26"/>
    <mergeCell ref="Q23:Q26"/>
    <mergeCell ref="R23:R26"/>
    <mergeCell ref="K23:K89"/>
    <mergeCell ref="L28:L30"/>
    <mergeCell ref="M28:M30"/>
    <mergeCell ref="N28:N30"/>
    <mergeCell ref="O28:O30"/>
    <mergeCell ref="P28:P29"/>
    <mergeCell ref="Q28:Q29"/>
    <mergeCell ref="R28:R29"/>
    <mergeCell ref="S28:S29"/>
    <mergeCell ref="L31:L33"/>
    <mergeCell ref="M31:M33"/>
    <mergeCell ref="N31:N33"/>
    <mergeCell ref="O31:O33"/>
    <mergeCell ref="P31:P32"/>
    <mergeCell ref="Q31:Q32"/>
    <mergeCell ref="R31:R32"/>
    <mergeCell ref="S31:S32"/>
    <mergeCell ref="L34:L36"/>
    <mergeCell ref="M34:M36"/>
    <mergeCell ref="N34:N36"/>
    <mergeCell ref="O34:O36"/>
    <mergeCell ref="P34:P35"/>
    <mergeCell ref="Q34:Q35"/>
    <mergeCell ref="R34:R35"/>
    <mergeCell ref="S34:S35"/>
    <mergeCell ref="L37:L39"/>
    <mergeCell ref="M37:M39"/>
    <mergeCell ref="N37:N39"/>
    <mergeCell ref="O37:O39"/>
    <mergeCell ref="P37:P38"/>
    <mergeCell ref="Q37:Q38"/>
    <mergeCell ref="R37:R38"/>
    <mergeCell ref="S37:S38"/>
    <mergeCell ref="L40:L42"/>
    <mergeCell ref="M40:M42"/>
    <mergeCell ref="N40:N42"/>
    <mergeCell ref="O40:O42"/>
    <mergeCell ref="P40:P41"/>
    <mergeCell ref="Q40:Q41"/>
    <mergeCell ref="R40:R41"/>
    <mergeCell ref="S40:S41"/>
    <mergeCell ref="L43:L45"/>
    <mergeCell ref="M43:M45"/>
    <mergeCell ref="N43:N45"/>
    <mergeCell ref="O43:O45"/>
    <mergeCell ref="P43:P44"/>
    <mergeCell ref="Q43:Q44"/>
    <mergeCell ref="R43:R44"/>
    <mergeCell ref="S43:S44"/>
    <mergeCell ref="L46:L48"/>
    <mergeCell ref="M46:M48"/>
    <mergeCell ref="N46:N48"/>
    <mergeCell ref="O46:O48"/>
    <mergeCell ref="P46:P47"/>
    <mergeCell ref="Q46:Q47"/>
    <mergeCell ref="R46:R47"/>
    <mergeCell ref="S46:S47"/>
    <mergeCell ref="L49:L51"/>
    <mergeCell ref="M49:M51"/>
    <mergeCell ref="N49:N51"/>
    <mergeCell ref="O49:O51"/>
    <mergeCell ref="P49:P50"/>
    <mergeCell ref="Q49:Q50"/>
    <mergeCell ref="R49:R50"/>
    <mergeCell ref="S49:S50"/>
    <mergeCell ref="L52:L55"/>
    <mergeCell ref="M52:M55"/>
    <mergeCell ref="N52:N55"/>
    <mergeCell ref="O52:O55"/>
    <mergeCell ref="P52:P54"/>
    <mergeCell ref="Q52:Q54"/>
    <mergeCell ref="R52:R54"/>
    <mergeCell ref="S52:S54"/>
    <mergeCell ref="L56:L59"/>
    <mergeCell ref="M56:M59"/>
    <mergeCell ref="N56:N59"/>
    <mergeCell ref="O56:O59"/>
    <mergeCell ref="P56:P58"/>
    <mergeCell ref="Q56:Q58"/>
    <mergeCell ref="R56:R58"/>
    <mergeCell ref="S56:S58"/>
    <mergeCell ref="L60:L62"/>
    <mergeCell ref="M60:M62"/>
    <mergeCell ref="N60:N62"/>
    <mergeCell ref="O60:O62"/>
    <mergeCell ref="P60:P61"/>
    <mergeCell ref="Q60:Q61"/>
    <mergeCell ref="R60:R61"/>
    <mergeCell ref="S60:S61"/>
    <mergeCell ref="L63:L66"/>
    <mergeCell ref="M63:M66"/>
    <mergeCell ref="N63:N66"/>
    <mergeCell ref="O63:O66"/>
    <mergeCell ref="P63:P65"/>
    <mergeCell ref="Q63:Q65"/>
    <mergeCell ref="R63:R65"/>
    <mergeCell ref="S63:S65"/>
    <mergeCell ref="L67:L69"/>
    <mergeCell ref="M67:M69"/>
    <mergeCell ref="N67:N69"/>
    <mergeCell ref="O67:O69"/>
    <mergeCell ref="P67:P68"/>
    <mergeCell ref="Q67:Q68"/>
    <mergeCell ref="R67:R68"/>
    <mergeCell ref="S67:S68"/>
    <mergeCell ref="L70:L72"/>
    <mergeCell ref="M70:M72"/>
    <mergeCell ref="N70:N72"/>
    <mergeCell ref="O70:O72"/>
    <mergeCell ref="P70:P71"/>
    <mergeCell ref="Q70:Q71"/>
    <mergeCell ref="R70:R71"/>
    <mergeCell ref="S70:S71"/>
    <mergeCell ref="L73:L76"/>
    <mergeCell ref="M73:M76"/>
    <mergeCell ref="N73:N76"/>
    <mergeCell ref="O73:O76"/>
    <mergeCell ref="P73:P75"/>
    <mergeCell ref="Q73:Q75"/>
    <mergeCell ref="R73:R75"/>
    <mergeCell ref="S73:S75"/>
    <mergeCell ref="L77:L79"/>
    <mergeCell ref="M77:M79"/>
    <mergeCell ref="N77:N79"/>
    <mergeCell ref="O77:O79"/>
    <mergeCell ref="P77:P78"/>
    <mergeCell ref="Q77:Q78"/>
    <mergeCell ref="R77:R78"/>
    <mergeCell ref="S77:S78"/>
    <mergeCell ref="L80:L82"/>
    <mergeCell ref="M80:M82"/>
    <mergeCell ref="N80:N82"/>
    <mergeCell ref="O80:O82"/>
    <mergeCell ref="P80:P81"/>
    <mergeCell ref="Q80:Q81"/>
    <mergeCell ref="R80:R81"/>
    <mergeCell ref="S80:S81"/>
    <mergeCell ref="L83:L85"/>
    <mergeCell ref="M83:M85"/>
    <mergeCell ref="N83:N85"/>
    <mergeCell ref="O83:O85"/>
    <mergeCell ref="P83:P84"/>
    <mergeCell ref="Q83:Q84"/>
    <mergeCell ref="R83:R84"/>
    <mergeCell ref="S83:S84"/>
    <mergeCell ref="L86:L88"/>
    <mergeCell ref="M86:M88"/>
    <mergeCell ref="N86:N88"/>
    <mergeCell ref="O86:O88"/>
    <mergeCell ref="P86:P87"/>
    <mergeCell ref="Q86:Q87"/>
    <mergeCell ref="R86:R87"/>
    <mergeCell ref="S86:S87"/>
    <mergeCell ref="O90:O94"/>
    <mergeCell ref="P90:P93"/>
    <mergeCell ref="Q90:Q93"/>
    <mergeCell ref="R90:R93"/>
    <mergeCell ref="S90:S93"/>
    <mergeCell ref="H90:H156"/>
    <mergeCell ref="I90:I156"/>
    <mergeCell ref="J90:J156"/>
    <mergeCell ref="K90:K156"/>
    <mergeCell ref="L90:L94"/>
    <mergeCell ref="M90:M94"/>
    <mergeCell ref="N90:N94"/>
    <mergeCell ref="L95:L97"/>
    <mergeCell ref="M95:M97"/>
    <mergeCell ref="N95:N97"/>
    <mergeCell ref="O95:O97"/>
    <mergeCell ref="P95:P96"/>
    <mergeCell ref="Q95:Q96"/>
    <mergeCell ref="R95:R96"/>
    <mergeCell ref="S95:S96"/>
    <mergeCell ref="L98:L100"/>
    <mergeCell ref="M98:M100"/>
    <mergeCell ref="N98:N100"/>
    <mergeCell ref="O98:O100"/>
    <mergeCell ref="P98:P99"/>
    <mergeCell ref="Q98:Q99"/>
    <mergeCell ref="R98:R99"/>
    <mergeCell ref="S98:S99"/>
    <mergeCell ref="L101:L103"/>
    <mergeCell ref="M101:M103"/>
    <mergeCell ref="N101:N103"/>
    <mergeCell ref="O101:O103"/>
    <mergeCell ref="P101:P102"/>
    <mergeCell ref="Q101:Q102"/>
    <mergeCell ref="R101:R102"/>
    <mergeCell ref="S101:S102"/>
    <mergeCell ref="L104:L106"/>
    <mergeCell ref="M104:M106"/>
    <mergeCell ref="N104:N106"/>
    <mergeCell ref="O104:O106"/>
    <mergeCell ref="P104:P105"/>
    <mergeCell ref="Q104:Q105"/>
    <mergeCell ref="R104:R105"/>
    <mergeCell ref="S104:S105"/>
    <mergeCell ref="L107:L109"/>
    <mergeCell ref="M107:M109"/>
    <mergeCell ref="N107:N109"/>
    <mergeCell ref="O107:O109"/>
    <mergeCell ref="P107:P108"/>
    <mergeCell ref="Q107:Q108"/>
    <mergeCell ref="R107:R108"/>
    <mergeCell ref="S107:S108"/>
    <mergeCell ref="L110:L112"/>
    <mergeCell ref="M110:M112"/>
    <mergeCell ref="N110:N112"/>
    <mergeCell ref="O110:O112"/>
    <mergeCell ref="P110:P111"/>
    <mergeCell ref="Q110:Q111"/>
    <mergeCell ref="R110:R111"/>
    <mergeCell ref="S110:S111"/>
    <mergeCell ref="L113:L115"/>
    <mergeCell ref="M113:M115"/>
    <mergeCell ref="N113:N115"/>
    <mergeCell ref="O113:O115"/>
    <mergeCell ref="P113:P114"/>
    <mergeCell ref="Q113:Q114"/>
    <mergeCell ref="R113:R114"/>
    <mergeCell ref="S113:S114"/>
    <mergeCell ref="L116:L118"/>
    <mergeCell ref="M116:M118"/>
    <mergeCell ref="N116:N118"/>
    <mergeCell ref="O116:O118"/>
    <mergeCell ref="P116:P117"/>
    <mergeCell ref="Q116:Q117"/>
    <mergeCell ref="R116:R117"/>
    <mergeCell ref="S116:S117"/>
    <mergeCell ref="L119:L122"/>
    <mergeCell ref="M119:M122"/>
    <mergeCell ref="N119:N122"/>
    <mergeCell ref="O119:O122"/>
    <mergeCell ref="P119:P121"/>
    <mergeCell ref="Q119:Q121"/>
    <mergeCell ref="R119:R121"/>
    <mergeCell ref="S119:S121"/>
    <mergeCell ref="L123:L126"/>
    <mergeCell ref="M123:M126"/>
    <mergeCell ref="N123:N126"/>
    <mergeCell ref="O123:O126"/>
    <mergeCell ref="P123:P125"/>
    <mergeCell ref="Q123:Q125"/>
    <mergeCell ref="R123:R125"/>
    <mergeCell ref="S123:S125"/>
    <mergeCell ref="L127:L129"/>
    <mergeCell ref="M127:M129"/>
    <mergeCell ref="N127:N129"/>
    <mergeCell ref="O127:O129"/>
    <mergeCell ref="P127:P128"/>
    <mergeCell ref="Q127:Q128"/>
    <mergeCell ref="R127:R128"/>
    <mergeCell ref="S127:S128"/>
    <mergeCell ref="L130:L133"/>
    <mergeCell ref="M130:M133"/>
    <mergeCell ref="N130:N133"/>
    <mergeCell ref="O130:O133"/>
    <mergeCell ref="P130:P132"/>
    <mergeCell ref="Q130:Q132"/>
    <mergeCell ref="R130:R132"/>
    <mergeCell ref="S130:S132"/>
    <mergeCell ref="L134:L136"/>
    <mergeCell ref="M134:M136"/>
    <mergeCell ref="N134:N136"/>
    <mergeCell ref="O134:O136"/>
    <mergeCell ref="P134:P135"/>
    <mergeCell ref="Q134:Q135"/>
    <mergeCell ref="R134:R135"/>
    <mergeCell ref="S134:S135"/>
    <mergeCell ref="L137:L139"/>
    <mergeCell ref="M137:M139"/>
    <mergeCell ref="N137:N139"/>
    <mergeCell ref="O137:O139"/>
    <mergeCell ref="P137:P138"/>
    <mergeCell ref="Q137:Q138"/>
    <mergeCell ref="R137:R138"/>
    <mergeCell ref="S137:S138"/>
    <mergeCell ref="L140:L143"/>
    <mergeCell ref="M140:M143"/>
    <mergeCell ref="N140:N143"/>
    <mergeCell ref="O140:O143"/>
    <mergeCell ref="P140:P142"/>
    <mergeCell ref="Q140:Q142"/>
    <mergeCell ref="R140:R142"/>
    <mergeCell ref="S140:S142"/>
    <mergeCell ref="L144:L146"/>
    <mergeCell ref="M144:M146"/>
    <mergeCell ref="N144:N146"/>
    <mergeCell ref="O144:O146"/>
    <mergeCell ref="P144:P145"/>
    <mergeCell ref="Q144:Q145"/>
    <mergeCell ref="R144:R145"/>
    <mergeCell ref="S144:S145"/>
    <mergeCell ref="L147:L149"/>
    <mergeCell ref="M147:M149"/>
    <mergeCell ref="N147:N149"/>
    <mergeCell ref="O147:O149"/>
    <mergeCell ref="P147:P148"/>
    <mergeCell ref="Q147:Q148"/>
    <mergeCell ref="R147:R148"/>
    <mergeCell ref="S147:S148"/>
    <mergeCell ref="L150:L152"/>
    <mergeCell ref="M150:M152"/>
    <mergeCell ref="N150:N152"/>
    <mergeCell ref="O150:O152"/>
    <mergeCell ref="P150:P151"/>
    <mergeCell ref="Q150:Q151"/>
    <mergeCell ref="R150:R151"/>
    <mergeCell ref="S150:S151"/>
    <mergeCell ref="L153:L155"/>
    <mergeCell ref="M153:M155"/>
    <mergeCell ref="N153:N155"/>
    <mergeCell ref="O153:O155"/>
    <mergeCell ref="P153:P154"/>
    <mergeCell ref="Q153:Q154"/>
    <mergeCell ref="R153:R154"/>
    <mergeCell ref="S153:S154"/>
  </mergeCells>
  <dataValidations count="832">
    <dataValidation allowBlank="1" showInputMessage="1" showErrorMessage="1" prompt="Выберите виды деятельности, выполнив двойной щелчок левой кнопки мыши по ячейке." sqref="G13:G23 G26:G27 G89 G157:G182 G194:G218 G220:G234 G236:G25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3:N175 N18:N20 N168:N170 N163:N165 N13:N15 N158:N160 N194:N196 N209:N211 N214:N216 N199:N201 N204:N206 N178:N180 N220:N222 N225:N227 N230:N232 N241:N243 N236:N238 N246:N248">
      <formula1>DESCRIPTION_TERRITORY</formula1>
    </dataValidation>
    <dataValidation type="textLength" operator="lessThanOrEqual" allowBlank="1" showInputMessage="1" showErrorMessage="1" errorTitle="Ошибка" error="Допускается ввод не более 900 символов!" sqref="J163:J164 J13:J14 J173:J174 R173:R174 V173:W173 J18:J19 J168:J169 R163:R164 R13:R14 R18:R19 R168:R169 V163:W163 V13:W13 V18:W18 V168:W168 J158:J159 R158:R159 V158:W158 J194:J195 R194:R195 V194:W194 J199:J200 R199:R200 V199:W199 J209:J210 R209:R210 V209:W209 J204:J205 R204:R205 V204:W204 J214:J215 R214:R215 V214:W214 J178:J179 R178:R179 V178:W178 J220:J221 R220:R221 V220:W220 J225:J226 R225:R226 V225:W225 J230:J231 R230:R231 V230:W230 J241:J242 R241:R242 V241:W241 J236:J237 R236:R237 V236:W236 J246:J247 R246:R247 V246:W246">
      <formula1>900</formula1>
    </dataValidation>
    <dataValidation allowBlank="1" showInputMessage="1" showErrorMessage="1" prompt="Для выбора выполните двойной щелчок левой клавиши мыши по соответствующей ячейке." sqref="K163:K164 K13:K14 K173:K174 O173:O174 S173:S174 K18:K19 K168:K169 O163:O164 O18:O19 O168:O169 S163:S164 S18:S19 S168:S169 F13:F23 F26:F27 F89 F157:F182 O13:O14 S13:S14 K158:K159 O158:O159 S158:S159 K194:K195 O194:O195 S194:S195 K199:K200 O199:O200 S199:S200 K209:K210 O209:O210 S209:S210 K204:K205 O204:O205 K214:K215 O214:O215 S178:S179 S204:S205 S214:S215 K178:K179 O178:O179 F194:F218 O220:O221 S220:S221 O225:O226 S225:S226 S230:S231 K220:K221 K225:K226 K230:K231 O230:O231 F220:F234 K241:K242 O241:O242 K236:K237 O236:O237 S241:S242 F236:F250 S236:S237 K246:K247 O246:O247 S246:S247"/>
    <dataValidation type="textLength" operator="lessThanOrEqual" allowBlank="1" showInputMessage="1" showErrorMessage="1" errorTitle="Ошибка" error="Допускается ввод не более 900 символов!" sqref="J23">
      <formula1>900</formula1>
    </dataValidation>
    <dataValidation allowBlank="1" showInputMessage="1" showErrorMessage="1" prompt="Для выбора выполните двойной щелчок левой клавиши мыши по соответствующей ячейке." sqref="K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allowBlank="1" showInputMessage="1" showErrorMessage="1" prompt="Для выбора выполните двойной щелчок левой клавиши мыши по соответствующей ячейке." sqref="O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Для выбора выполните двойной щелчок левой клавиши мыши по соответствующей ячейке." sqref="S23"/>
    <dataValidation type="textLength" operator="lessThanOrEqual" allowBlank="1" showInputMessage="1" showErrorMessage="1" errorTitle="Ошибка" error="Допускается ввод не более 900 символов!" sqref="V23">
      <formula1>900</formula1>
    </dataValidation>
    <dataValidation type="textLength" operator="lessThanOrEqual" allowBlank="1" showInputMessage="1" showErrorMessage="1" errorTitle="Ошибка" error="Допускается ввод не более 900 символов!" sqref="W23">
      <formula1>900</formula1>
    </dataValidation>
    <dataValidation type="textLength" operator="lessThanOrEqual" allowBlank="1" showInputMessage="1" showErrorMessage="1" errorTitle="Ошибка" error="Допускается ввод не более 900 символов!" sqref="J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type="textLength" operator="lessThanOrEqual" allowBlank="1" showInputMessage="1" showErrorMessage="1" errorTitle="Ошибка" error="Допускается ввод не более 900 символов!" sqref="R26">
      <formula1>900</formula1>
    </dataValidation>
    <dataValidation allowBlank="1" showInputMessage="1" showErrorMessage="1" prompt="Для выбора выполните двойной щелчок левой клавиши мыши по соответствующей ячейке." sqref="S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
    <dataValidation allowBlank="1" showInputMessage="1" showErrorMessage="1" prompt="Для выбора выполните двойной щелчок левой клавиши мыши по соответствующей ячейке." sqref="F28"/>
    <dataValidation allowBlank="1" showInputMessage="1" showErrorMessage="1" prompt="Выберите виды деятельности, выполнив двойной щелчок левой кнопки мыши по ячейке." sqref="G28"/>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allowBlank="1" showInputMessage="1" showErrorMessage="1" prompt="Для выбора выполните двойной щелчок левой клавиши мыши по соответствующей ячейке." sqref="F29"/>
    <dataValidation allowBlank="1" showInputMessage="1" showErrorMessage="1" prompt="Выберите виды деятельности, выполнив двойной щелчок левой кнопки мыши по ячейке." sqref="G29"/>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Для выбора выполните двойной щелчок левой клавиши мыши по соответствующей ячейке." sqref="F30"/>
    <dataValidation allowBlank="1" showInputMessage="1" showErrorMessage="1" prompt="Выберите виды деятельности, выполнив двойной щелчок левой кнопки мыши по ячейке." sqref="G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F31"/>
    <dataValidation allowBlank="1" showInputMessage="1" showErrorMessage="1" prompt="Выберите виды деятельности, выполнив двойной щелчок левой кнопки мыши по ячейке." sqref="G31"/>
    <dataValidation type="textLength" operator="lessThanOrEqual" allowBlank="1" showInputMessage="1" showErrorMessage="1" errorTitle="Ошибка" error="Допускается ввод не более 900 символов!" sqref="J31">
      <formula1>900</formula1>
    </dataValidation>
    <dataValidation allowBlank="1" showInputMessage="1" showErrorMessage="1" prompt="Для выбора выполните двойной щелчок левой клавиши мыши по соответствующей ячейке." sqref="K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dataValidation allowBlank="1" showInputMessage="1" showErrorMessage="1" prompt="Для выбора выполните двойной щелчок левой клавиши мыши по соответствующей ячейке." sqref="O31"/>
    <dataValidation type="textLength" operator="lessThanOrEqual" allowBlank="1" showInputMessage="1" showErrorMessage="1" errorTitle="Ошибка" error="Допускается ввод не более 900 символов!" sqref="R31">
      <formula1>900</formula1>
    </dataValidation>
    <dataValidation allowBlank="1" showInputMessage="1" showErrorMessage="1" prompt="Для выбора выполните двойной щелчок левой клавиши мыши по соответствующей ячейке." sqref="S31"/>
    <dataValidation type="textLength" operator="lessThanOrEqual" allowBlank="1" showInputMessage="1" showErrorMessage="1" errorTitle="Ошибка" error="Допускается ввод не более 900 символов!" sqref="V31">
      <formula1>900</formula1>
    </dataValidation>
    <dataValidation type="textLength" operator="lessThanOrEqual" allowBlank="1" showInputMessage="1" showErrorMessage="1" errorTitle="Ошибка" error="Допускается ввод не более 900 символов!" sqref="W31">
      <formula1>900</formula1>
    </dataValidation>
    <dataValidation allowBlank="1" showInputMessage="1" showErrorMessage="1" prompt="Для выбора выполните двойной щелчок левой клавиши мыши по соответствующей ячейке." sqref="F32"/>
    <dataValidation allowBlank="1" showInputMessage="1" showErrorMessage="1" prompt="Выберите виды деятельности, выполнив двойной щелчок левой кнопки мыши по ячейке." sqref="G32"/>
    <dataValidation type="textLength" operator="lessThanOrEqual" allowBlank="1" showInputMessage="1" showErrorMessage="1" errorTitle="Ошибка" error="Допускается ввод не более 900 символов!" sqref="J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type="textLength" operator="lessThanOrEqual" allowBlank="1" showInputMessage="1" showErrorMessage="1" errorTitle="Ошибка" error="Допускается ввод не более 900 символов!" sqref="R32">
      <formula1>900</formula1>
    </dataValidation>
    <dataValidation allowBlank="1" showInputMessage="1" showErrorMessage="1" prompt="Для выбора выполните двойной щелчок левой клавиши мыши по соответствующей ячейке." sqref="S32"/>
    <dataValidation allowBlank="1" showInputMessage="1" showErrorMessage="1" prompt="Для выбора выполните двойной щелчок левой клавиши мыши по соответствующей ячейке." sqref="F33"/>
    <dataValidation allowBlank="1" showInputMessage="1" showErrorMessage="1" prompt="Выберите виды деятельности, выполнив двойной щелчок левой кнопки мыши по ячейке." sqref="G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F34"/>
    <dataValidation allowBlank="1" showInputMessage="1" showErrorMessage="1" prompt="Выберите виды деятельности, выполнив двойной щелчок левой кнопки мыши по ячейке." sqref="G34"/>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Для выбора выполните двойной щелчок левой клавиши мыши по соответствующей ячейке." sqref="K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allowBlank="1" showInputMessage="1" showErrorMessage="1" prompt="Для выбора выполните двойной щелчок левой клавиши мыши по соответствующей ячейке." sqref="O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type="textLength" operator="lessThanOrEqual" allowBlank="1" showInputMessage="1" showErrorMessage="1" errorTitle="Ошибка" error="Допускается ввод не более 900 символов!" sqref="V34">
      <formula1>900</formula1>
    </dataValidation>
    <dataValidation type="textLength" operator="lessThanOrEqual" allowBlank="1" showInputMessage="1" showErrorMessage="1" errorTitle="Ошибка" error="Допускается ввод не более 900 символов!" sqref="W34">
      <formula1>900</formula1>
    </dataValidation>
    <dataValidation allowBlank="1" showInputMessage="1" showErrorMessage="1" prompt="Для выбора выполните двойной щелчок левой клавиши мыши по соответствующей ячейке." sqref="F35"/>
    <dataValidation allowBlank="1" showInputMessage="1" showErrorMessage="1" prompt="Выберите виды деятельности, выполнив двойной щелчок левой кнопки мыши по ячейке." sqref="G35"/>
    <dataValidation type="textLength" operator="lessThanOrEqual" allowBlank="1" showInputMessage="1" showErrorMessage="1" errorTitle="Ошибка" error="Допускается ввод не более 900 символов!" sqref="J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type="textLength" operator="lessThanOrEqual" allowBlank="1" showInputMessage="1" showErrorMessage="1" errorTitle="Ошибка" error="Допускается ввод не более 900 символов!" sqref="R35">
      <formula1>900</formula1>
    </dataValidation>
    <dataValidation allowBlank="1" showInputMessage="1" showErrorMessage="1" prompt="Для выбора выполните двойной щелчок левой клавиши мыши по соответствующей ячейке." sqref="S35"/>
    <dataValidation allowBlank="1" showInputMessage="1" showErrorMessage="1" prompt="Для выбора выполните двойной щелчок левой клавиши мыши по соответствующей ячейке." sqref="F36"/>
    <dataValidation allowBlank="1" showInputMessage="1" showErrorMessage="1" prompt="Выберите виды деятельности, выполнив двойной щелчок левой кнопки мыши по ячейке." sqref="G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dataValidation allowBlank="1" showInputMessage="1" showErrorMessage="1" prompt="Для выбора выполните двойной щелчок левой клавиши мыши по соответствующей ячейке." sqref="F37"/>
    <dataValidation allowBlank="1" showInputMessage="1" showErrorMessage="1" prompt="Выберите виды деятельности, выполнив двойной щелчок левой кнопки мыши по ячейке." sqref="G37"/>
    <dataValidation type="textLength" operator="lessThanOrEqual" allowBlank="1" showInputMessage="1" showErrorMessage="1" errorTitle="Ошибка" error="Допускается ввод не более 900 символов!" sqref="J37">
      <formula1>900</formula1>
    </dataValidation>
    <dataValidation allowBlank="1" showInputMessage="1" showErrorMessage="1" prompt="Для выбора выполните двойной щелчок левой клавиши мыши по соответствующей ячейке." sqref="K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
    <dataValidation allowBlank="1" showInputMessage="1" showErrorMessage="1" prompt="Для выбора выполните двойной щелчок левой клавиши мыши по соответствующей ячейке." sqref="O37"/>
    <dataValidation type="textLength" operator="lessThanOrEqual" allowBlank="1" showInputMessage="1" showErrorMessage="1" errorTitle="Ошибка" error="Допускается ввод не более 900 символов!" sqref="R37">
      <formula1>900</formula1>
    </dataValidation>
    <dataValidation allowBlank="1" showInputMessage="1" showErrorMessage="1" prompt="Для выбора выполните двойной щелчок левой клавиши мыши по соответствующей ячейке." sqref="S37"/>
    <dataValidation type="textLength" operator="lessThanOrEqual" allowBlank="1" showInputMessage="1" showErrorMessage="1" errorTitle="Ошибка" error="Допускается ввод не более 900 символов!" sqref="V37">
      <formula1>900</formula1>
    </dataValidation>
    <dataValidation type="textLength" operator="lessThanOrEqual" allowBlank="1" showInputMessage="1" showErrorMessage="1" errorTitle="Ошибка" error="Допускается ввод не более 900 символов!" sqref="W37">
      <formula1>900</formula1>
    </dataValidation>
    <dataValidation allowBlank="1" showInputMessage="1" showErrorMessage="1" prompt="Для выбора выполните двойной щелчок левой клавиши мыши по соответствующей ячейке." sqref="F38"/>
    <dataValidation allowBlank="1" showInputMessage="1" showErrorMessage="1" prompt="Выберите виды деятельности, выполнив двойной щелчок левой кнопки мыши по ячейке." sqref="G38"/>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allowBlank="1" showInputMessage="1" showErrorMessage="1" prompt="Для выбора выполните двойной щелчок левой клавиши мыши по соответствующей ячейке." sqref="F39"/>
    <dataValidation allowBlank="1" showInputMessage="1" showErrorMessage="1" prompt="Выберите виды деятельности, выполнив двойной щелчок левой кнопки мыши по ячейке." sqref="G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allowBlank="1" showInputMessage="1" showErrorMessage="1" prompt="Для выбора выполните двойной щелчок левой клавиши мыши по соответствующей ячейке." sqref="F40"/>
    <dataValidation allowBlank="1" showInputMessage="1" showErrorMessage="1" prompt="Выберите виды деятельности, выполнив двойной щелчок левой кнопки мыши по ячейке." sqref="G40"/>
    <dataValidation type="textLength" operator="lessThanOrEqual" allowBlank="1" showInputMessage="1" showErrorMessage="1" errorTitle="Ошибка" error="Допускается ввод не более 900 символов!" sqref="J40">
      <formula1>900</formula1>
    </dataValidation>
    <dataValidation allowBlank="1" showInputMessage="1" showErrorMessage="1" prompt="Для выбора выполните двойной щелчок левой клавиши мыши по соответствующей ячейке." sqref="K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allowBlank="1" showInputMessage="1" showErrorMessage="1" prompt="Для выбора выполните двойной щелчок левой клавиши мыши по соответствующей ячейке." sqref="O40"/>
    <dataValidation type="textLength" operator="lessThanOrEqual" allowBlank="1" showInputMessage="1" showErrorMessage="1" errorTitle="Ошибка" error="Допускается ввод не более 900 символов!" sqref="R40">
      <formula1>900</formula1>
    </dataValidation>
    <dataValidation allowBlank="1" showInputMessage="1" showErrorMessage="1" prompt="Для выбора выполните двойной щелчок левой клавиши мыши по соответствующей ячейке." sqref="S40"/>
    <dataValidation type="textLength" operator="lessThanOrEqual" allowBlank="1" showInputMessage="1" showErrorMessage="1" errorTitle="Ошибка" error="Допускается ввод не более 900 символов!" sqref="V40">
      <formula1>900</formula1>
    </dataValidation>
    <dataValidation type="textLength" operator="lessThanOrEqual" allowBlank="1" showInputMessage="1" showErrorMessage="1" errorTitle="Ошибка" error="Допускается ввод не более 900 символов!" sqref="W40">
      <formula1>900</formula1>
    </dataValidation>
    <dataValidation allowBlank="1" showInputMessage="1" showErrorMessage="1" prompt="Для выбора выполните двойной щелчок левой клавиши мыши по соответствующей ячейке." sqref="F41"/>
    <dataValidation allowBlank="1" showInputMessage="1" showErrorMessage="1" prompt="Выберите виды деятельности, выполнив двойной щелчок левой кнопки мыши по ячейке." sqref="G41"/>
    <dataValidation type="textLength" operator="lessThanOrEqual" allowBlank="1" showInputMessage="1" showErrorMessage="1" errorTitle="Ошибка" error="Допускается ввод не более 900 символов!" sqref="J4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1"/>
    <dataValidation type="textLength" operator="lessThanOrEqual" allowBlank="1" showInputMessage="1" showErrorMessage="1" errorTitle="Ошибка" error="Допускается ввод не более 900 символов!" sqref="R41">
      <formula1>900</formula1>
    </dataValidation>
    <dataValidation allowBlank="1" showInputMessage="1" showErrorMessage="1" prompt="Для выбора выполните двойной щелчок левой клавиши мыши по соответствующей ячейке." sqref="S41"/>
    <dataValidation allowBlank="1" showInputMessage="1" showErrorMessage="1" prompt="Для выбора выполните двойной щелчок левой клавиши мыши по соответствующей ячейке." sqref="F42"/>
    <dataValidation allowBlank="1" showInputMessage="1" showErrorMessage="1" prompt="Выберите виды деятельности, выполнив двойной щелчок левой кнопки мыши по ячейке." sqref="G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allowBlank="1" showInputMessage="1" showErrorMessage="1" prompt="Для выбора выполните двойной щелчок левой клавиши мыши по соответствующей ячейке." sqref="F43"/>
    <dataValidation allowBlank="1" showInputMessage="1" showErrorMessage="1" prompt="Выберите виды деятельности, выполнив двойной щелчок левой кнопки мыши по ячейке." sqref="G43"/>
    <dataValidation type="textLength" operator="lessThanOrEqual" allowBlank="1" showInputMessage="1" showErrorMessage="1" errorTitle="Ошибка" error="Допускается ввод не более 900 символов!" sqref="J43">
      <formula1>900</formula1>
    </dataValidation>
    <dataValidation allowBlank="1" showInputMessage="1" showErrorMessage="1" prompt="Для выбора выполните двойной щелчок левой клавиши мыши по соответствующей ячейке." sqref="K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allowBlank="1" showInputMessage="1" showErrorMessage="1" prompt="Для выбора выполните двойной щелчок левой клавиши мыши по соответствующей ячейке." sqref="O43"/>
    <dataValidation type="textLength" operator="lessThanOrEqual" allowBlank="1" showInputMessage="1" showErrorMessage="1" errorTitle="Ошибка" error="Допускается ввод не более 900 символов!" sqref="R43">
      <formula1>900</formula1>
    </dataValidation>
    <dataValidation allowBlank="1" showInputMessage="1" showErrorMessage="1" prompt="Для выбора выполните двойной щелчок левой клавиши мыши по соответствующей ячейке." sqref="S43"/>
    <dataValidation type="textLength" operator="lessThanOrEqual" allowBlank="1" showInputMessage="1" showErrorMessage="1" errorTitle="Ошибка" error="Допускается ввод не более 900 символов!" sqref="V43">
      <formula1>900</formula1>
    </dataValidation>
    <dataValidation type="textLength" operator="lessThanOrEqual" allowBlank="1" showInputMessage="1" showErrorMessage="1" errorTitle="Ошибка" error="Допускается ввод не более 900 символов!" sqref="W43">
      <formula1>900</formula1>
    </dataValidation>
    <dataValidation allowBlank="1" showInputMessage="1" showErrorMessage="1" prompt="Для выбора выполните двойной щелчок левой клавиши мыши по соответствующей ячейке." sqref="F44"/>
    <dataValidation allowBlank="1" showInputMessage="1" showErrorMessage="1" prompt="Выберите виды деятельности, выполнив двойной щелчок левой кнопки мыши по ячейке." sqref="G44"/>
    <dataValidation type="textLength" operator="lessThanOrEqual" allowBlank="1" showInputMessage="1" showErrorMessage="1" errorTitle="Ошибка" error="Допускается ввод не более 900 символов!" sqref="J4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type="textLength" operator="lessThanOrEqual" allowBlank="1" showInputMessage="1" showErrorMessage="1" errorTitle="Ошибка" error="Допускается ввод не более 900 символов!" sqref="R44">
      <formula1>900</formula1>
    </dataValidation>
    <dataValidation allowBlank="1" showInputMessage="1" showErrorMessage="1" prompt="Для выбора выполните двойной щелчок левой клавиши мыши по соответствующей ячейке." sqref="S44"/>
    <dataValidation allowBlank="1" showInputMessage="1" showErrorMessage="1" prompt="Для выбора выполните двойной щелчок левой клавиши мыши по соответствующей ячейке." sqref="F45"/>
    <dataValidation allowBlank="1" showInputMessage="1" showErrorMessage="1" prompt="Выберите виды деятельности, выполнив двойной щелчок левой кнопки мыши по ячейке." sqref="G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5"/>
    <dataValidation allowBlank="1" showInputMessage="1" showErrorMessage="1" prompt="Для выбора выполните двойной щелчок левой клавиши мыши по соответствующей ячейке." sqref="F46"/>
    <dataValidation allowBlank="1" showInputMessage="1" showErrorMessage="1" prompt="Выберите виды деятельности, выполнив двойной щелчок левой кнопки мыши по ячейке." sqref="G46"/>
    <dataValidation type="textLength" operator="lessThanOrEqual" allowBlank="1" showInputMessage="1" showErrorMessage="1" errorTitle="Ошибка" error="Допускается ввод не более 900 символов!" sqref="J46">
      <formula1>900</formula1>
    </dataValidation>
    <dataValidation allowBlank="1" showInputMessage="1" showErrorMessage="1" prompt="Для выбора выполните двойной щелчок левой клавиши мыши по соответствующей ячейке." sqref="K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allowBlank="1" showInputMessage="1" showErrorMessage="1" prompt="Для выбора выполните двойной щелчок левой клавиши мыши по соответствующей ячейке." sqref="O46"/>
    <dataValidation type="textLength" operator="lessThanOrEqual" allowBlank="1" showInputMessage="1" showErrorMessage="1" errorTitle="Ошибка" error="Допускается ввод не более 900 символов!" sqref="R46">
      <formula1>900</formula1>
    </dataValidation>
    <dataValidation allowBlank="1" showInputMessage="1" showErrorMessage="1" prompt="Для выбора выполните двойной щелчок левой клавиши мыши по соответствующей ячейке." sqref="S46"/>
    <dataValidation type="textLength" operator="lessThanOrEqual" allowBlank="1" showInputMessage="1" showErrorMessage="1" errorTitle="Ошибка" error="Допускается ввод не более 900 символов!" sqref="V46">
      <formula1>900</formula1>
    </dataValidation>
    <dataValidation type="textLength" operator="lessThanOrEqual" allowBlank="1" showInputMessage="1" showErrorMessage="1" errorTitle="Ошибка" error="Допускается ввод не более 900 символов!" sqref="W46">
      <formula1>900</formula1>
    </dataValidation>
    <dataValidation allowBlank="1" showInputMessage="1" showErrorMessage="1" prompt="Для выбора выполните двойной щелчок левой клавиши мыши по соответствующей ячейке." sqref="F47"/>
    <dataValidation allowBlank="1" showInputMessage="1" showErrorMessage="1" prompt="Выберите виды деятельности, выполнив двойной щелчок левой кнопки мыши по ячейке." sqref="G47"/>
    <dataValidation type="textLength" operator="lessThanOrEqual" allowBlank="1" showInputMessage="1" showErrorMessage="1" errorTitle="Ошибка" error="Допускается ввод не более 900 символов!" sqref="J4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
    <dataValidation type="textLength" operator="lessThanOrEqual" allowBlank="1" showInputMessage="1" showErrorMessage="1" errorTitle="Ошибка" error="Допускается ввод не более 900 символов!" sqref="R47">
      <formula1>900</formula1>
    </dataValidation>
    <dataValidation allowBlank="1" showInputMessage="1" showErrorMessage="1" prompt="Для выбора выполните двойной щелчок левой клавиши мыши по соответствующей ячейке." sqref="S47"/>
    <dataValidation allowBlank="1" showInputMessage="1" showErrorMessage="1" prompt="Для выбора выполните двойной щелчок левой клавиши мыши по соответствующей ячейке." sqref="F48"/>
    <dataValidation allowBlank="1" showInputMessage="1" showErrorMessage="1" prompt="Выберите виды деятельности, выполнив двойной щелчок левой кнопки мыши по ячейке." sqref="G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Для выбора выполните двойной щелчок левой клавиши мыши по соответствующей ячейке." sqref="F49"/>
    <dataValidation allowBlank="1" showInputMessage="1" showErrorMessage="1" prompt="Выберите виды деятельности, выполнив двойной щелчок левой кнопки мыши по ячейке." sqref="G49"/>
    <dataValidation type="textLength" operator="lessThanOrEqual" allowBlank="1" showInputMessage="1" showErrorMessage="1" errorTitle="Ошибка" error="Допускается ввод не более 900 символов!" sqref="J49">
      <formula1>900</formula1>
    </dataValidation>
    <dataValidation allowBlank="1" showInputMessage="1" showErrorMessage="1" prompt="Для выбора выполните двойной щелчок левой клавиши мыши по соответствующей ячейке." sqref="K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9"/>
    <dataValidation allowBlank="1" showInputMessage="1" showErrorMessage="1" prompt="Для выбора выполните двойной щелчок левой клавиши мыши по соответствующей ячейке." sqref="O49"/>
    <dataValidation type="textLength" operator="lessThanOrEqual" allowBlank="1" showInputMessage="1" showErrorMessage="1" errorTitle="Ошибка" error="Допускается ввод не более 900 символов!" sqref="R49">
      <formula1>900</formula1>
    </dataValidation>
    <dataValidation allowBlank="1" showInputMessage="1" showErrorMessage="1" prompt="Для выбора выполните двойной щелчок левой клавиши мыши по соответствующей ячейке." sqref="S49"/>
    <dataValidation type="textLength" operator="lessThanOrEqual" allowBlank="1" showInputMessage="1" showErrorMessage="1" errorTitle="Ошибка" error="Допускается ввод не более 900 символов!" sqref="V49">
      <formula1>900</formula1>
    </dataValidation>
    <dataValidation type="textLength" operator="lessThanOrEqual" allowBlank="1" showInputMessage="1" showErrorMessage="1" errorTitle="Ошибка" error="Допускается ввод не более 900 символов!" sqref="W49">
      <formula1>900</formula1>
    </dataValidation>
    <dataValidation allowBlank="1" showInputMessage="1" showErrorMessage="1" prompt="Для выбора выполните двойной щелчок левой клавиши мыши по соответствующей ячейке." sqref="F50"/>
    <dataValidation allowBlank="1" showInputMessage="1" showErrorMessage="1" prompt="Выберите виды деятельности, выполнив двойной щелчок левой кнопки мыши по ячейке." sqref="G50"/>
    <dataValidation type="textLength" operator="lessThanOrEqual" allowBlank="1" showInputMessage="1" showErrorMessage="1" errorTitle="Ошибка" error="Допускается ввод не более 900 символов!" sqref="J5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dataValidation type="textLength" operator="lessThanOrEqual" allowBlank="1" showInputMessage="1" showErrorMessage="1" errorTitle="Ошибка" error="Допускается ввод не более 900 символов!" sqref="R50">
      <formula1>900</formula1>
    </dataValidation>
    <dataValidation allowBlank="1" showInputMessage="1" showErrorMessage="1" prompt="Для выбора выполните двойной щелчок левой клавиши мыши по соответствующей ячейке." sqref="S50"/>
    <dataValidation allowBlank="1" showInputMessage="1" showErrorMessage="1" prompt="Для выбора выполните двойной щелчок левой клавиши мыши по соответствующей ячейке." sqref="F51"/>
    <dataValidation allowBlank="1" showInputMessage="1" showErrorMessage="1" prompt="Выберите виды деятельности, выполнив двойной щелчок левой кнопки мыши по ячейке." sqref="G5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1"/>
    <dataValidation allowBlank="1" showInputMessage="1" showErrorMessage="1" prompt="Для выбора выполните двойной щелчок левой клавиши мыши по соответствующей ячейке." sqref="F52"/>
    <dataValidation allowBlank="1" showInputMessage="1" showErrorMessage="1" prompt="Выберите виды деятельности, выполнив двойной щелчок левой кнопки мыши по ячейке." sqref="G52"/>
    <dataValidation type="textLength" operator="lessThanOrEqual" allowBlank="1" showInputMessage="1" showErrorMessage="1" errorTitle="Ошибка" error="Допускается ввод не более 900 символов!" sqref="J52">
      <formula1>900</formula1>
    </dataValidation>
    <dataValidation allowBlank="1" showInputMessage="1" showErrorMessage="1" prompt="Для выбора выполните двойной щелчок левой клавиши мыши по соответствующей ячейке." sqref="K5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2"/>
    <dataValidation allowBlank="1" showInputMessage="1" showErrorMessage="1" prompt="Для выбора выполните двойной щелчок левой клавиши мыши по соответствующей ячейке." sqref="O52"/>
    <dataValidation type="textLength" operator="lessThanOrEqual" allowBlank="1" showInputMessage="1" showErrorMessage="1" errorTitle="Ошибка" error="Допускается ввод не более 900 символов!" sqref="R52">
      <formula1>900</formula1>
    </dataValidation>
    <dataValidation allowBlank="1" showInputMessage="1" showErrorMessage="1" prompt="Для выбора выполните двойной щелчок левой клавиши мыши по соответствующей ячейке." sqref="S52"/>
    <dataValidation type="textLength" operator="lessThanOrEqual" allowBlank="1" showInputMessage="1" showErrorMessage="1" errorTitle="Ошибка" error="Допускается ввод не более 900 символов!" sqref="V52">
      <formula1>900</formula1>
    </dataValidation>
    <dataValidation type="textLength" operator="lessThanOrEqual" allowBlank="1" showInputMessage="1" showErrorMessage="1" errorTitle="Ошибка" error="Допускается ввод не более 900 символов!" sqref="W52">
      <formula1>900</formula1>
    </dataValidation>
    <dataValidation allowBlank="1" showInputMessage="1" showErrorMessage="1" prompt="Для выбора выполните двойной щелчок левой клавиши мыши по соответствующей ячейке." sqref="F54"/>
    <dataValidation allowBlank="1" showInputMessage="1" showErrorMessage="1" prompt="Выберите виды деятельности, выполнив двойной щелчок левой кнопки мыши по ячейке." sqref="G54"/>
    <dataValidation type="textLength" operator="lessThanOrEqual" allowBlank="1" showInputMessage="1" showErrorMessage="1" errorTitle="Ошибка" error="Допускается ввод не более 900 символов!" sqref="J5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4"/>
    <dataValidation type="textLength" operator="lessThanOrEqual" allowBlank="1" showInputMessage="1" showErrorMessage="1" errorTitle="Ошибка" error="Допускается ввод не более 900 символов!" sqref="R54">
      <formula1>900</formula1>
    </dataValidation>
    <dataValidation allowBlank="1" showInputMessage="1" showErrorMessage="1" prompt="Для выбора выполните двойной щелчок левой клавиши мыши по соответствующей ячейке." sqref="S54"/>
    <dataValidation allowBlank="1" showInputMessage="1" showErrorMessage="1" prompt="Для выбора выполните двойной щелчок левой клавиши мыши по соответствующей ячейке." sqref="F55"/>
    <dataValidation allowBlank="1" showInputMessage="1" showErrorMessage="1" prompt="Выберите виды деятельности, выполнив двойной щелчок левой кнопки мыши по ячейке." sqref="G5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5"/>
    <dataValidation allowBlank="1" showInputMessage="1" showErrorMessage="1" prompt="Для выбора выполните двойной щелчок левой клавиши мыши по соответствующей ячейке." sqref="F56"/>
    <dataValidation allowBlank="1" showInputMessage="1" showErrorMessage="1" prompt="Выберите виды деятельности, выполнив двойной щелчок левой кнопки мыши по ячейке." sqref="G56"/>
    <dataValidation type="textLength" operator="lessThanOrEqual" allowBlank="1" showInputMessage="1" showErrorMessage="1" errorTitle="Ошибка" error="Допускается ввод не более 900 символов!" sqref="J56">
      <formula1>900</formula1>
    </dataValidation>
    <dataValidation allowBlank="1" showInputMessage="1" showErrorMessage="1" prompt="Для выбора выполните двойной щелчок левой клавиши мыши по соответствующей ячейке." sqref="K5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6"/>
    <dataValidation allowBlank="1" showInputMessage="1" showErrorMessage="1" prompt="Для выбора выполните двойной щелчок левой клавиши мыши по соответствующей ячейке." sqref="O56"/>
    <dataValidation type="textLength" operator="lessThanOrEqual" allowBlank="1" showInputMessage="1" showErrorMessage="1" errorTitle="Ошибка" error="Допускается ввод не более 900 символов!" sqref="R56">
      <formula1>900</formula1>
    </dataValidation>
    <dataValidation allowBlank="1" showInputMessage="1" showErrorMessage="1" prompt="Для выбора выполните двойной щелчок левой клавиши мыши по соответствующей ячейке." sqref="S56"/>
    <dataValidation type="textLength" operator="lessThanOrEqual" allowBlank="1" showInputMessage="1" showErrorMessage="1" errorTitle="Ошибка" error="Допускается ввод не более 900 символов!" sqref="V56">
      <formula1>900</formula1>
    </dataValidation>
    <dataValidation type="textLength" operator="lessThanOrEqual" allowBlank="1" showInputMessage="1" showErrorMessage="1" errorTitle="Ошибка" error="Допускается ввод не более 900 символов!" sqref="W56">
      <formula1>900</formula1>
    </dataValidation>
    <dataValidation allowBlank="1" showInputMessage="1" showErrorMessage="1" prompt="Для выбора выполните двойной щелчок левой клавиши мыши по соответствующей ячейке." sqref="F58"/>
    <dataValidation allowBlank="1" showInputMessage="1" showErrorMessage="1" prompt="Выберите виды деятельности, выполнив двойной щелчок левой кнопки мыши по ячейке." sqref="G58"/>
    <dataValidation type="textLength" operator="lessThanOrEqual" allowBlank="1" showInputMessage="1" showErrorMessage="1" errorTitle="Ошибка" error="Допускается ввод не более 900 символов!" sqref="J5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allowBlank="1" showInputMessage="1" showErrorMessage="1" prompt="Для выбора выполните двойной щелчок левой клавиши мыши по соответствующей ячейке." sqref="F59"/>
    <dataValidation allowBlank="1" showInputMessage="1" showErrorMessage="1" prompt="Выберите виды деятельности, выполнив двойной щелчок левой кнопки мыши по ячейке." sqref="G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allowBlank="1" showInputMessage="1" showErrorMessage="1" prompt="Для выбора выполните двойной щелчок левой клавиши мыши по соответствующей ячейке." sqref="F60"/>
    <dataValidation allowBlank="1" showInputMessage="1" showErrorMessage="1" prompt="Выберите виды деятельности, выполнив двойной щелчок левой кнопки мыши по ячейке." sqref="G60"/>
    <dataValidation type="textLength" operator="lessThanOrEqual" allowBlank="1" showInputMessage="1" showErrorMessage="1" errorTitle="Ошибка" error="Допускается ввод не более 900 символов!" sqref="J60">
      <formula1>900</formula1>
    </dataValidation>
    <dataValidation allowBlank="1" showInputMessage="1" showErrorMessage="1" prompt="Для выбора выполните двойной щелчок левой клавиши мыши по соответствующей ячейке." sqref="K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allowBlank="1" showInputMessage="1" showErrorMessage="1" prompt="Для выбора выполните двойной щелчок левой клавиши мыши по соответствующей ячейке." sqref="O60"/>
    <dataValidation type="textLength" operator="lessThanOrEqual" allowBlank="1" showInputMessage="1" showErrorMessage="1" errorTitle="Ошибка" error="Допускается ввод не более 900 символов!" sqref="R60">
      <formula1>900</formula1>
    </dataValidation>
    <dataValidation allowBlank="1" showInputMessage="1" showErrorMessage="1" prompt="Для выбора выполните двойной щелчок левой клавиши мыши по соответствующей ячейке." sqref="S60"/>
    <dataValidation type="textLength" operator="lessThanOrEqual" allowBlank="1" showInputMessage="1" showErrorMessage="1" errorTitle="Ошибка" error="Допускается ввод не более 900 символов!" sqref="V60">
      <formula1>900</formula1>
    </dataValidation>
    <dataValidation type="textLength" operator="lessThanOrEqual" allowBlank="1" showInputMessage="1" showErrorMessage="1" errorTitle="Ошибка" error="Допускается ввод не более 900 символов!" sqref="W60">
      <formula1>900</formula1>
    </dataValidation>
    <dataValidation allowBlank="1" showInputMessage="1" showErrorMessage="1" prompt="Для выбора выполните двойной щелчок левой клавиши мыши по соответствующей ячейке." sqref="F61"/>
    <dataValidation allowBlank="1" showInputMessage="1" showErrorMessage="1" prompt="Выберите виды деятельности, выполнив двойной щелчок левой кнопки мыши по ячейке." sqref="G61"/>
    <dataValidation type="textLength" operator="lessThanOrEqual" allowBlank="1" showInputMessage="1" showErrorMessage="1" errorTitle="Ошибка" error="Допускается ввод не более 900 символов!" sqref="J6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1"/>
    <dataValidation type="textLength" operator="lessThanOrEqual" allowBlank="1" showInputMessage="1" showErrorMessage="1" errorTitle="Ошибка" error="Допускается ввод не более 900 символов!" sqref="R61">
      <formula1>900</formula1>
    </dataValidation>
    <dataValidation allowBlank="1" showInputMessage="1" showErrorMessage="1" prompt="Для выбора выполните двойной щелчок левой клавиши мыши по соответствующей ячейке." sqref="S61"/>
    <dataValidation allowBlank="1" showInputMessage="1" showErrorMessage="1" prompt="Для выбора выполните двойной щелчок левой клавиши мыши по соответствующей ячейке." sqref="F62"/>
    <dataValidation allowBlank="1" showInputMessage="1" showErrorMessage="1" prompt="Выберите виды деятельности, выполнив двойной щелчок левой кнопки мыши по ячейке." sqref="G6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2"/>
    <dataValidation allowBlank="1" showInputMessage="1" showErrorMessage="1" prompt="Для выбора выполните двойной щелчок левой клавиши мыши по соответствующей ячейке." sqref="F63"/>
    <dataValidation allowBlank="1" showInputMessage="1" showErrorMessage="1" prompt="Выберите виды деятельности, выполнив двойной щелчок левой кнопки мыши по ячейке." sqref="G63"/>
    <dataValidation type="textLength" operator="lessThanOrEqual" allowBlank="1" showInputMessage="1" showErrorMessage="1" errorTitle="Ошибка" error="Допускается ввод не более 900 символов!" sqref="J63">
      <formula1>900</formula1>
    </dataValidation>
    <dataValidation allowBlank="1" showInputMessage="1" showErrorMessage="1" prompt="Для выбора выполните двойной щелчок левой клавиши мыши по соответствующей ячейке." sqref="K6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3"/>
    <dataValidation allowBlank="1" showInputMessage="1" showErrorMessage="1" prompt="Для выбора выполните двойной щелчок левой клавиши мыши по соответствующей ячейке." sqref="O63"/>
    <dataValidation type="textLength" operator="lessThanOrEqual" allowBlank="1" showInputMessage="1" showErrorMessage="1" errorTitle="Ошибка" error="Допускается ввод не более 900 символов!" sqref="R63">
      <formula1>900</formula1>
    </dataValidation>
    <dataValidation allowBlank="1" showInputMessage="1" showErrorMessage="1" prompt="Для выбора выполните двойной щелчок левой клавиши мыши по соответствующей ячейке." sqref="S63"/>
    <dataValidation type="textLength" operator="lessThanOrEqual" allowBlank="1" showInputMessage="1" showErrorMessage="1" errorTitle="Ошибка" error="Допускается ввод не более 900 символов!" sqref="V63">
      <formula1>900</formula1>
    </dataValidation>
    <dataValidation type="textLength" operator="lessThanOrEqual" allowBlank="1" showInputMessage="1" showErrorMessage="1" errorTitle="Ошибка" error="Допускается ввод не более 900 символов!" sqref="W63">
      <formula1>900</formula1>
    </dataValidation>
    <dataValidation allowBlank="1" showInputMessage="1" showErrorMessage="1" prompt="Для выбора выполните двойной щелчок левой клавиши мыши по соответствующей ячейке." sqref="F65"/>
    <dataValidation allowBlank="1" showInputMessage="1" showErrorMessage="1" prompt="Выберите виды деятельности, выполнив двойной щелчок левой кнопки мыши по ячейке." sqref="G65"/>
    <dataValidation type="textLength" operator="lessThanOrEqual" allowBlank="1" showInputMessage="1" showErrorMessage="1" errorTitle="Ошибка" error="Допускается ввод не более 900 символов!" sqref="J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5"/>
    <dataValidation type="textLength" operator="lessThanOrEqual" allowBlank="1" showInputMessage="1" showErrorMessage="1" errorTitle="Ошибка" error="Допускается ввод не более 900 символов!" sqref="R65">
      <formula1>900</formula1>
    </dataValidation>
    <dataValidation allowBlank="1" showInputMessage="1" showErrorMessage="1" prompt="Для выбора выполните двойной щелчок левой клавиши мыши по соответствующей ячейке." sqref="S65"/>
    <dataValidation allowBlank="1" showInputMessage="1" showErrorMessage="1" prompt="Для выбора выполните двойной щелчок левой клавиши мыши по соответствующей ячейке." sqref="F66"/>
    <dataValidation allowBlank="1" showInputMessage="1" showErrorMessage="1" prompt="Выберите виды деятельности, выполнив двойной щелчок левой кнопки мыши по ячейке." sqref="G6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
    <dataValidation allowBlank="1" showInputMessage="1" showErrorMessage="1" prompt="Для выбора выполните двойной щелчок левой клавиши мыши по соответствующей ячейке." sqref="F67"/>
    <dataValidation allowBlank="1" showInputMessage="1" showErrorMessage="1" prompt="Выберите виды деятельности, выполнив двойной щелчок левой кнопки мыши по ячейке." sqref="G67"/>
    <dataValidation type="textLength" operator="lessThanOrEqual" allowBlank="1" showInputMessage="1" showErrorMessage="1" errorTitle="Ошибка" error="Допускается ввод не более 900 символов!" sqref="J67">
      <formula1>900</formula1>
    </dataValidation>
    <dataValidation allowBlank="1" showInputMessage="1" showErrorMessage="1" prompt="Для выбора выполните двойной щелчок левой клавиши мыши по соответствующей ячейке." sqref="K6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7"/>
    <dataValidation allowBlank="1" showInputMessage="1" showErrorMessage="1" prompt="Для выбора выполните двойной щелчок левой клавиши мыши по соответствующей ячейке." sqref="O67"/>
    <dataValidation type="textLength" operator="lessThanOrEqual" allowBlank="1" showInputMessage="1" showErrorMessage="1" errorTitle="Ошибка" error="Допускается ввод не более 900 символов!" sqref="R67">
      <formula1>900</formula1>
    </dataValidation>
    <dataValidation allowBlank="1" showInputMessage="1" showErrorMessage="1" prompt="Для выбора выполните двойной щелчок левой клавиши мыши по соответствующей ячейке." sqref="S67"/>
    <dataValidation type="textLength" operator="lessThanOrEqual" allowBlank="1" showInputMessage="1" showErrorMessage="1" errorTitle="Ошибка" error="Допускается ввод не более 900 символов!" sqref="V67">
      <formula1>900</formula1>
    </dataValidation>
    <dataValidation type="textLength" operator="lessThanOrEqual" allowBlank="1" showInputMessage="1" showErrorMessage="1" errorTitle="Ошибка" error="Допускается ввод не более 900 символов!" sqref="W67">
      <formula1>900</formula1>
    </dataValidation>
    <dataValidation allowBlank="1" showInputMessage="1" showErrorMessage="1" prompt="Для выбора выполните двойной щелчок левой клавиши мыши по соответствующей ячейке." sqref="F68"/>
    <dataValidation allowBlank="1" showInputMessage="1" showErrorMessage="1" prompt="Выберите виды деятельности, выполнив двойной щелчок левой кнопки мыши по ячейке." sqref="G68"/>
    <dataValidation type="textLength" operator="lessThanOrEqual" allowBlank="1" showInputMessage="1" showErrorMessage="1" errorTitle="Ошибка" error="Допускается ввод не более 900 символов!" sqref="J6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8"/>
    <dataValidation type="textLength" operator="lessThanOrEqual" allowBlank="1" showInputMessage="1" showErrorMessage="1" errorTitle="Ошибка" error="Допускается ввод не более 900 символов!" sqref="R68">
      <formula1>900</formula1>
    </dataValidation>
    <dataValidation allowBlank="1" showInputMessage="1" showErrorMessage="1" prompt="Для выбора выполните двойной щелчок левой клавиши мыши по соответствующей ячейке." sqref="S68"/>
    <dataValidation allowBlank="1" showInputMessage="1" showErrorMessage="1" prompt="Для выбора выполните двойной щелчок левой клавиши мыши по соответствующей ячейке." sqref="F69"/>
    <dataValidation allowBlank="1" showInputMessage="1" showErrorMessage="1" prompt="Выберите виды деятельности, выполнив двойной щелчок левой кнопки мыши по ячейке." sqref="G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9"/>
    <dataValidation allowBlank="1" showInputMessage="1" showErrorMessage="1" prompt="Для выбора выполните двойной щелчок левой клавиши мыши по соответствующей ячейке." sqref="F70"/>
    <dataValidation allowBlank="1" showInputMessage="1" showErrorMessage="1" prompt="Выберите виды деятельности, выполнив двойной щелчок левой кнопки мыши по ячейке." sqref="G70"/>
    <dataValidation type="textLength" operator="lessThanOrEqual" allowBlank="1" showInputMessage="1" showErrorMessage="1" errorTitle="Ошибка" error="Допускается ввод не более 900 символов!" sqref="J70">
      <formula1>900</formula1>
    </dataValidation>
    <dataValidation allowBlank="1" showInputMessage="1" showErrorMessage="1" prompt="Для выбора выполните двойной щелчок левой клавиши мыши по соответствующей ячейке." sqref="K7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0"/>
    <dataValidation allowBlank="1" showInputMessage="1" showErrorMessage="1" prompt="Для выбора выполните двойной щелчок левой клавиши мыши по соответствующей ячейке." sqref="O70"/>
    <dataValidation type="textLength" operator="lessThanOrEqual" allowBlank="1" showInputMessage="1" showErrorMessage="1" errorTitle="Ошибка" error="Допускается ввод не более 900 символов!" sqref="R70">
      <formula1>900</formula1>
    </dataValidation>
    <dataValidation allowBlank="1" showInputMessage="1" showErrorMessage="1" prompt="Для выбора выполните двойной щелчок левой клавиши мыши по соответствующей ячейке." sqref="S70"/>
    <dataValidation type="textLength" operator="lessThanOrEqual" allowBlank="1" showInputMessage="1" showErrorMessage="1" errorTitle="Ошибка" error="Допускается ввод не более 900 символов!" sqref="V70">
      <formula1>900</formula1>
    </dataValidation>
    <dataValidation type="textLength" operator="lessThanOrEqual" allowBlank="1" showInputMessage="1" showErrorMessage="1" errorTitle="Ошибка" error="Допускается ввод не более 900 символов!" sqref="W70">
      <formula1>900</formula1>
    </dataValidation>
    <dataValidation allowBlank="1" showInputMessage="1" showErrorMessage="1" prompt="Для выбора выполните двойной щелчок левой клавиши мыши по соответствующей ячейке." sqref="F71"/>
    <dataValidation allowBlank="1" showInputMessage="1" showErrorMessage="1" prompt="Выберите виды деятельности, выполнив двойной щелчок левой кнопки мыши по ячейке." sqref="G71"/>
    <dataValidation type="textLength" operator="lessThanOrEqual" allowBlank="1" showInputMessage="1" showErrorMessage="1" errorTitle="Ошибка" error="Допускается ввод не более 900 символов!" sqref="J7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1"/>
    <dataValidation type="textLength" operator="lessThanOrEqual" allowBlank="1" showInputMessage="1" showErrorMessage="1" errorTitle="Ошибка" error="Допускается ввод не более 900 символов!" sqref="R71">
      <formula1>900</formula1>
    </dataValidation>
    <dataValidation allowBlank="1" showInputMessage="1" showErrorMessage="1" prompt="Для выбора выполните двойной щелчок левой клавиши мыши по соответствующей ячейке." sqref="S71"/>
    <dataValidation allowBlank="1" showInputMessage="1" showErrorMessage="1" prompt="Для выбора выполните двойной щелчок левой клавиши мыши по соответствующей ячейке." sqref="F72"/>
    <dataValidation allowBlank="1" showInputMessage="1" showErrorMessage="1" prompt="Выберите виды деятельности, выполнив двойной щелчок левой кнопки мыши по ячейке." sqref="G7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2"/>
    <dataValidation allowBlank="1" showInputMessage="1" showErrorMessage="1" prompt="Для выбора выполните двойной щелчок левой клавиши мыши по соответствующей ячейке." sqref="F73"/>
    <dataValidation allowBlank="1" showInputMessage="1" showErrorMessage="1" prompt="Выберите виды деятельности, выполнив двойной щелчок левой кнопки мыши по ячейке." sqref="G73"/>
    <dataValidation type="textLength" operator="lessThanOrEqual" allowBlank="1" showInputMessage="1" showErrorMessage="1" errorTitle="Ошибка" error="Допускается ввод не более 900 символов!" sqref="J73">
      <formula1>900</formula1>
    </dataValidation>
    <dataValidation allowBlank="1" showInputMessage="1" showErrorMessage="1" prompt="Для выбора выполните двойной щелчок левой клавиши мыши по соответствующей ячейке." sqref="K7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3"/>
    <dataValidation allowBlank="1" showInputMessage="1" showErrorMessage="1" prompt="Для выбора выполните двойной щелчок левой клавиши мыши по соответствующей ячейке." sqref="O73"/>
    <dataValidation type="textLength" operator="lessThanOrEqual" allowBlank="1" showInputMessage="1" showErrorMessage="1" errorTitle="Ошибка" error="Допускается ввод не более 900 символов!" sqref="R73">
      <formula1>900</formula1>
    </dataValidation>
    <dataValidation allowBlank="1" showInputMessage="1" showErrorMessage="1" prompt="Для выбора выполните двойной щелчок левой клавиши мыши по соответствующей ячейке." sqref="S73"/>
    <dataValidation type="textLength" operator="lessThanOrEqual" allowBlank="1" showInputMessage="1" showErrorMessage="1" errorTitle="Ошибка" error="Допускается ввод не более 900 символов!" sqref="V73">
      <formula1>900</formula1>
    </dataValidation>
    <dataValidation type="textLength" operator="lessThanOrEqual" allowBlank="1" showInputMessage="1" showErrorMessage="1" errorTitle="Ошибка" error="Допускается ввод не более 900 символов!" sqref="W73">
      <formula1>900</formula1>
    </dataValidation>
    <dataValidation allowBlank="1" showInputMessage="1" showErrorMessage="1" prompt="Для выбора выполните двойной щелчок левой клавиши мыши по соответствующей ячейке." sqref="F75"/>
    <dataValidation allowBlank="1" showInputMessage="1" showErrorMessage="1" prompt="Выберите виды деятельности, выполнив двойной щелчок левой кнопки мыши по ячейке." sqref="G75"/>
    <dataValidation type="textLength" operator="lessThanOrEqual" allowBlank="1" showInputMessage="1" showErrorMessage="1" errorTitle="Ошибка" error="Допускается ввод не более 900 символов!" sqref="J7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5"/>
    <dataValidation type="textLength" operator="lessThanOrEqual" allowBlank="1" showInputMessage="1" showErrorMessage="1" errorTitle="Ошибка" error="Допускается ввод не более 900 символов!" sqref="R75">
      <formula1>900</formula1>
    </dataValidation>
    <dataValidation allowBlank="1" showInputMessage="1" showErrorMessage="1" prompt="Для выбора выполните двойной щелчок левой клавиши мыши по соответствующей ячейке." sqref="S75"/>
    <dataValidation allowBlank="1" showInputMessage="1" showErrorMessage="1" prompt="Для выбора выполните двойной щелчок левой клавиши мыши по соответствующей ячейке." sqref="F76"/>
    <dataValidation allowBlank="1" showInputMessage="1" showErrorMessage="1" prompt="Выберите виды деятельности, выполнив двойной щелчок левой кнопки мыши по ячейке." sqref="G7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6"/>
    <dataValidation allowBlank="1" showInputMessage="1" showErrorMessage="1" prompt="Для выбора выполните двойной щелчок левой клавиши мыши по соответствующей ячейке." sqref="F77"/>
    <dataValidation allowBlank="1" showInputMessage="1" showErrorMessage="1" prompt="Выберите виды деятельности, выполнив двойной щелчок левой кнопки мыши по ячейке." sqref="G77"/>
    <dataValidation type="textLength" operator="lessThanOrEqual" allowBlank="1" showInputMessage="1" showErrorMessage="1" errorTitle="Ошибка" error="Допускается ввод не более 900 символов!" sqref="J77">
      <formula1>900</formula1>
    </dataValidation>
    <dataValidation allowBlank="1" showInputMessage="1" showErrorMessage="1" prompt="Для выбора выполните двойной щелчок левой клавиши мыши по соответствующей ячейке." sqref="K7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7"/>
    <dataValidation allowBlank="1" showInputMessage="1" showErrorMessage="1" prompt="Для выбора выполните двойной щелчок левой клавиши мыши по соответствующей ячейке." sqref="O77"/>
    <dataValidation type="textLength" operator="lessThanOrEqual" allowBlank="1" showInputMessage="1" showErrorMessage="1" errorTitle="Ошибка" error="Допускается ввод не более 900 символов!" sqref="R77">
      <formula1>900</formula1>
    </dataValidation>
    <dataValidation allowBlank="1" showInputMessage="1" showErrorMessage="1" prompt="Для выбора выполните двойной щелчок левой клавиши мыши по соответствующей ячейке." sqref="S77"/>
    <dataValidation type="textLength" operator="lessThanOrEqual" allowBlank="1" showInputMessage="1" showErrorMessage="1" errorTitle="Ошибка" error="Допускается ввод не более 900 символов!" sqref="V77">
      <formula1>900</formula1>
    </dataValidation>
    <dataValidation type="textLength" operator="lessThanOrEqual" allowBlank="1" showInputMessage="1" showErrorMessage="1" errorTitle="Ошибка" error="Допускается ввод не более 900 символов!" sqref="W77">
      <formula1>900</formula1>
    </dataValidation>
    <dataValidation allowBlank="1" showInputMessage="1" showErrorMessage="1" prompt="Для выбора выполните двойной щелчок левой клавиши мыши по соответствующей ячейке." sqref="F78"/>
    <dataValidation allowBlank="1" showInputMessage="1" showErrorMessage="1" prompt="Выберите виды деятельности, выполнив двойной щелчок левой кнопки мыши по ячейке." sqref="G78"/>
    <dataValidation type="textLength" operator="lessThanOrEqual" allowBlank="1" showInputMessage="1" showErrorMessage="1" errorTitle="Ошибка" error="Допускается ввод не более 900 символов!" sqref="J7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8"/>
    <dataValidation type="textLength" operator="lessThanOrEqual" allowBlank="1" showInputMessage="1" showErrorMessage="1" errorTitle="Ошибка" error="Допускается ввод не более 900 символов!" sqref="R78">
      <formula1>900</formula1>
    </dataValidation>
    <dataValidation allowBlank="1" showInputMessage="1" showErrorMessage="1" prompt="Для выбора выполните двойной щелчок левой клавиши мыши по соответствующей ячейке." sqref="S78"/>
    <dataValidation allowBlank="1" showInputMessage="1" showErrorMessage="1" prompt="Для выбора выполните двойной щелчок левой клавиши мыши по соответствующей ячейке." sqref="F79"/>
    <dataValidation allowBlank="1" showInputMessage="1" showErrorMessage="1" prompt="Выберите виды деятельности, выполнив двойной щелчок левой кнопки мыши по ячейке." sqref="G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F80"/>
    <dataValidation allowBlank="1" showInputMessage="1" showErrorMessage="1" prompt="Выберите виды деятельности, выполнив двойной щелчок левой кнопки мыши по ячейке." sqref="G80"/>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Для выбора выполните двойной щелчок левой клавиши мыши по соответствующей ячейке." sqref="K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allowBlank="1" showInputMessage="1" showErrorMessage="1" prompt="Для выбора выполните двойной щелчок левой клавиши мыши по соответствующей ячейке." sqref="O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Для выбора выполните двойной щелчок левой клавиши мыши по соответствующей ячейке." sqref="S80"/>
    <dataValidation type="textLength" operator="lessThanOrEqual" allowBlank="1" showInputMessage="1" showErrorMessage="1" errorTitle="Ошибка" error="Допускается ввод не более 900 символов!" sqref="V80">
      <formula1>900</formula1>
    </dataValidation>
    <dataValidation type="textLength" operator="lessThanOrEqual" allowBlank="1" showInputMessage="1" showErrorMessage="1" errorTitle="Ошибка" error="Допускается ввод не более 900 символов!" sqref="W80">
      <formula1>900</formula1>
    </dataValidation>
    <dataValidation allowBlank="1" showInputMessage="1" showErrorMessage="1" prompt="Для выбора выполните двойной щелчок левой клавиши мыши по соответствующей ячейке." sqref="F81"/>
    <dataValidation allowBlank="1" showInputMessage="1" showErrorMessage="1" prompt="Выберите виды деятельности, выполнив двойной щелчок левой кнопки мыши по ячейке." sqref="G81"/>
    <dataValidation type="textLength" operator="lessThanOrEqual" allowBlank="1" showInputMessage="1" showErrorMessage="1" errorTitle="Ошибка" error="Допускается ввод не более 900 символов!" sqref="J8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type="textLength" operator="lessThanOrEqual" allowBlank="1" showInputMessage="1" showErrorMessage="1" errorTitle="Ошибка" error="Допускается ввод не более 900 символов!" sqref="R81">
      <formula1>900</formula1>
    </dataValidation>
    <dataValidation allowBlank="1" showInputMessage="1" showErrorMessage="1" prompt="Для выбора выполните двойной щелчок левой клавиши мыши по соответствующей ячейке." sqref="S81"/>
    <dataValidation allowBlank="1" showInputMessage="1" showErrorMessage="1" prompt="Для выбора выполните двойной щелчок левой клавиши мыши по соответствующей ячейке." sqref="F82"/>
    <dataValidation allowBlank="1" showInputMessage="1" showErrorMessage="1" prompt="Выберите виды деятельности, выполнив двойной щелчок левой кнопки мыши по ячейке." sqref="G8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2"/>
    <dataValidation allowBlank="1" showInputMessage="1" showErrorMessage="1" prompt="Для выбора выполните двойной щелчок левой клавиши мыши по соответствующей ячейке." sqref="F83"/>
    <dataValidation allowBlank="1" showInputMessage="1" showErrorMessage="1" prompt="Выберите виды деятельности, выполнив двойной щелчок левой кнопки мыши по ячейке." sqref="G83"/>
    <dataValidation type="textLength" operator="lessThanOrEqual" allowBlank="1" showInputMessage="1" showErrorMessage="1" errorTitle="Ошибка" error="Допускается ввод не более 900 символов!" sqref="J83">
      <formula1>900</formula1>
    </dataValidation>
    <dataValidation allowBlank="1" showInputMessage="1" showErrorMessage="1" prompt="Для выбора выполните двойной щелчок левой клавиши мыши по соответствующей ячейке." sqref="K8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3"/>
    <dataValidation allowBlank="1" showInputMessage="1" showErrorMessage="1" prompt="Для выбора выполните двойной щелчок левой клавиши мыши по соответствующей ячейке." sqref="O83"/>
    <dataValidation type="textLength" operator="lessThanOrEqual" allowBlank="1" showInputMessage="1" showErrorMessage="1" errorTitle="Ошибка" error="Допускается ввод не более 900 символов!" sqref="R83">
      <formula1>900</formula1>
    </dataValidation>
    <dataValidation allowBlank="1" showInputMessage="1" showErrorMessage="1" prompt="Для выбора выполните двойной щелчок левой клавиши мыши по соответствующей ячейке." sqref="S83"/>
    <dataValidation type="textLength" operator="lessThanOrEqual" allowBlank="1" showInputMessage="1" showErrorMessage="1" errorTitle="Ошибка" error="Допускается ввод не более 900 символов!" sqref="V83">
      <formula1>900</formula1>
    </dataValidation>
    <dataValidation type="textLength" operator="lessThanOrEqual" allowBlank="1" showInputMessage="1" showErrorMessage="1" errorTitle="Ошибка" error="Допускается ввод не более 900 символов!" sqref="W83">
      <formula1>900</formula1>
    </dataValidation>
    <dataValidation allowBlank="1" showInputMessage="1" showErrorMessage="1" prompt="Для выбора выполните двойной щелчок левой клавиши мыши по соответствующей ячейке." sqref="F84"/>
    <dataValidation allowBlank="1" showInputMessage="1" showErrorMessage="1" prompt="Выберите виды деятельности, выполнив двойной щелчок левой кнопки мыши по ячейке." sqref="G84"/>
    <dataValidation type="textLength" operator="lessThanOrEqual" allowBlank="1" showInputMessage="1" showErrorMessage="1" errorTitle="Ошибка" error="Допускается ввод не более 900 символов!" sqref="J8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type="textLength" operator="lessThanOrEqual" allowBlank="1" showInputMessage="1" showErrorMessage="1" errorTitle="Ошибка" error="Допускается ввод не более 900 символов!" sqref="R84">
      <formula1>900</formula1>
    </dataValidation>
    <dataValidation allowBlank="1" showInputMessage="1" showErrorMessage="1" prompt="Для выбора выполните двойной щелчок левой клавиши мыши по соответствующей ячейке." sqref="S84"/>
    <dataValidation allowBlank="1" showInputMessage="1" showErrorMessage="1" prompt="Для выбора выполните двойной щелчок левой клавиши мыши по соответствующей ячейке." sqref="F85"/>
    <dataValidation allowBlank="1" showInputMessage="1" showErrorMessage="1" prompt="Выберите виды деятельности, выполнив двойной щелчок левой кнопки мыши по ячейке." sqref="G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allowBlank="1" showInputMessage="1" showErrorMessage="1" prompt="Для выбора выполните двойной щелчок левой клавиши мыши по соответствующей ячейке." sqref="F86"/>
    <dataValidation allowBlank="1" showInputMessage="1" showErrorMessage="1" prompt="Выберите виды деятельности, выполнив двойной щелчок левой кнопки мыши по ячейке." sqref="G86"/>
    <dataValidation type="textLength" operator="lessThanOrEqual" allowBlank="1" showInputMessage="1" showErrorMessage="1" errorTitle="Ошибка" error="Допускается ввод не более 900 символов!" sqref="J86">
      <formula1>900</formula1>
    </dataValidation>
    <dataValidation allowBlank="1" showInputMessage="1" showErrorMessage="1" prompt="Для выбора выполните двойной щелчок левой клавиши мыши по соответствующей ячейке." sqref="K8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6"/>
    <dataValidation allowBlank="1" showInputMessage="1" showErrorMessage="1" prompt="Для выбора выполните двойной щелчок левой клавиши мыши по соответствующей ячейке." sqref="O86"/>
    <dataValidation type="textLength" operator="lessThanOrEqual" allowBlank="1" showInputMessage="1" showErrorMessage="1" errorTitle="Ошибка" error="Допускается ввод не более 900 символов!" sqref="R86">
      <formula1>900</formula1>
    </dataValidation>
    <dataValidation allowBlank="1" showInputMessage="1" showErrorMessage="1" prompt="Для выбора выполните двойной щелчок левой клавиши мыши по соответствующей ячейке." sqref="S86"/>
    <dataValidation type="textLength" operator="lessThanOrEqual" allowBlank="1" showInputMessage="1" showErrorMessage="1" errorTitle="Ошибка" error="Допускается ввод не более 900 символов!" sqref="V86">
      <formula1>900</formula1>
    </dataValidation>
    <dataValidation type="textLength" operator="lessThanOrEqual" allowBlank="1" showInputMessage="1" showErrorMessage="1" errorTitle="Ошибка" error="Допускается ввод не более 900 символов!" sqref="W86">
      <formula1>900</formula1>
    </dataValidation>
    <dataValidation allowBlank="1" showInputMessage="1" showErrorMessage="1" prompt="Для выбора выполните двойной щелчок левой клавиши мыши по соответствующей ячейке." sqref="F87"/>
    <dataValidation allowBlank="1" showInputMessage="1" showErrorMessage="1" prompt="Выберите виды деятельности, выполнив двойной щелчок левой кнопки мыши по ячейке." sqref="G87"/>
    <dataValidation type="textLength" operator="lessThanOrEqual" allowBlank="1" showInputMessage="1" showErrorMessage="1" errorTitle="Ошибка" error="Допускается ввод не более 900 символов!" sqref="J8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7"/>
    <dataValidation type="textLength" operator="lessThanOrEqual" allowBlank="1" showInputMessage="1" showErrorMessage="1" errorTitle="Ошибка" error="Допускается ввод не более 900 символов!" sqref="R87">
      <formula1>900</formula1>
    </dataValidation>
    <dataValidation allowBlank="1" showInputMessage="1" showErrorMessage="1" prompt="Для выбора выполните двойной щелчок левой клавиши мыши по соответствующей ячейке." sqref="S87"/>
    <dataValidation allowBlank="1" showInputMessage="1" showErrorMessage="1" prompt="Для выбора выполните двойной щелчок левой клавиши мыши по соответствующей ячейке." sqref="F88"/>
    <dataValidation allowBlank="1" showInputMessage="1" showErrorMessage="1" prompt="Выберите виды деятельности, выполнив двойной щелчок левой кнопки мыши по ячейке." sqref="G8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8"/>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Выберите виды деятельности, выполнив двойной щелчок левой кнопки мыши по ячейке." sqref="G24"/>
    <dataValidation type="textLength" operator="lessThanOrEqual" allowBlank="1" showInputMessage="1" showErrorMessage="1" errorTitle="Ошибка" error="Допускается ввод не более 900 символов!" sqref="J24">
      <formula1>900</formula1>
    </dataValidation>
    <dataValidation type="textLength" operator="lessThanOrEqual" allowBlank="1" showInputMessage="1" showErrorMessage="1" errorTitle="Ошибка" error="Допускается ввод не более 900 символов!" sqref="R24">
      <formula1>900</formula1>
    </dataValidation>
    <dataValidation type="textLength" operator="lessThanOrEqual" allowBlank="1" showInputMessage="1" showErrorMessage="1" errorTitle="Ошибка" error="Допускается ввод не более 900 символов!" sqref="V24">
      <formula1>900</formula1>
    </dataValidation>
    <dataValidation type="textLength" operator="lessThanOrEqual" allowBlank="1" showInputMessage="1" showErrorMessage="1" errorTitle="Ошибка" error="Допускается ввод не более 900 символов!" sqref="W24">
      <formula1>900</formula1>
    </dataValidation>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Выберите виды деятельности, выполнив двойной щелчок левой кнопки мыши по ячейке." sqref="G25"/>
    <dataValidation type="textLength" operator="lessThanOrEqual" allowBlank="1" showInputMessage="1" showErrorMessage="1" errorTitle="Ошибка" error="Допускается ввод не более 900 символов!" sqref="J25">
      <formula1>900</formula1>
    </dataValidation>
    <dataValidation type="textLength" operator="lessThanOrEqual" allowBlank="1" showInputMessage="1" showErrorMessage="1" errorTitle="Ошибка" error="Допускается ввод не более 900 символов!" sqref="R25">
      <formula1>900</formula1>
    </dataValidation>
    <dataValidation type="textLength" operator="lessThanOrEqual" allowBlank="1" showInputMessage="1" showErrorMessage="1" errorTitle="Ошибка" error="Допускается ввод не более 900 символов!" sqref="V25">
      <formula1>900</formula1>
    </dataValidation>
    <dataValidation type="textLength" operator="lessThanOrEqual" allowBlank="1" showInputMessage="1" showErrorMessage="1" errorTitle="Ошибка" error="Допускается ввод не более 900 символов!" sqref="W25">
      <formula1>900</formula1>
    </dataValidation>
    <dataValidation allowBlank="1" showInputMessage="1" showErrorMessage="1" prompt="Для выбора выполните двойной щелчок левой клавиши мыши по соответствующей ячейке." sqref="F53"/>
    <dataValidation allowBlank="1" showInputMessage="1" showErrorMessage="1" prompt="Выберите виды деятельности, выполнив двойной щелчок левой кнопки мыши по ячейке." sqref="G53"/>
    <dataValidation type="textLength" operator="lessThanOrEqual" allowBlank="1" showInputMessage="1" showErrorMessage="1" errorTitle="Ошибка" error="Допускается ввод не более 900 символов!" sqref="J53">
      <formula1>900</formula1>
    </dataValidation>
    <dataValidation type="textLength" operator="lessThanOrEqual" allowBlank="1" showInputMessage="1" showErrorMessage="1" errorTitle="Ошибка" error="Допускается ввод не более 900 символов!" sqref="R53">
      <formula1>900</formula1>
    </dataValidation>
    <dataValidation type="textLength" operator="lessThanOrEqual" allowBlank="1" showInputMessage="1" showErrorMessage="1" errorTitle="Ошибка" error="Допускается ввод не более 900 символов!" sqref="V53">
      <formula1>900</formula1>
    </dataValidation>
    <dataValidation type="textLength" operator="lessThanOrEqual" allowBlank="1" showInputMessage="1" showErrorMessage="1" errorTitle="Ошибка" error="Допускается ввод не более 900 символов!" sqref="W53">
      <formula1>900</formula1>
    </dataValidation>
    <dataValidation allowBlank="1" showInputMessage="1" showErrorMessage="1" prompt="Для выбора выполните двойной щелчок левой клавиши мыши по соответствующей ячейке." sqref="F57"/>
    <dataValidation allowBlank="1" showInputMessage="1" showErrorMessage="1" prompt="Выберите виды деятельности, выполнив двойной щелчок левой кнопки мыши по ячейке." sqref="G57"/>
    <dataValidation type="textLength" operator="lessThanOrEqual" allowBlank="1" showInputMessage="1" showErrorMessage="1" errorTitle="Ошибка" error="Допускается ввод не более 900 символов!" sqref="J57">
      <formula1>900</formula1>
    </dataValidation>
    <dataValidation type="textLength" operator="lessThanOrEqual" allowBlank="1" showInputMessage="1" showErrorMessage="1" errorTitle="Ошибка" error="Допускается ввод не более 900 символов!" sqref="R57">
      <formula1>900</formula1>
    </dataValidation>
    <dataValidation type="textLength" operator="lessThanOrEqual" allowBlank="1" showInputMessage="1" showErrorMessage="1" errorTitle="Ошибка" error="Допускается ввод не более 900 символов!" sqref="V57">
      <formula1>900</formula1>
    </dataValidation>
    <dataValidation type="textLength" operator="lessThanOrEqual" allowBlank="1" showInputMessage="1" showErrorMessage="1" errorTitle="Ошибка" error="Допускается ввод не более 900 символов!" sqref="W57">
      <formula1>900</formula1>
    </dataValidation>
    <dataValidation allowBlank="1" showInputMessage="1" showErrorMessage="1" prompt="Для выбора выполните двойной щелчок левой клавиши мыши по соответствующей ячейке." sqref="F64"/>
    <dataValidation allowBlank="1" showInputMessage="1" showErrorMessage="1" prompt="Выберите виды деятельности, выполнив двойной щелчок левой кнопки мыши по ячейке." sqref="G64"/>
    <dataValidation type="textLength" operator="lessThanOrEqual" allowBlank="1" showInputMessage="1" showErrorMessage="1" errorTitle="Ошибка" error="Допускается ввод не более 900 символов!" sqref="J64">
      <formula1>900</formula1>
    </dataValidation>
    <dataValidation type="textLength" operator="lessThanOrEqual" allowBlank="1" showInputMessage="1" showErrorMessage="1" errorTitle="Ошибка" error="Допускается ввод не более 900 символов!" sqref="R64">
      <formula1>900</formula1>
    </dataValidation>
    <dataValidation type="textLength" operator="lessThanOrEqual" allowBlank="1" showInputMessage="1" showErrorMessage="1" errorTitle="Ошибка" error="Допускается ввод не более 900 символов!" sqref="V64">
      <formula1>900</formula1>
    </dataValidation>
    <dataValidation type="textLength" operator="lessThanOrEqual" allowBlank="1" showInputMessage="1" showErrorMessage="1" errorTitle="Ошибка" error="Допускается ввод не более 900 символов!" sqref="W64">
      <formula1>900</formula1>
    </dataValidation>
    <dataValidation allowBlank="1" showInputMessage="1" showErrorMessage="1" prompt="Для выбора выполните двойной щелчок левой клавиши мыши по соответствующей ячейке." sqref="F74"/>
    <dataValidation allowBlank="1" showInputMessage="1" showErrorMessage="1" prompt="Выберите виды деятельности, выполнив двойной щелчок левой кнопки мыши по ячейке." sqref="G74"/>
    <dataValidation type="textLength" operator="lessThanOrEqual" allowBlank="1" showInputMessage="1" showErrorMessage="1" errorTitle="Ошибка" error="Допускается ввод не более 900 символов!" sqref="J74">
      <formula1>900</formula1>
    </dataValidation>
    <dataValidation type="textLength" operator="lessThanOrEqual" allowBlank="1" showInputMessage="1" showErrorMessage="1" errorTitle="Ошибка" error="Допускается ввод не более 900 символов!" sqref="R74">
      <formula1>900</formula1>
    </dataValidation>
    <dataValidation type="textLength" operator="lessThanOrEqual" allowBlank="1" showInputMessage="1" showErrorMessage="1" errorTitle="Ошибка" error="Допускается ввод не более 900 символов!" sqref="V74">
      <formula1>900</formula1>
    </dataValidation>
    <dataValidation type="textLength" operator="lessThanOrEqual" allowBlank="1" showInputMessage="1" showErrorMessage="1" errorTitle="Ошибка" error="Допускается ввод не более 900 символов!" sqref="W74">
      <formula1>900</formula1>
    </dataValidation>
    <dataValidation allowBlank="1" showInputMessage="1" showErrorMessage="1" prompt="Для выбора выполните двойной щелчок левой клавиши мыши по соответствующей ячейке." sqref="F90"/>
    <dataValidation allowBlank="1" showInputMessage="1" showErrorMessage="1" prompt="Выберите виды деятельности, выполнив двойной щелчок левой кнопки мыши по ячейке." sqref="G90"/>
    <dataValidation type="textLength" operator="lessThanOrEqual" allowBlank="1" showInputMessage="1" showErrorMessage="1" errorTitle="Ошибка" error="Допускается ввод не более 900 символов!" sqref="J90">
      <formula1>900</formula1>
    </dataValidation>
    <dataValidation allowBlank="1" showInputMessage="1" showErrorMessage="1" prompt="Для выбора выполните двойной щелчок левой клавиши мыши по соответствующей ячейке." sqref="K9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0"/>
    <dataValidation allowBlank="1" showInputMessage="1" showErrorMessage="1" prompt="Для выбора выполните двойной щелчок левой клавиши мыши по соответствующей ячейке." sqref="O90"/>
    <dataValidation type="textLength" operator="lessThanOrEqual" allowBlank="1" showInputMessage="1" showErrorMessage="1" errorTitle="Ошибка" error="Допускается ввод не более 900 символов!" sqref="R90">
      <formula1>900</formula1>
    </dataValidation>
    <dataValidation allowBlank="1" showInputMessage="1" showErrorMessage="1" prompt="Для выбора выполните двойной щелчок левой клавиши мыши по соответствующей ячейке." sqref="S90"/>
    <dataValidation type="textLength" operator="lessThanOrEqual" allowBlank="1" showInputMessage="1" showErrorMessage="1" errorTitle="Ошибка" error="Допускается ввод не более 900 символов!" sqref="V90">
      <formula1>900</formula1>
    </dataValidation>
    <dataValidation type="textLength" operator="lessThanOrEqual" allowBlank="1" showInputMessage="1" showErrorMessage="1" errorTitle="Ошибка" error="Допускается ввод не более 900 символов!" sqref="W90">
      <formula1>900</formula1>
    </dataValidation>
    <dataValidation allowBlank="1" showInputMessage="1" showErrorMessage="1" prompt="Для выбора выполните двойной щелчок левой клавиши мыши по соответствующей ячейке." sqref="F93"/>
    <dataValidation allowBlank="1" showInputMessage="1" showErrorMessage="1" prompt="Выберите виды деятельности, выполнив двойной щелчок левой кнопки мыши по ячейке." sqref="G93"/>
    <dataValidation type="textLength" operator="lessThanOrEqual" allowBlank="1" showInputMessage="1" showErrorMessage="1" errorTitle="Ошибка" error="Допускается ввод не более 900 символов!" sqref="J9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3"/>
    <dataValidation type="textLength" operator="lessThanOrEqual" allowBlank="1" showInputMessage="1" showErrorMessage="1" errorTitle="Ошибка" error="Допускается ввод не более 900 символов!" sqref="R93">
      <formula1>900</formula1>
    </dataValidation>
    <dataValidation allowBlank="1" showInputMessage="1" showErrorMessage="1" prompt="Для выбора выполните двойной щелчок левой клавиши мыши по соответствующей ячейке." sqref="S93"/>
    <dataValidation allowBlank="1" showInputMessage="1" showErrorMessage="1" prompt="Для выбора выполните двойной щелчок левой клавиши мыши по соответствующей ячейке." sqref="F94"/>
    <dataValidation allowBlank="1" showInputMessage="1" showErrorMessage="1" prompt="Выберите виды деятельности, выполнив двойной щелчок левой кнопки мыши по ячейке." sqref="G9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4"/>
    <dataValidation allowBlank="1" showInputMessage="1" showErrorMessage="1" prompt="Для выбора выполните двойной щелчок левой клавиши мыши по соответствующей ячейке." sqref="F156"/>
    <dataValidation allowBlank="1" showInputMessage="1" showErrorMessage="1" prompt="Выберите виды деятельности, выполнив двойной щелчок левой кнопки мыши по ячейке." sqref="G156"/>
    <dataValidation allowBlank="1" showInputMessage="1" showErrorMessage="1" prompt="Для выбора выполните двойной щелчок левой клавиши мыши по соответствующей ячейке." sqref="F95"/>
    <dataValidation allowBlank="1" showInputMessage="1" showErrorMessage="1" prompt="Выберите виды деятельности, выполнив двойной щелчок левой кнопки мыши по ячейке." sqref="G95"/>
    <dataValidation type="textLength" operator="lessThanOrEqual" allowBlank="1" showInputMessage="1" showErrorMessage="1" errorTitle="Ошибка" error="Допускается ввод не более 900 символов!" sqref="J95">
      <formula1>900</formula1>
    </dataValidation>
    <dataValidation allowBlank="1" showInputMessage="1" showErrorMessage="1" prompt="Для выбора выполните двойной щелчок левой клавиши мыши по соответствующей ячейке." sqref="K9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5"/>
    <dataValidation allowBlank="1" showInputMessage="1" showErrorMessage="1" prompt="Для выбора выполните двойной щелчок левой клавиши мыши по соответствующей ячейке." sqref="O95"/>
    <dataValidation type="textLength" operator="lessThanOrEqual" allowBlank="1" showInputMessage="1" showErrorMessage="1" errorTitle="Ошибка" error="Допускается ввод не более 900 символов!" sqref="R95">
      <formula1>900</formula1>
    </dataValidation>
    <dataValidation allowBlank="1" showInputMessage="1" showErrorMessage="1" prompt="Для выбора выполните двойной щелчок левой клавиши мыши по соответствующей ячейке." sqref="S95"/>
    <dataValidation type="textLength" operator="lessThanOrEqual" allowBlank="1" showInputMessage="1" showErrorMessage="1" errorTitle="Ошибка" error="Допускается ввод не более 900 символов!" sqref="V95">
      <formula1>900</formula1>
    </dataValidation>
    <dataValidation type="textLength" operator="lessThanOrEqual" allowBlank="1" showInputMessage="1" showErrorMessage="1" errorTitle="Ошибка" error="Допускается ввод не более 900 символов!" sqref="W95">
      <formula1>900</formula1>
    </dataValidation>
    <dataValidation allowBlank="1" showInputMessage="1" showErrorMessage="1" prompt="Для выбора выполните двойной щелчок левой клавиши мыши по соответствующей ячейке." sqref="F96"/>
    <dataValidation allowBlank="1" showInputMessage="1" showErrorMessage="1" prompt="Выберите виды деятельности, выполнив двойной щелчок левой кнопки мыши по ячейке." sqref="G96"/>
    <dataValidation type="textLength" operator="lessThanOrEqual" allowBlank="1" showInputMessage="1" showErrorMessage="1" errorTitle="Ошибка" error="Допускается ввод не более 900 символов!" sqref="J9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6"/>
    <dataValidation type="textLength" operator="lessThanOrEqual" allowBlank="1" showInputMessage="1" showErrorMessage="1" errorTitle="Ошибка" error="Допускается ввод не более 900 символов!" sqref="R96">
      <formula1>900</formula1>
    </dataValidation>
    <dataValidation allowBlank="1" showInputMessage="1" showErrorMessage="1" prompt="Для выбора выполните двойной щелчок левой клавиши мыши по соответствующей ячейке." sqref="S96"/>
    <dataValidation allowBlank="1" showInputMessage="1" showErrorMessage="1" prompt="Для выбора выполните двойной щелчок левой клавиши мыши по соответствующей ячейке." sqref="F97"/>
    <dataValidation allowBlank="1" showInputMessage="1" showErrorMessage="1" prompt="Выберите виды деятельности, выполнив двойной щелчок левой кнопки мыши по ячейке." sqref="G9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7"/>
    <dataValidation allowBlank="1" showInputMessage="1" showErrorMessage="1" prompt="Для выбора выполните двойной щелчок левой клавиши мыши по соответствующей ячейке." sqref="F98"/>
    <dataValidation allowBlank="1" showInputMessage="1" showErrorMessage="1" prompt="Выберите виды деятельности, выполнив двойной щелчок левой кнопки мыши по ячейке." sqref="G98"/>
    <dataValidation type="textLength" operator="lessThanOrEqual" allowBlank="1" showInputMessage="1" showErrorMessage="1" errorTitle="Ошибка" error="Допускается ввод не более 900 символов!" sqref="J98">
      <formula1>900</formula1>
    </dataValidation>
    <dataValidation allowBlank="1" showInputMessage="1" showErrorMessage="1" prompt="Для выбора выполните двойной щелчок левой клавиши мыши по соответствующей ячейке." sqref="K9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8"/>
    <dataValidation allowBlank="1" showInputMessage="1" showErrorMessage="1" prompt="Для выбора выполните двойной щелчок левой клавиши мыши по соответствующей ячейке." sqref="O98"/>
    <dataValidation type="textLength" operator="lessThanOrEqual" allowBlank="1" showInputMessage="1" showErrorMessage="1" errorTitle="Ошибка" error="Допускается ввод не более 900 символов!" sqref="R98">
      <formula1>900</formula1>
    </dataValidation>
    <dataValidation allowBlank="1" showInputMessage="1" showErrorMessage="1" prompt="Для выбора выполните двойной щелчок левой клавиши мыши по соответствующей ячейке." sqref="S98"/>
    <dataValidation type="textLength" operator="lessThanOrEqual" allowBlank="1" showInputMessage="1" showErrorMessage="1" errorTitle="Ошибка" error="Допускается ввод не более 900 символов!" sqref="V98">
      <formula1>900</formula1>
    </dataValidation>
    <dataValidation type="textLength" operator="lessThanOrEqual" allowBlank="1" showInputMessage="1" showErrorMessage="1" errorTitle="Ошибка" error="Допускается ввод не более 900 символов!" sqref="W98">
      <formula1>900</formula1>
    </dataValidation>
    <dataValidation allowBlank="1" showInputMessage="1" showErrorMessage="1" prompt="Для выбора выполните двойной щелчок левой клавиши мыши по соответствующей ячейке." sqref="F99"/>
    <dataValidation allowBlank="1" showInputMessage="1" showErrorMessage="1" prompt="Выберите виды деятельности, выполнив двойной щелчок левой кнопки мыши по ячейке." sqref="G99"/>
    <dataValidation type="textLength" operator="lessThanOrEqual" allowBlank="1" showInputMessage="1" showErrorMessage="1" errorTitle="Ошибка" error="Допускается ввод не более 900 символов!" sqref="J9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type="textLength" operator="lessThanOrEqual" allowBlank="1" showInputMessage="1" showErrorMessage="1" errorTitle="Ошибка" error="Допускается ввод не более 900 символов!" sqref="R99">
      <formula1>900</formula1>
    </dataValidation>
    <dataValidation allowBlank="1" showInputMessage="1" showErrorMessage="1" prompt="Для выбора выполните двойной щелчок левой клавиши мыши по соответствующей ячейке." sqref="S99"/>
    <dataValidation allowBlank="1" showInputMessage="1" showErrorMessage="1" prompt="Для выбора выполните двойной щелчок левой клавиши мыши по соответствующей ячейке." sqref="F100"/>
    <dataValidation allowBlank="1" showInputMessage="1" showErrorMessage="1" prompt="Выберите виды деятельности, выполнив двойной щелчок левой кнопки мыши по ячейке." sqref="G1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allowBlank="1" showInputMessage="1" showErrorMessage="1" prompt="Для выбора выполните двойной щелчок левой клавиши мыши по соответствующей ячейке." sqref="F101"/>
    <dataValidation allowBlank="1" showInputMessage="1" showErrorMessage="1" prompt="Выберите виды деятельности, выполнив двойной щелчок левой кнопки мыши по ячейке." sqref="G101"/>
    <dataValidation type="textLength" operator="lessThanOrEqual" allowBlank="1" showInputMessage="1" showErrorMessage="1" errorTitle="Ошибка" error="Допускается ввод не более 900 символов!" sqref="J101">
      <formula1>900</formula1>
    </dataValidation>
    <dataValidation allowBlank="1" showInputMessage="1" showErrorMessage="1" prompt="Для выбора выполните двойной щелчок левой клавиши мыши по соответствующей ячейке." sqref="K1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allowBlank="1" showInputMessage="1" showErrorMessage="1" prompt="Для выбора выполните двойной щелчок левой клавиши мыши по соответствующей ячейке." sqref="O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Для выбора выполните двойной щелчок левой клавиши мыши по соответствующей ячейке." sqref="S101"/>
    <dataValidation type="textLength" operator="lessThanOrEqual" allowBlank="1" showInputMessage="1" showErrorMessage="1" errorTitle="Ошибка" error="Допускается ввод не более 900 символов!" sqref="V101">
      <formula1>900</formula1>
    </dataValidation>
    <dataValidation type="textLength" operator="lessThanOrEqual" allowBlank="1" showInputMessage="1" showErrorMessage="1" errorTitle="Ошибка" error="Допускается ввод не более 900 символов!" sqref="W101">
      <formula1>900</formula1>
    </dataValidation>
    <dataValidation allowBlank="1" showInputMessage="1" showErrorMessage="1" prompt="Для выбора выполните двойной щелчок левой клавиши мыши по соответствующей ячейке." sqref="F102"/>
    <dataValidation allowBlank="1" showInputMessage="1" showErrorMessage="1" prompt="Выберите виды деятельности, выполнив двойной щелчок левой кнопки мыши по ячейке." sqref="G102"/>
    <dataValidation type="textLength" operator="lessThanOrEqual" allowBlank="1" showInputMessage="1" showErrorMessage="1" errorTitle="Ошибка" error="Допускается ввод не более 900 символов!" sqref="J10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type="textLength" operator="lessThanOrEqual" allowBlank="1" showInputMessage="1" showErrorMessage="1" errorTitle="Ошибка" error="Допускается ввод не более 900 символов!" sqref="R102">
      <formula1>900</formula1>
    </dataValidation>
    <dataValidation allowBlank="1" showInputMessage="1" showErrorMessage="1" prompt="Для выбора выполните двойной щелчок левой клавиши мыши по соответствующей ячейке." sqref="S102"/>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Выберите виды деятельности, выполнив двойной щелчок левой кнопки мыши по ячейке." sqref="G10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Выберите виды деятельности, выполнив двойной щелчок левой кнопки мыши по ячейке." sqref="G104"/>
    <dataValidation type="textLength" operator="lessThanOrEqual" allowBlank="1" showInputMessage="1" showErrorMessage="1" errorTitle="Ошибка" error="Допускается ввод не более 900 символов!" sqref="J104">
      <formula1>900</formula1>
    </dataValidation>
    <dataValidation allowBlank="1" showInputMessage="1" showErrorMessage="1" prompt="Для выбора выполните двойной щелчок левой клавиши мыши по соответствующей ячейке." sqref="K10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allowBlank="1" showInputMessage="1" showErrorMessage="1" prompt="Для выбора выполните двойной щелчок левой клавиши мыши по соответствующей ячейке." sqref="O104"/>
    <dataValidation type="textLength" operator="lessThanOrEqual" allowBlank="1" showInputMessage="1" showErrorMessage="1" errorTitle="Ошибка" error="Допускается ввод не более 900 символов!" sqref="R104">
      <formula1>900</formula1>
    </dataValidation>
    <dataValidation allowBlank="1" showInputMessage="1" showErrorMessage="1" prompt="Для выбора выполните двойной щелчок левой клавиши мыши по соответствующей ячейке." sqref="S104"/>
    <dataValidation type="textLength" operator="lessThanOrEqual" allowBlank="1" showInputMessage="1" showErrorMessage="1" errorTitle="Ошибка" error="Допускается ввод не более 900 символов!" sqref="V104">
      <formula1>900</formula1>
    </dataValidation>
    <dataValidation type="textLength" operator="lessThanOrEqual" allowBlank="1" showInputMessage="1" showErrorMessage="1" errorTitle="Ошибка" error="Допускается ввод не более 900 символов!" sqref="W104">
      <formula1>900</formula1>
    </dataValidation>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Выберите виды деятельности, выполнив двойной щелчок левой кнопки мыши по ячейке." sqref="G105"/>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allowBlank="1" showInputMessage="1" showErrorMessage="1" prompt="Для выбора выполните двойной щелчок левой клавиши мыши по соответствующей ячейке." sqref="F106"/>
    <dataValidation allowBlank="1" showInputMessage="1" showErrorMessage="1" prompt="Выберите виды деятельности, выполнив двойной щелчок левой кнопки мыши по ячейке." sqref="G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Выберите виды деятельности, выполнив двойной щелчок левой кнопки мыши по ячейке." sqref="G107"/>
    <dataValidation type="textLength" operator="lessThanOrEqual" allowBlank="1" showInputMessage="1" showErrorMessage="1" errorTitle="Ошибка" error="Допускается ввод не более 900 символов!" sqref="J107">
      <formula1>900</formula1>
    </dataValidation>
    <dataValidation allowBlank="1" showInputMessage="1" showErrorMessage="1" prompt="Для выбора выполните двойной щелчок левой клавиши мыши по соответствующей ячейке." sqref="K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O107"/>
    <dataValidation type="textLength" operator="lessThanOrEqual" allowBlank="1" showInputMessage="1" showErrorMessage="1" errorTitle="Ошибка" error="Допускается ввод не более 900 символов!" sqref="R107">
      <formula1>900</formula1>
    </dataValidation>
    <dataValidation allowBlank="1" showInputMessage="1" showErrorMessage="1" prompt="Для выбора выполните двойной щелчок левой клавиши мыши по соответствующей ячейке." sqref="S107"/>
    <dataValidation type="textLength" operator="lessThanOrEqual" allowBlank="1" showInputMessage="1" showErrorMessage="1" errorTitle="Ошибка" error="Допускается ввод не более 900 символов!" sqref="V107">
      <formula1>900</formula1>
    </dataValidation>
    <dataValidation type="textLength" operator="lessThanOrEqual" allowBlank="1" showInputMessage="1" showErrorMessage="1" errorTitle="Ошибка" error="Допускается ввод не более 900 символов!" sqref="W107">
      <formula1>900</formula1>
    </dataValidation>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Выберите виды деятельности, выполнив двойной щелчок левой кнопки мыши по ячейке." sqref="G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Для выбора выполните двойной щелчок левой клавиши мыши по соответствующей ячейке." sqref="S108"/>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Выберите виды деятельности, выполнив двойной щелчок левой кнопки мыши по ячейке." sqref="G10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 type="textLength" operator="lessThanOrEqual" allowBlank="1" showInputMessage="1" showErrorMessage="1" errorTitle="Ошибка" error="Допускается ввод не более 900 символов!" sqref="J110">
      <formula1>900</formula1>
    </dataValidation>
    <dataValidation allowBlank="1" showInputMessage="1" showErrorMessage="1" prompt="Для выбора выполните двойной щелчок левой клавиши мыши по соответствующей ячейке." sqref="K1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allowBlank="1" showInputMessage="1" showErrorMessage="1" prompt="Для выбора выполните двойной щелчок левой клавиши мыши по соответствующей ячейке." sqref="O110"/>
    <dataValidation type="textLength" operator="lessThanOrEqual" allowBlank="1" showInputMessage="1" showErrorMessage="1" errorTitle="Ошибка" error="Допускается ввод не более 900 символов!" sqref="R110">
      <formula1>900</formula1>
    </dataValidation>
    <dataValidation allowBlank="1" showInputMessage="1" showErrorMessage="1" prompt="Для выбора выполните двойной щелчок левой клавиши мыши по соответствующей ячейке." sqref="S110"/>
    <dataValidation type="textLength" operator="lessThanOrEqual" allowBlank="1" showInputMessage="1" showErrorMessage="1" errorTitle="Ошибка" error="Допускается ввод не более 900 символов!" sqref="V110">
      <formula1>900</formula1>
    </dataValidation>
    <dataValidation type="textLength" operator="lessThanOrEqual" allowBlank="1" showInputMessage="1" showErrorMessage="1" errorTitle="Ошибка" error="Допускается ввод не более 900 символов!" sqref="W110">
      <formula1>900</formula1>
    </dataValidation>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Выберите виды деятельности, выполнив двойной щелчок левой кнопки мыши по ячейке." sqref="G111"/>
    <dataValidation type="textLength" operator="lessThanOrEqual" allowBlank="1" showInputMessage="1" showErrorMessage="1" errorTitle="Ошибка" error="Допускается ввод не более 900 символов!" sqref="J11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type="textLength" operator="lessThanOrEqual" allowBlank="1" showInputMessage="1" showErrorMessage="1" errorTitle="Ошибка" error="Допускается ввод не более 900 символов!" sqref="R111">
      <formula1>900</formula1>
    </dataValidation>
    <dataValidation allowBlank="1" showInputMessage="1" showErrorMessage="1" prompt="Для выбора выполните двойной щелчок левой клавиши мыши по соответствующей ячейке." sqref="S111"/>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Выберите виды деятельности, выполнив двойной щелчок левой кнопки мыши по ячейке." sqref="G11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Выберите виды деятельности, выполнив двойной щелчок левой кнопки мыши по ячейке." sqref="G113"/>
    <dataValidation type="textLength" operator="lessThanOrEqual" allowBlank="1" showInputMessage="1" showErrorMessage="1" errorTitle="Ошибка" error="Допускается ввод не более 900 символов!" sqref="J113">
      <formula1>900</formula1>
    </dataValidation>
    <dataValidation allowBlank="1" showInputMessage="1" showErrorMessage="1" prompt="Для выбора выполните двойной щелчок левой клавиши мыши по соответствующей ячейке." sqref="K1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allowBlank="1" showInputMessage="1" showErrorMessage="1" prompt="Для выбора выполните двойной щелчок левой клавиши мыши по соответствующей ячейке." sqref="O113"/>
    <dataValidation type="textLength" operator="lessThanOrEqual" allowBlank="1" showInputMessage="1" showErrorMessage="1" errorTitle="Ошибка" error="Допускается ввод не более 900 символов!" sqref="R113">
      <formula1>900</formula1>
    </dataValidation>
    <dataValidation allowBlank="1" showInputMessage="1" showErrorMessage="1" prompt="Для выбора выполните двойной щелчок левой клавиши мыши по соответствующей ячейке." sqref="S113"/>
    <dataValidation type="textLength" operator="lessThanOrEqual" allowBlank="1" showInputMessage="1" showErrorMessage="1" errorTitle="Ошибка" error="Допускается ввод не более 900 символов!" sqref="V113">
      <formula1>900</formula1>
    </dataValidation>
    <dataValidation type="textLength" operator="lessThanOrEqual" allowBlank="1" showInputMessage="1" showErrorMessage="1" errorTitle="Ошибка" error="Допускается ввод не более 900 символов!" sqref="W113">
      <formula1>900</formula1>
    </dataValidation>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Выберите виды деятельности, выполнив двойной щелчок левой кнопки мыши по ячейке." sqref="G114"/>
    <dataValidation type="textLength" operator="lessThanOrEqual" allowBlank="1" showInputMessage="1" showErrorMessage="1" errorTitle="Ошибка" error="Допускается ввод не более 900 символов!" sqref="J1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type="textLength" operator="lessThanOrEqual" allowBlank="1" showInputMessage="1" showErrorMessage="1" errorTitle="Ошибка" error="Допускается ввод не более 900 символов!" sqref="R114">
      <formula1>900</formula1>
    </dataValidation>
    <dataValidation allowBlank="1" showInputMessage="1" showErrorMessage="1" prompt="Для выбора выполните двойной щелчок левой клавиши мыши по соответствующей ячейке." sqref="S114"/>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Выберите виды деятельности, выполнив двойной щелчок левой кнопки мыши по ячейке." sqref="G11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allowBlank="1" showInputMessage="1" showErrorMessage="1" prompt="Для выбора выполните двойной щелчок левой клавиши мыши по соответствующей ячейке." sqref="F116"/>
    <dataValidation allowBlank="1" showInputMessage="1" showErrorMessage="1" prompt="Выберите виды деятельности, выполнив двойной щелчок левой кнопки мыши по ячейке." sqref="G116"/>
    <dataValidation type="textLength" operator="lessThanOrEqual" allowBlank="1" showInputMessage="1" showErrorMessage="1" errorTitle="Ошибка" error="Допускается ввод не более 900 символов!" sqref="J116">
      <formula1>900</formula1>
    </dataValidation>
    <dataValidation allowBlank="1" showInputMessage="1" showErrorMessage="1" prompt="Для выбора выполните двойной щелчок левой клавиши мыши по соответствующей ячейке." sqref="K11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allowBlank="1" showInputMessage="1" showErrorMessage="1" prompt="Для выбора выполните двойной щелчок левой клавиши мыши по соответствующей ячейке." sqref="O116"/>
    <dataValidation type="textLength" operator="lessThanOrEqual" allowBlank="1" showInputMessage="1" showErrorMessage="1" errorTitle="Ошибка" error="Допускается ввод не более 900 символов!" sqref="R116">
      <formula1>900</formula1>
    </dataValidation>
    <dataValidation allowBlank="1" showInputMessage="1" showErrorMessage="1" prompt="Для выбора выполните двойной щелчок левой клавиши мыши по соответствующей ячейке." sqref="S116"/>
    <dataValidation type="textLength" operator="lessThanOrEqual" allowBlank="1" showInputMessage="1" showErrorMessage="1" errorTitle="Ошибка" error="Допускается ввод не более 900 символов!" sqref="V116">
      <formula1>900</formula1>
    </dataValidation>
    <dataValidation type="textLength" operator="lessThanOrEqual" allowBlank="1" showInputMessage="1" showErrorMessage="1" errorTitle="Ошибка" error="Допускается ввод не более 900 символов!" sqref="W116">
      <formula1>900</formula1>
    </dataValidation>
    <dataValidation allowBlank="1" showInputMessage="1" showErrorMessage="1" prompt="Для выбора выполните двойной щелчок левой клавиши мыши по соответствующей ячейке." sqref="F117"/>
    <dataValidation allowBlank="1" showInputMessage="1" showErrorMessage="1" prompt="Выберите виды деятельности, выполнив двойной щелчок левой кнопки мыши по ячейке." sqref="G117"/>
    <dataValidation type="textLength" operator="lessThanOrEqual" allowBlank="1" showInputMessage="1" showErrorMessage="1" errorTitle="Ошибка" error="Допускается ввод не более 900 символов!" sqref="J11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type="textLength" operator="lessThanOrEqual" allowBlank="1" showInputMessage="1" showErrorMessage="1" errorTitle="Ошибка" error="Допускается ввод не более 900 символов!" sqref="R117">
      <formula1>900</formula1>
    </dataValidation>
    <dataValidation allowBlank="1" showInputMessage="1" showErrorMessage="1" prompt="Для выбора выполните двойной щелчок левой клавиши мыши по соответствующей ячейке." sqref="S117"/>
    <dataValidation allowBlank="1" showInputMessage="1" showErrorMessage="1" prompt="Для выбора выполните двойной щелчок левой клавиши мыши по соответствующей ячейке." sqref="F118"/>
    <dataValidation allowBlank="1" showInputMessage="1" showErrorMessage="1" prompt="Выберите виды деятельности, выполнив двойной щелчок левой кнопки мыши по ячейке." sqref="G1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Выберите виды деятельности, выполнив двойной щелчок левой кнопки мыши по ячейке." sqref="G119"/>
    <dataValidation type="textLength" operator="lessThanOrEqual" allowBlank="1" showInputMessage="1" showErrorMessage="1" errorTitle="Ошибка" error="Допускается ввод не более 900 символов!" sqref="J119">
      <formula1>900</formula1>
    </dataValidation>
    <dataValidation allowBlank="1" showInputMessage="1" showErrorMessage="1" prompt="Для выбора выполните двойной щелчок левой клавиши мыши по соответствующей ячейке." sqref="K1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allowBlank="1" showInputMessage="1" showErrorMessage="1" prompt="Для выбора выполните двойной щелчок левой клавиши мыши по соответствующей ячейке." sqref="O119"/>
    <dataValidation type="textLength" operator="lessThanOrEqual" allowBlank="1" showInputMessage="1" showErrorMessage="1" errorTitle="Ошибка" error="Допускается ввод не более 900 символов!" sqref="R119">
      <formula1>900</formula1>
    </dataValidation>
    <dataValidation allowBlank="1" showInputMessage="1" showErrorMessage="1" prompt="Для выбора выполните двойной щелчок левой клавиши мыши по соответствующей ячейке." sqref="S119"/>
    <dataValidation type="textLength" operator="lessThanOrEqual" allowBlank="1" showInputMessage="1" showErrorMessage="1" errorTitle="Ошибка" error="Допускается ввод не более 900 символов!" sqref="V119">
      <formula1>900</formula1>
    </dataValidation>
    <dataValidation type="textLength" operator="lessThanOrEqual" allowBlank="1" showInputMessage="1" showErrorMessage="1" errorTitle="Ошибка" error="Допускается ввод не более 900 символов!" sqref="W119">
      <formula1>900</formula1>
    </dataValidation>
    <dataValidation allowBlank="1" showInputMessage="1" showErrorMessage="1" prompt="Для выбора выполните двойной щелчок левой клавиши мыши по соответствующей ячейке." sqref="F121"/>
    <dataValidation allowBlank="1" showInputMessage="1" showErrorMessage="1" prompt="Выберите виды деятельности, выполнив двойной щелчок левой кнопки мыши по ячейке." sqref="G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Выберите виды деятельности, выполнив двойной щелчок левой кнопки мыши по ячейке." sqref="G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Выберите виды деятельности, выполнив двойной щелчок левой кнопки мыши по ячейке." sqref="G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Для выбора выполните двойной щелчок левой клавиши мыши по соответствующей ячейке." sqref="K1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O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Для выбора выполните двойной щелчок левой клавиши мыши по соответствующей ячейке." sqref="S123"/>
    <dataValidation type="textLength" operator="lessThanOrEqual" allowBlank="1" showInputMessage="1" showErrorMessage="1" errorTitle="Ошибка" error="Допускается ввод не более 900 символов!" sqref="V123">
      <formula1>900</formula1>
    </dataValidation>
    <dataValidation type="textLength" operator="lessThanOrEqual" allowBlank="1" showInputMessage="1" showErrorMessage="1" errorTitle="Ошибка" error="Допускается ввод не более 900 символов!" sqref="W123">
      <formula1>900</formula1>
    </dataValidation>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type="textLength" operator="lessThanOrEqual" allowBlank="1" showInputMessage="1" showErrorMessage="1" errorTitle="Ошибка" error="Допускается ввод не более 900 символов!" sqref="J127">
      <formula1>900</formula1>
    </dataValidation>
    <dataValidation allowBlank="1" showInputMessage="1" showErrorMessage="1" prompt="Для выбора выполните двойной щелчок левой клавиши мыши по соответствующей ячейке." sqref="K1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allowBlank="1" showInputMessage="1" showErrorMessage="1" prompt="Для выбора выполните двойной щелчок левой клавиши мыши по соответствующей ячейке." sqref="O127"/>
    <dataValidation type="textLength" operator="lessThanOrEqual" allowBlank="1" showInputMessage="1" showErrorMessage="1" errorTitle="Ошибка" error="Допускается ввод не более 900 символов!" sqref="R127">
      <formula1>900</formula1>
    </dataValidation>
    <dataValidation allowBlank="1" showInputMessage="1" showErrorMessage="1" prompt="Для выбора выполните двойной щелчок левой клавиши мыши по соответствующей ячейке." sqref="S127"/>
    <dataValidation type="textLength" operator="lessThanOrEqual" allowBlank="1" showInputMessage="1" showErrorMessage="1" errorTitle="Ошибка" error="Допускается ввод не более 900 символов!" sqref="V127">
      <formula1>900</formula1>
    </dataValidation>
    <dataValidation type="textLength" operator="lessThanOrEqual" allowBlank="1" showInputMessage="1" showErrorMessage="1" errorTitle="Ошибка" error="Допускается ввод не более 900 символов!" sqref="W127">
      <formula1>900</formula1>
    </dataValidation>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Для выбора выполните двойной щелчок левой клавиши мыши по соответствующей ячейке." sqref="S128"/>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Выберите виды деятельности, выполнив двойной щелчок левой кнопки мыши по ячейке." sqref="G1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Выберите виды деятельности, выполнив двойной щелчок левой кнопки мыши по ячейке." sqref="G130"/>
    <dataValidation type="textLength" operator="lessThanOrEqual" allowBlank="1" showInputMessage="1" showErrorMessage="1" errorTitle="Ошибка" error="Допускается ввод не более 900 символов!" sqref="J130">
      <formula1>900</formula1>
    </dataValidation>
    <dataValidation allowBlank="1" showInputMessage="1" showErrorMessage="1" prompt="Для выбора выполните двойной щелчок левой клавиши мыши по соответствующей ячейке." sqref="K1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allowBlank="1" showInputMessage="1" showErrorMessage="1" prompt="Для выбора выполните двойной щелчок левой клавиши мыши по соответствующей ячейке." sqref="O130"/>
    <dataValidation type="textLength" operator="lessThanOrEqual" allowBlank="1" showInputMessage="1" showErrorMessage="1" errorTitle="Ошибка" error="Допускается ввод не более 900 символов!" sqref="R130">
      <formula1>900</formula1>
    </dataValidation>
    <dataValidation allowBlank="1" showInputMessage="1" showErrorMessage="1" prompt="Для выбора выполните двойной щелчок левой клавиши мыши по соответствующей ячейке." sqref="S130"/>
    <dataValidation type="textLength" operator="lessThanOrEqual" allowBlank="1" showInputMessage="1" showErrorMessage="1" errorTitle="Ошибка" error="Допускается ввод не более 900 символов!" sqref="V130">
      <formula1>900</formula1>
    </dataValidation>
    <dataValidation type="textLength" operator="lessThanOrEqual" allowBlank="1" showInputMessage="1" showErrorMessage="1" errorTitle="Ошибка" error="Допускается ввод не более 900 символов!" sqref="W130">
      <formula1>900</formula1>
    </dataValidation>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Выберите виды деятельности, выполнив двойной щелчок левой кнопки мыши по ячейке." sqref="G132"/>
    <dataValidation type="textLength" operator="lessThanOrEqual" allowBlank="1" showInputMessage="1" showErrorMessage="1" errorTitle="Ошибка" error="Допускается ввод не более 900 символов!" sqref="J1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Для выбора выполните двойной щелчок левой клавиши мыши по соответствующей ячейке." sqref="S132"/>
    <dataValidation allowBlank="1" showInputMessage="1" showErrorMessage="1" prompt="Для выбора выполните двойной щелчок левой клавиши мыши по соответствующей ячейке." sqref="F133"/>
    <dataValidation allowBlank="1" showInputMessage="1" showErrorMessage="1" prompt="Выберите виды деятельности, выполнив двойной щелчок левой кнопки мыши по ячейке." sqref="G1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allowBlank="1" showInputMessage="1" showErrorMessage="1" prompt="Для выбора выполните двойной щелчок левой клавиши мыши по соответствующей ячейке." sqref="F134"/>
    <dataValidation allowBlank="1" showInputMessage="1" showErrorMessage="1" prompt="Выберите виды деятельности, выполнив двойной щелчок левой кнопки мыши по ячейке." sqref="G134"/>
    <dataValidation type="textLength" operator="lessThanOrEqual" allowBlank="1" showInputMessage="1" showErrorMessage="1" errorTitle="Ошибка" error="Допускается ввод не более 900 символов!" sqref="J134">
      <formula1>900</formula1>
    </dataValidation>
    <dataValidation allowBlank="1" showInputMessage="1" showErrorMessage="1" prompt="Для выбора выполните двойной щелчок левой клавиши мыши по соответствующей ячейке." sqref="K1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allowBlank="1" showInputMessage="1" showErrorMessage="1" prompt="Для выбора выполните двойной щелчок левой клавиши мыши по соответствующей ячейке." sqref="O134"/>
    <dataValidation type="textLength" operator="lessThanOrEqual" allowBlank="1" showInputMessage="1" showErrorMessage="1" errorTitle="Ошибка" error="Допускается ввод не более 900 символов!" sqref="R134">
      <formula1>900</formula1>
    </dataValidation>
    <dataValidation allowBlank="1" showInputMessage="1" showErrorMessage="1" prompt="Для выбора выполните двойной щелчок левой клавиши мыши по соответствующей ячейке." sqref="S134"/>
    <dataValidation type="textLength" operator="lessThanOrEqual" allowBlank="1" showInputMessage="1" showErrorMessage="1" errorTitle="Ошибка" error="Допускается ввод не более 900 символов!" sqref="V134">
      <formula1>900</formula1>
    </dataValidation>
    <dataValidation type="textLength" operator="lessThanOrEqual" allowBlank="1" showInputMessage="1" showErrorMessage="1" errorTitle="Ошибка" error="Допускается ввод не более 900 символов!" sqref="W134">
      <formula1>900</formula1>
    </dataValidation>
    <dataValidation allowBlank="1" showInputMessage="1" showErrorMessage="1" prompt="Для выбора выполните двойной щелчок левой клавиши мыши по соответствующей ячейке." sqref="F135"/>
    <dataValidation allowBlank="1" showInputMessage="1" showErrorMessage="1" prompt="Выберите виды деятельности, выполнив двойной щелчок левой кнопки мыши по ячейке." sqref="G135"/>
    <dataValidation type="textLength" operator="lessThanOrEqual" allowBlank="1" showInputMessage="1" showErrorMessage="1" errorTitle="Ошибка" error="Допускается ввод не более 900 символов!" sqref="J1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 type="textLength" operator="lessThanOrEqual" allowBlank="1" showInputMessage="1" showErrorMessage="1" errorTitle="Ошибка" error="Допускается ввод не более 900 символов!" sqref="R135">
      <formula1>900</formula1>
    </dataValidation>
    <dataValidation allowBlank="1" showInputMessage="1" showErrorMessage="1" prompt="Для выбора выполните двойной щелчок левой клавиши мыши по соответствующей ячейке." sqref="S135"/>
    <dataValidation allowBlank="1" showInputMessage="1" showErrorMessage="1" prompt="Для выбора выполните двойной щелчок левой клавиши мыши по соответствующей ячейке." sqref="F136"/>
    <dataValidation allowBlank="1" showInputMessage="1" showErrorMessage="1" prompt="Выберите виды деятельности, выполнив двойной щелчок левой кнопки мыши по ячейке." sqref="G1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allowBlank="1" showInputMessage="1" showErrorMessage="1" prompt="Для выбора выполните двойной щелчок левой клавиши мыши по соответствующей ячейке." sqref="F137"/>
    <dataValidation allowBlank="1" showInputMessage="1" showErrorMessage="1" prompt="Выберите виды деятельности, выполнив двойной щелчок левой кнопки мыши по ячейке." sqref="G137"/>
    <dataValidation type="textLength" operator="lessThanOrEqual" allowBlank="1" showInputMessage="1" showErrorMessage="1" errorTitle="Ошибка" error="Допускается ввод не более 900 символов!" sqref="J137">
      <formula1>900</formula1>
    </dataValidation>
    <dataValidation allowBlank="1" showInputMessage="1" showErrorMessage="1" prompt="Для выбора выполните двойной щелчок левой клавиши мыши по соответствующей ячейке." sqref="K1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allowBlank="1" showInputMessage="1" showErrorMessage="1" prompt="Для выбора выполните двойной щелчок левой клавиши мыши по соответствующей ячейке." sqref="O137"/>
    <dataValidation type="textLength" operator="lessThanOrEqual" allowBlank="1" showInputMessage="1" showErrorMessage="1" errorTitle="Ошибка" error="Допускается ввод не более 900 символов!" sqref="R137">
      <formula1>900</formula1>
    </dataValidation>
    <dataValidation allowBlank="1" showInputMessage="1" showErrorMessage="1" prompt="Для выбора выполните двойной щелчок левой клавиши мыши по соответствующей ячейке." sqref="S137"/>
    <dataValidation type="textLength" operator="lessThanOrEqual" allowBlank="1" showInputMessage="1" showErrorMessage="1" errorTitle="Ошибка" error="Допускается ввод не более 900 символов!" sqref="V137">
      <formula1>900</formula1>
    </dataValidation>
    <dataValidation type="textLength" operator="lessThanOrEqual" allowBlank="1" showInputMessage="1" showErrorMessage="1" errorTitle="Ошибка" error="Допускается ввод не более 900 символов!" sqref="W137">
      <formula1>900</formula1>
    </dataValidation>
    <dataValidation allowBlank="1" showInputMessage="1" showErrorMessage="1" prompt="Для выбора выполните двойной щелчок левой клавиши мыши по соответствующей ячейке." sqref="F138"/>
    <dataValidation allowBlank="1" showInputMessage="1" showErrorMessage="1" prompt="Выберите виды деятельности, выполнив двойной щелчок левой кнопки мыши по ячейке." sqref="G138"/>
    <dataValidation type="textLength" operator="lessThanOrEqual" allowBlank="1" showInputMessage="1" showErrorMessage="1" errorTitle="Ошибка" error="Допускается ввод не более 900 символов!" sqref="J13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8"/>
    <dataValidation type="textLength" operator="lessThanOrEqual" allowBlank="1" showInputMessage="1" showErrorMessage="1" errorTitle="Ошибка" error="Допускается ввод не более 900 символов!" sqref="R138">
      <formula1>900</formula1>
    </dataValidation>
    <dataValidation allowBlank="1" showInputMessage="1" showErrorMessage="1" prompt="Для выбора выполните двойной щелчок левой клавиши мыши по соответствующей ячейке." sqref="S138"/>
    <dataValidation allowBlank="1" showInputMessage="1" showErrorMessage="1" prompt="Для выбора выполните двойной щелчок левой клавиши мыши по соответствующей ячейке." sqref="F139"/>
    <dataValidation allowBlank="1" showInputMessage="1" showErrorMessage="1" prompt="Выберите виды деятельности, выполнив двойной щелчок левой кнопки мыши по ячейке." sqref="G1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9"/>
    <dataValidation allowBlank="1" showInputMessage="1" showErrorMessage="1" prompt="Для выбора выполните двойной щелчок левой клавиши мыши по соответствующей ячейке." sqref="F140"/>
    <dataValidation allowBlank="1" showInputMessage="1" showErrorMessage="1" prompt="Выберите виды деятельности, выполнив двойной щелчок левой кнопки мыши по ячейке." sqref="G140"/>
    <dataValidation type="textLength" operator="lessThanOrEqual" allowBlank="1" showInputMessage="1" showErrorMessage="1" errorTitle="Ошибка" error="Допускается ввод не более 900 символов!" sqref="J140">
      <formula1>900</formula1>
    </dataValidation>
    <dataValidation allowBlank="1" showInputMessage="1" showErrorMessage="1" prompt="Для выбора выполните двойной щелчок левой клавиши мыши по соответствующей ячейке." sqref="K1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0"/>
    <dataValidation allowBlank="1" showInputMessage="1" showErrorMessage="1" prompt="Для выбора выполните двойной щелчок левой клавиши мыши по соответствующей ячейке." sqref="O140"/>
    <dataValidation type="textLength" operator="lessThanOrEqual" allowBlank="1" showInputMessage="1" showErrorMessage="1" errorTitle="Ошибка" error="Допускается ввод не более 900 символов!" sqref="R140">
      <formula1>900</formula1>
    </dataValidation>
    <dataValidation allowBlank="1" showInputMessage="1" showErrorMessage="1" prompt="Для выбора выполните двойной щелчок левой клавиши мыши по соответствующей ячейке." sqref="S140"/>
    <dataValidation type="textLength" operator="lessThanOrEqual" allowBlank="1" showInputMessage="1" showErrorMessage="1" errorTitle="Ошибка" error="Допускается ввод не более 900 символов!" sqref="V140">
      <formula1>900</formula1>
    </dataValidation>
    <dataValidation type="textLength" operator="lessThanOrEqual" allowBlank="1" showInputMessage="1" showErrorMessage="1" errorTitle="Ошибка" error="Допускается ввод не более 900 символов!" sqref="W140">
      <formula1>900</formula1>
    </dataValidation>
    <dataValidation allowBlank="1" showInputMessage="1" showErrorMessage="1" prompt="Для выбора выполните двойной щелчок левой клавиши мыши по соответствующей ячейке." sqref="F142"/>
    <dataValidation allowBlank="1" showInputMessage="1" showErrorMessage="1" prompt="Выберите виды деятельности, выполнив двойной щелчок левой кнопки мыши по ячейке." sqref="G142"/>
    <dataValidation type="textLength" operator="lessThanOrEqual" allowBlank="1" showInputMessage="1" showErrorMessage="1" errorTitle="Ошибка" error="Допускается ввод не более 900 символов!" sqref="J14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
    <dataValidation type="textLength" operator="lessThanOrEqual" allowBlank="1" showInputMessage="1" showErrorMessage="1" errorTitle="Ошибка" error="Допускается ввод не более 900 символов!" sqref="R142">
      <formula1>900</formula1>
    </dataValidation>
    <dataValidation allowBlank="1" showInputMessage="1" showErrorMessage="1" prompt="Для выбора выполните двойной щелчок левой клавиши мыши по соответствующей ячейке." sqref="S142"/>
    <dataValidation allowBlank="1" showInputMessage="1" showErrorMessage="1" prompt="Для выбора выполните двойной щелчок левой клавиши мыши по соответствующей ячейке." sqref="F143"/>
    <dataValidation allowBlank="1" showInputMessage="1" showErrorMessage="1" prompt="Выберите виды деятельности, выполнив двойной щелчок левой кнопки мыши по ячейке." sqref="G1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3"/>
    <dataValidation allowBlank="1" showInputMessage="1" showErrorMessage="1" prompt="Для выбора выполните двойной щелчок левой клавиши мыши по соответствующей ячейке." sqref="F144"/>
    <dataValidation allowBlank="1" showInputMessage="1" showErrorMessage="1" prompt="Выберите виды деятельности, выполнив двойной щелчок левой кнопки мыши по ячейке." sqref="G144"/>
    <dataValidation type="textLength" operator="lessThanOrEqual" allowBlank="1" showInputMessage="1" showErrorMessage="1" errorTitle="Ошибка" error="Допускается ввод не более 900 символов!" sqref="J144">
      <formula1>900</formula1>
    </dataValidation>
    <dataValidation allowBlank="1" showInputMessage="1" showErrorMessage="1" prompt="Для выбора выполните двойной щелчок левой клавиши мыши по соответствующей ячейке." sqref="K1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4"/>
    <dataValidation allowBlank="1" showInputMessage="1" showErrorMessage="1" prompt="Для выбора выполните двойной щелчок левой клавиши мыши по соответствующей ячейке." sqref="O144"/>
    <dataValidation type="textLength" operator="lessThanOrEqual" allowBlank="1" showInputMessage="1" showErrorMessage="1" errorTitle="Ошибка" error="Допускается ввод не более 900 символов!" sqref="R144">
      <formula1>900</formula1>
    </dataValidation>
    <dataValidation allowBlank="1" showInputMessage="1" showErrorMessage="1" prompt="Для выбора выполните двойной щелчок левой клавиши мыши по соответствующей ячейке." sqref="S144"/>
    <dataValidation type="textLength" operator="lessThanOrEqual" allowBlank="1" showInputMessage="1" showErrorMessage="1" errorTitle="Ошибка" error="Допускается ввод не более 900 символов!" sqref="V144">
      <formula1>900</formula1>
    </dataValidation>
    <dataValidation type="textLength" operator="lessThanOrEqual" allowBlank="1" showInputMessage="1" showErrorMessage="1" errorTitle="Ошибка" error="Допускается ввод не более 900 символов!" sqref="W144">
      <formula1>900</formula1>
    </dataValidation>
    <dataValidation allowBlank="1" showInputMessage="1" showErrorMessage="1" prompt="Для выбора выполните двойной щелчок левой клавиши мыши по соответствующей ячейке." sqref="F145"/>
    <dataValidation allowBlank="1" showInputMessage="1" showErrorMessage="1" prompt="Выберите виды деятельности, выполнив двойной щелчок левой кнопки мыши по ячейке." sqref="G145"/>
    <dataValidation type="textLength" operator="lessThanOrEqual" allowBlank="1" showInputMessage="1" showErrorMessage="1" errorTitle="Ошибка" error="Допускается ввод не более 900 символов!" sqref="J14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5"/>
    <dataValidation type="textLength" operator="lessThanOrEqual" allowBlank="1" showInputMessage="1" showErrorMessage="1" errorTitle="Ошибка" error="Допускается ввод не более 900 символов!" sqref="R145">
      <formula1>900</formula1>
    </dataValidation>
    <dataValidation allowBlank="1" showInputMessage="1" showErrorMessage="1" prompt="Для выбора выполните двойной щелчок левой клавиши мыши по соответствующей ячейке." sqref="S145"/>
    <dataValidation allowBlank="1" showInputMessage="1" showErrorMessage="1" prompt="Для выбора выполните двойной щелчок левой клавиши мыши по соответствующей ячейке." sqref="F146"/>
    <dataValidation allowBlank="1" showInputMessage="1" showErrorMessage="1" prompt="Выберите виды деятельности, выполнив двойной щелчок левой кнопки мыши по ячейке." sqref="G1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
    <dataValidation allowBlank="1" showInputMessage="1" showErrorMessage="1" prompt="Для выбора выполните двойной щелчок левой клавиши мыши по соответствующей ячейке." sqref="F147"/>
    <dataValidation allowBlank="1" showInputMessage="1" showErrorMessage="1" prompt="Выберите виды деятельности, выполнив двойной щелчок левой кнопки мыши по ячейке." sqref="G147"/>
    <dataValidation type="textLength" operator="lessThanOrEqual" allowBlank="1" showInputMessage="1" showErrorMessage="1" errorTitle="Ошибка" error="Допускается ввод не более 900 символов!" sqref="J147">
      <formula1>900</formula1>
    </dataValidation>
    <dataValidation allowBlank="1" showInputMessage="1" showErrorMessage="1" prompt="Для выбора выполните двойной щелчок левой клавиши мыши по соответствующей ячейке." sqref="K14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7"/>
    <dataValidation allowBlank="1" showInputMessage="1" showErrorMessage="1" prompt="Для выбора выполните двойной щелчок левой клавиши мыши по соответствующей ячейке." sqref="O147"/>
    <dataValidation type="textLength" operator="lessThanOrEqual" allowBlank="1" showInputMessage="1" showErrorMessage="1" errorTitle="Ошибка" error="Допускается ввод не более 900 символов!" sqref="R147">
      <formula1>900</formula1>
    </dataValidation>
    <dataValidation allowBlank="1" showInputMessage="1" showErrorMessage="1" prompt="Для выбора выполните двойной щелчок левой клавиши мыши по соответствующей ячейке." sqref="S147"/>
    <dataValidation type="textLength" operator="lessThanOrEqual" allowBlank="1" showInputMessage="1" showErrorMessage="1" errorTitle="Ошибка" error="Допускается ввод не более 900 символов!" sqref="V147">
      <formula1>900</formula1>
    </dataValidation>
    <dataValidation type="textLength" operator="lessThanOrEqual" allowBlank="1" showInputMessage="1" showErrorMessage="1" errorTitle="Ошибка" error="Допускается ввод не более 900 символов!" sqref="W147">
      <formula1>900</formula1>
    </dataValidation>
    <dataValidation allowBlank="1" showInputMessage="1" showErrorMessage="1" prompt="Для выбора выполните двойной щелчок левой клавиши мыши по соответствующей ячейке." sqref="F148"/>
    <dataValidation allowBlank="1" showInputMessage="1" showErrorMessage="1" prompt="Выберите виды деятельности, выполнив двойной щелчок левой кнопки мыши по ячейке." sqref="G148"/>
    <dataValidation type="textLength" operator="lessThanOrEqual" allowBlank="1" showInputMessage="1" showErrorMessage="1" errorTitle="Ошибка" error="Допускается ввод не более 900 символов!" sqref="J14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8"/>
    <dataValidation type="textLength" operator="lessThanOrEqual" allowBlank="1" showInputMessage="1" showErrorMessage="1" errorTitle="Ошибка" error="Допускается ввод не более 900 символов!" sqref="R148">
      <formula1>900</formula1>
    </dataValidation>
    <dataValidation allowBlank="1" showInputMessage="1" showErrorMessage="1" prompt="Для выбора выполните двойной щелчок левой клавиши мыши по соответствующей ячейке." sqref="S148"/>
    <dataValidation allowBlank="1" showInputMessage="1" showErrorMessage="1" prompt="Для выбора выполните двойной щелчок левой клавиши мыши по соответствующей ячейке." sqref="F149"/>
    <dataValidation allowBlank="1" showInputMessage="1" showErrorMessage="1" prompt="Выберите виды деятельности, выполнив двойной щелчок левой кнопки мыши по ячейке." sqref="G1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9"/>
    <dataValidation allowBlank="1" showInputMessage="1" showErrorMessage="1" prompt="Для выбора выполните двойной щелчок левой клавиши мыши по соответствующей ячейке." sqref="F150"/>
    <dataValidation allowBlank="1" showInputMessage="1" showErrorMessage="1" prompt="Выберите виды деятельности, выполнив двойной щелчок левой кнопки мыши по ячейке." sqref="G150"/>
    <dataValidation type="textLength" operator="lessThanOrEqual" allowBlank="1" showInputMessage="1" showErrorMessage="1" errorTitle="Ошибка" error="Допускается ввод не более 900 символов!" sqref="J150">
      <formula1>900</formula1>
    </dataValidation>
    <dataValidation allowBlank="1" showInputMessage="1" showErrorMessage="1" prompt="Для выбора выполните двойной щелчок левой клавиши мыши по соответствующей ячейке." sqref="K15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0"/>
    <dataValidation allowBlank="1" showInputMessage="1" showErrorMessage="1" prompt="Для выбора выполните двойной щелчок левой клавиши мыши по соответствующей ячейке." sqref="O150"/>
    <dataValidation type="textLength" operator="lessThanOrEqual" allowBlank="1" showInputMessage="1" showErrorMessage="1" errorTitle="Ошибка" error="Допускается ввод не более 900 символов!" sqref="R150">
      <formula1>900</formula1>
    </dataValidation>
    <dataValidation allowBlank="1" showInputMessage="1" showErrorMessage="1" prompt="Для выбора выполните двойной щелчок левой клавиши мыши по соответствующей ячейке." sqref="S150"/>
    <dataValidation type="textLength" operator="lessThanOrEqual" allowBlank="1" showInputMessage="1" showErrorMessage="1" errorTitle="Ошибка" error="Допускается ввод не более 900 символов!" sqref="V150">
      <formula1>900</formula1>
    </dataValidation>
    <dataValidation type="textLength" operator="lessThanOrEqual" allowBlank="1" showInputMessage="1" showErrorMessage="1" errorTitle="Ошибка" error="Допускается ввод не более 900 символов!" sqref="W150">
      <formula1>900</formula1>
    </dataValidation>
    <dataValidation allowBlank="1" showInputMessage="1" showErrorMessage="1" prompt="Для выбора выполните двойной щелчок левой клавиши мыши по соответствующей ячейке." sqref="F151"/>
    <dataValidation allowBlank="1" showInputMessage="1" showErrorMessage="1" prompt="Выберите виды деятельности, выполнив двойной щелчок левой кнопки мыши по ячейке." sqref="G151"/>
    <dataValidation type="textLength" operator="lessThanOrEqual" allowBlank="1" showInputMessage="1" showErrorMessage="1" errorTitle="Ошибка" error="Допускается ввод не более 900 символов!" sqref="J15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1"/>
    <dataValidation type="textLength" operator="lessThanOrEqual" allowBlank="1" showInputMessage="1" showErrorMessage="1" errorTitle="Ошибка" error="Допускается ввод не более 900 символов!" sqref="R151">
      <formula1>900</formula1>
    </dataValidation>
    <dataValidation allowBlank="1" showInputMessage="1" showErrorMessage="1" prompt="Для выбора выполните двойной щелчок левой клавиши мыши по соответствующей ячейке." sqref="S151"/>
    <dataValidation allowBlank="1" showInputMessage="1" showErrorMessage="1" prompt="Для выбора выполните двойной щелчок левой клавиши мыши по соответствующей ячейке." sqref="F152"/>
    <dataValidation allowBlank="1" showInputMessage="1" showErrorMessage="1" prompt="Выберите виды деятельности, выполнив двойной щелчок левой кнопки мыши по ячейке." sqref="G15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2"/>
    <dataValidation allowBlank="1" showInputMessage="1" showErrorMessage="1" prompt="Для выбора выполните двойной щелчок левой клавиши мыши по соответствующей ячейке." sqref="F153"/>
    <dataValidation allowBlank="1" showInputMessage="1" showErrorMessage="1" prompt="Выберите виды деятельности, выполнив двойной щелчок левой кнопки мыши по ячейке." sqref="G153"/>
    <dataValidation type="textLength" operator="lessThanOrEqual" allowBlank="1" showInputMessage="1" showErrorMessage="1" errorTitle="Ошибка" error="Допускается ввод не более 900 символов!" sqref="J153">
      <formula1>900</formula1>
    </dataValidation>
    <dataValidation allowBlank="1" showInputMessage="1" showErrorMessage="1" prompt="Для выбора выполните двойной щелчок левой клавиши мыши по соответствующей ячейке." sqref="K15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3"/>
    <dataValidation allowBlank="1" showInputMessage="1" showErrorMessage="1" prompt="Для выбора выполните двойной щелчок левой клавиши мыши по соответствующей ячейке." sqref="O153"/>
    <dataValidation type="textLength" operator="lessThanOrEqual" allowBlank="1" showInputMessage="1" showErrorMessage="1" errorTitle="Ошибка" error="Допускается ввод не более 900 символов!" sqref="R153">
      <formula1>900</formula1>
    </dataValidation>
    <dataValidation allowBlank="1" showInputMessage="1" showErrorMessage="1" prompt="Для выбора выполните двойной щелчок левой клавиши мыши по соответствующей ячейке." sqref="S153"/>
    <dataValidation type="textLength" operator="lessThanOrEqual" allowBlank="1" showInputMessage="1" showErrorMessage="1" errorTitle="Ошибка" error="Допускается ввод не более 900 символов!" sqref="V153">
      <formula1>900</formula1>
    </dataValidation>
    <dataValidation type="textLength" operator="lessThanOrEqual" allowBlank="1" showInputMessage="1" showErrorMessage="1" errorTitle="Ошибка" error="Допускается ввод не более 900 символов!" sqref="W153">
      <formula1>900</formula1>
    </dataValidation>
    <dataValidation allowBlank="1" showInputMessage="1" showErrorMessage="1" prompt="Для выбора выполните двойной щелчок левой клавиши мыши по соответствующей ячейке." sqref="F154"/>
    <dataValidation allowBlank="1" showInputMessage="1" showErrorMessage="1" prompt="Выберите виды деятельности, выполнив двойной щелчок левой кнопки мыши по ячейке." sqref="G154"/>
    <dataValidation type="textLength" operator="lessThanOrEqual" allowBlank="1" showInputMessage="1" showErrorMessage="1" errorTitle="Ошибка" error="Допускается ввод не более 900 символов!" sqref="J15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
    <dataValidation type="textLength" operator="lessThanOrEqual" allowBlank="1" showInputMessage="1" showErrorMessage="1" errorTitle="Ошибка" error="Допускается ввод не более 900 символов!" sqref="R154">
      <formula1>900</formula1>
    </dataValidation>
    <dataValidation allowBlank="1" showInputMessage="1" showErrorMessage="1" prompt="Для выбора выполните двойной щелчок левой клавиши мыши по соответствующей ячейке." sqref="S154"/>
    <dataValidation allowBlank="1" showInputMessage="1" showErrorMessage="1" prompt="Для выбора выполните двойной щелчок левой клавиши мыши по соответствующей ячейке." sqref="F155"/>
    <dataValidation allowBlank="1" showInputMessage="1" showErrorMessage="1" prompt="Выберите виды деятельности, выполнив двойной щелчок левой кнопки мыши по ячейке." sqref="G15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5"/>
    <dataValidation allowBlank="1" showInputMessage="1" showErrorMessage="1" prompt="Для выбора выполните двойной щелчок левой клавиши мыши по соответствующей ячейке." sqref="F91"/>
    <dataValidation allowBlank="1" showInputMessage="1" showErrorMessage="1" prompt="Выберите виды деятельности, выполнив двойной щелчок левой кнопки мыши по ячейке." sqref="G91"/>
    <dataValidation type="textLength" operator="lessThanOrEqual" allowBlank="1" showInputMessage="1" showErrorMessage="1" errorTitle="Ошибка" error="Допускается ввод не более 900 символов!" sqref="J91">
      <formula1>900</formula1>
    </dataValidation>
    <dataValidation type="textLength" operator="lessThanOrEqual" allowBlank="1" showInputMessage="1" showErrorMessage="1" errorTitle="Ошибка" error="Допускается ввод не более 900 символов!" sqref="R91">
      <formula1>900</formula1>
    </dataValidation>
    <dataValidation type="textLength" operator="lessThanOrEqual" allowBlank="1" showInputMessage="1" showErrorMessage="1" errorTitle="Ошибка" error="Допускается ввод не более 900 символов!" sqref="V91">
      <formula1>900</formula1>
    </dataValidation>
    <dataValidation type="textLength" operator="lessThanOrEqual" allowBlank="1" showInputMessage="1" showErrorMessage="1" errorTitle="Ошибка" error="Допускается ввод не более 900 символов!" sqref="W91">
      <formula1>900</formula1>
    </dataValidation>
    <dataValidation allowBlank="1" showInputMessage="1" showErrorMessage="1" prompt="Для выбора выполните двойной щелчок левой клавиши мыши по соответствующей ячейке." sqref="F92"/>
    <dataValidation allowBlank="1" showInputMessage="1" showErrorMessage="1" prompt="Выберите виды деятельности, выполнив двойной щелчок левой кнопки мыши по ячейке." sqref="G92"/>
    <dataValidation type="textLength" operator="lessThanOrEqual" allowBlank="1" showInputMessage="1" showErrorMessage="1" errorTitle="Ошибка" error="Допускается ввод не более 900 символов!" sqref="J92">
      <formula1>900</formula1>
    </dataValidation>
    <dataValidation type="textLength" operator="lessThanOrEqual" allowBlank="1" showInputMessage="1" showErrorMessage="1" errorTitle="Ошибка" error="Допускается ввод не более 900 символов!" sqref="R92">
      <formula1>900</formula1>
    </dataValidation>
    <dataValidation type="textLength" operator="lessThanOrEqual" allowBlank="1" showInputMessage="1" showErrorMessage="1" errorTitle="Ошибка" error="Допускается ввод не более 900 символов!" sqref="V92">
      <formula1>900</formula1>
    </dataValidation>
    <dataValidation type="textLength" operator="lessThanOrEqual" allowBlank="1" showInputMessage="1" showErrorMessage="1" errorTitle="Ошибка" error="Допускается ввод не более 900 символов!" sqref="W92">
      <formula1>900</formula1>
    </dataValidation>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Выберите виды деятельности, выполнив двойной щелчок левой кнопки мыши по ячейке." sqref="G120"/>
    <dataValidation type="textLength" operator="lessThanOrEqual" allowBlank="1" showInputMessage="1" showErrorMessage="1" errorTitle="Ошибка" error="Допускается ввод не более 900 символов!" sqref="J120">
      <formula1>900</formula1>
    </dataValidation>
    <dataValidation type="textLength" operator="lessThanOrEqual" allowBlank="1" showInputMessage="1" showErrorMessage="1" errorTitle="Ошибка" error="Допускается ввод не более 900 символов!" sqref="R120">
      <formula1>900</formula1>
    </dataValidation>
    <dataValidation type="textLength" operator="lessThanOrEqual" allowBlank="1" showInputMessage="1" showErrorMessage="1" errorTitle="Ошибка" error="Допускается ввод не более 900 символов!" sqref="V120">
      <formula1>900</formula1>
    </dataValidation>
    <dataValidation type="textLength" operator="lessThanOrEqual" allowBlank="1" showInputMessage="1" showErrorMessage="1" errorTitle="Ошибка" error="Допускается ввод не более 900 символов!" sqref="W120">
      <formula1>900</formula1>
    </dataValidation>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Выберите виды деятельности, выполнив двойной щелчок левой кнопки мыши по ячейке." sqref="G124"/>
    <dataValidation type="textLength" operator="lessThanOrEqual" allowBlank="1" showInputMessage="1" showErrorMessage="1" errorTitle="Ошибка" error="Допускается ввод не более 900 символов!" sqref="J124">
      <formula1>900</formula1>
    </dataValidation>
    <dataValidation type="textLength" operator="lessThanOrEqual" allowBlank="1" showInputMessage="1" showErrorMessage="1" errorTitle="Ошибка" error="Допускается ввод не более 900 символов!" sqref="R124">
      <formula1>900</formula1>
    </dataValidation>
    <dataValidation type="textLength" operator="lessThanOrEqual" allowBlank="1" showInputMessage="1" showErrorMessage="1" errorTitle="Ошибка" error="Допускается ввод не более 900 символов!" sqref="V124">
      <formula1>900</formula1>
    </dataValidation>
    <dataValidation type="textLength" operator="lessThanOrEqual" allowBlank="1" showInputMessage="1" showErrorMessage="1" errorTitle="Ошибка" error="Допускается ввод не более 900 символов!" sqref="W124">
      <formula1>900</formula1>
    </dataValidation>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Выберите виды деятельности, выполнив двойной щелчок левой кнопки мыши по ячейке." sqref="G131"/>
    <dataValidation type="textLength" operator="lessThanOrEqual" allowBlank="1" showInputMessage="1" showErrorMessage="1" errorTitle="Ошибка" error="Допускается ввод не более 900 символов!" sqref="J131">
      <formula1>900</formula1>
    </dataValidation>
    <dataValidation type="textLength" operator="lessThanOrEqual" allowBlank="1" showInputMessage="1" showErrorMessage="1" errorTitle="Ошибка" error="Допускается ввод не более 900 символов!" sqref="R131">
      <formula1>900</formula1>
    </dataValidation>
    <dataValidation type="textLength" operator="lessThanOrEqual" allowBlank="1" showInputMessage="1" showErrorMessage="1" errorTitle="Ошибка" error="Допускается ввод не более 900 символов!" sqref="V131">
      <formula1>900</formula1>
    </dataValidation>
    <dataValidation type="textLength" operator="lessThanOrEqual" allowBlank="1" showInputMessage="1" showErrorMessage="1" errorTitle="Ошибка" error="Допускается ввод не более 900 символов!" sqref="W131">
      <formula1>900</formula1>
    </dataValidation>
    <dataValidation allowBlank="1" showInputMessage="1" showErrorMessage="1" prompt="Для выбора выполните двойной щелчок левой клавиши мыши по соответствующей ячейке." sqref="F141"/>
    <dataValidation allowBlank="1" showInputMessage="1" showErrorMessage="1" prompt="Выберите виды деятельности, выполнив двойной щелчок левой кнопки мыши по ячейке." sqref="G141"/>
    <dataValidation type="textLength" operator="lessThanOrEqual" allowBlank="1" showInputMessage="1" showErrorMessage="1" errorTitle="Ошибка" error="Допускается ввод не более 900 символов!" sqref="J141">
      <formula1>900</formula1>
    </dataValidation>
    <dataValidation type="textLength" operator="lessThanOrEqual" allowBlank="1" showInputMessage="1" showErrorMessage="1" errorTitle="Ошибка" error="Допускается ввод не более 900 символов!" sqref="R141">
      <formula1>900</formula1>
    </dataValidation>
    <dataValidation type="textLength" operator="lessThanOrEqual" allowBlank="1" showInputMessage="1" showErrorMessage="1" errorTitle="Ошибка" error="Допускается ввод не более 900 символов!" sqref="V141">
      <formula1>900</formula1>
    </dataValidation>
    <dataValidation type="textLength" operator="lessThanOrEqual" allowBlank="1" showInputMessage="1" showErrorMessage="1" errorTitle="Ошибка" error="Допускается ввод не более 900 символов!" sqref="W14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7118AA-929F-2138-4CBD-37AD20457C82}" mc:Ignorable="x14ac xr xr2 xr3">
  <dimension ref="A1:IV14"/>
  <sheetViews>
    <sheetView topLeftCell="A1" showGridLines="0" zoomScale="90" workbookViewId="0">
      <selection activeCell="A1" sqref="A1"/>
    </sheetView>
  </sheetViews>
  <sheetFormatPr defaultColWidth="9.140625" customHeight="1" defaultRowHeight="14.25"/>
  <cols>
    <col min="1" max="1" style="2984" width="9.140625" hidden="1"/>
    <col min="2" max="2" style="2683" width="9.140625" hidden="1"/>
    <col min="3" max="3" style="2984" width="3.7109375" hidden="1" customWidth="1"/>
    <col min="4" max="4" style="3194" width="3.8515625" customWidth="1"/>
    <col min="5" max="5" style="2984" width="6.28125" customWidth="1"/>
    <col min="6" max="6" style="2984" width="27.28125" customWidth="1"/>
    <col min="7" max="7" style="2984" width="16.7109375" customWidth="1"/>
    <col min="8" max="8" style="2984" width="12.7109375" customWidth="1"/>
    <col min="9" max="9" style="2984" width="32.140625" customWidth="1"/>
    <col min="10" max="11" style="2984" width="41.8515625" customWidth="1"/>
    <col min="12" max="12" style="2984" width="89.57421875" customWidth="1"/>
    <col min="13" max="13" style="2665" width="3.7109375" customWidth="1"/>
    <col min="14" max="16" style="2665" width="9.140625"/>
    <col min="17" max="17" style="2631" width="25.7109375" customWidth="1"/>
    <col min="18" max="18" style="2665" width="14.421875" customWidth="1"/>
    <col min="19" max="22" style="2632" width="9.140625"/>
    <col min="23" max="256" style="2984" width="9.140625"/>
  </cols>
  <sheetData>
    <row customHeight="1" ht="14.25" hidden="1"/>
    <row s="2666" customFormat="1" customHeight="1" ht="22.5" hidden="1">
      <c r="A2" s="837"/>
      <c r="B2" s="1168">
        <v>1</v>
      </c>
      <c r="C2" s="1168"/>
      <c r="D2" s="807"/>
      <c r="E2" s="1514"/>
      <c r="F2" s="1569" t="str">
        <f>IF(ROIV_INFO_NAME="","",ROIV_INFO_NAME)</f>
        <v>АО "Мурманэнергосбыт"</v>
      </c>
      <c r="G2" s="1772" t="s">
        <v>24</v>
      </c>
      <c r="H2" s="1568"/>
      <c r="I2" s="1568"/>
      <c r="J2" s="1172"/>
      <c r="K2" s="1172"/>
      <c r="L2" s="214"/>
      <c r="M2" s="1565">
        <f>MERGEVALUE(F2)</f>
      </c>
      <c r="N2" s="517"/>
      <c r="O2" s="517"/>
      <c r="P2" s="506" t="str">
        <f t="array" ref="P2:P2">IF(ISERROR(MATCH(MID(Q2,1,250),MID(note_ter,1,250),0)),"n","y")</f>
        <v>n</v>
      </c>
      <c r="Q2" s="517"/>
      <c r="R2" s="506" t="str">
        <f>G2&amp;"("&amp;L2&amp;")"</f>
        <v>()</v>
      </c>
      <c r="S2" s="1168"/>
      <c r="T2" s="1168"/>
      <c r="U2" s="426"/>
      <c r="V2" s="1168"/>
      <c r="W2" s="1168"/>
      <c r="X2" s="1168"/>
      <c r="Y2" s="428"/>
      <c r="Z2" s="428"/>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8"/>
      <c r="BW2" s="428"/>
      <c r="BX2" s="428"/>
      <c r="BY2" s="428"/>
      <c r="BZ2" s="428"/>
      <c r="CA2" s="428"/>
      <c r="CB2" s="428"/>
      <c r="CC2" s="428"/>
      <c r="CD2" s="428"/>
      <c r="CE2" s="428"/>
    </row>
    <row s="2612" customFormat="1" customHeight="1" ht="5.25" hidden="1">
      <c r="A3" s="502"/>
      <c r="D3" s="500"/>
      <c r="F3" s="233" t="s">
        <v>84</v>
      </c>
      <c r="G3" s="1775" t="s">
        <v>85</v>
      </c>
      <c r="H3" s="500"/>
      <c r="I3" s="500"/>
      <c r="J3" s="500"/>
      <c r="K3" s="500"/>
      <c r="L3" s="213" t="s">
        <v>86</v>
      </c>
      <c r="M3" s="233" t="s">
        <v>84</v>
      </c>
      <c r="N3" s="233"/>
      <c r="O3" s="233"/>
      <c r="P3" s="233"/>
      <c r="Q3" s="234"/>
      <c r="R3" s="233"/>
      <c r="S3" s="233"/>
      <c r="T3" s="233"/>
      <c r="U3" s="233"/>
      <c r="V3" s="23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c r="CP3" s="213"/>
      <c r="CQ3" s="213"/>
      <c r="CR3" s="213"/>
      <c r="CS3" s="213"/>
      <c r="CT3" s="213"/>
      <c r="CU3" s="213"/>
      <c r="CV3" s="213"/>
      <c r="CW3" s="213"/>
      <c r="CX3" s="213"/>
      <c r="CY3" s="213"/>
      <c r="CZ3" s="213"/>
      <c r="DA3" s="213"/>
      <c r="DB3" s="213"/>
      <c r="DC3" s="213"/>
      <c r="DD3" s="213"/>
      <c r="DE3" s="213"/>
      <c r="DF3" s="213"/>
      <c r="DG3" s="213"/>
      <c r="DH3" s="213"/>
      <c r="DI3" s="213"/>
      <c r="DJ3" s="213"/>
      <c r="DK3" s="213"/>
      <c r="DL3" s="213"/>
      <c r="DM3" s="213"/>
      <c r="DN3" s="213"/>
      <c r="DO3" s="213"/>
      <c r="DP3" s="213"/>
      <c r="DQ3" s="213"/>
      <c r="DR3" s="213"/>
      <c r="DS3" s="213"/>
      <c r="DT3" s="213"/>
      <c r="DU3" s="213"/>
      <c r="DV3" s="213"/>
      <c r="DW3" s="213"/>
      <c r="DX3" s="213"/>
      <c r="DY3" s="213"/>
      <c r="DZ3" s="213"/>
      <c r="EA3" s="213"/>
      <c r="EB3" s="213"/>
      <c r="EC3" s="213"/>
      <c r="ED3" s="213"/>
      <c r="EE3" s="213"/>
      <c r="EF3" s="213"/>
      <c r="EG3" s="213"/>
      <c r="EH3" s="213"/>
      <c r="EI3" s="213"/>
      <c r="EJ3" s="213"/>
      <c r="EK3" s="213"/>
      <c r="EL3" s="213"/>
      <c r="EM3" s="213"/>
      <c r="EN3" s="213"/>
      <c r="EO3" s="213"/>
      <c r="EP3" s="213"/>
      <c r="EQ3" s="213"/>
      <c r="ER3" s="213"/>
      <c r="ES3" s="213"/>
      <c r="ET3" s="213"/>
      <c r="EU3" s="213"/>
      <c r="EV3" s="213"/>
      <c r="EW3" s="213"/>
      <c r="EX3" s="213"/>
      <c r="EY3" s="213"/>
      <c r="EZ3" s="213"/>
      <c r="FA3" s="213"/>
      <c r="FB3" s="213"/>
      <c r="FC3" s="213"/>
      <c r="FD3" s="213"/>
      <c r="FE3" s="213"/>
      <c r="FF3" s="213"/>
      <c r="FG3" s="213"/>
      <c r="FH3" s="213"/>
      <c r="FI3" s="213"/>
      <c r="FJ3" s="213"/>
      <c r="FK3" s="213"/>
      <c r="FL3" s="213"/>
      <c r="FM3" s="213"/>
      <c r="FN3" s="213"/>
      <c r="FO3" s="213"/>
      <c r="FP3" s="213"/>
      <c r="FQ3" s="213"/>
      <c r="FR3" s="213"/>
      <c r="FS3" s="213"/>
      <c r="FT3" s="213"/>
      <c r="FU3" s="213"/>
      <c r="FV3" s="213"/>
      <c r="FW3" s="213"/>
      <c r="FX3" s="213"/>
      <c r="FY3" s="213"/>
      <c r="FZ3" s="213"/>
      <c r="GA3" s="213"/>
      <c r="GB3" s="213"/>
      <c r="GC3" s="213"/>
      <c r="GD3" s="213"/>
      <c r="GE3" s="213"/>
      <c r="GF3" s="213"/>
      <c r="GG3" s="213"/>
      <c r="GH3" s="213"/>
      <c r="GI3" s="213"/>
      <c r="GJ3" s="213"/>
      <c r="GK3" s="213"/>
      <c r="GL3" s="213"/>
      <c r="GM3" s="213"/>
      <c r="GN3" s="213"/>
      <c r="GO3" s="213"/>
      <c r="GP3" s="213"/>
      <c r="GQ3" s="213"/>
      <c r="GR3" s="213"/>
      <c r="GS3" s="213"/>
      <c r="GT3" s="213"/>
      <c r="GU3" s="213"/>
      <c r="GV3" s="213"/>
      <c r="GW3" s="213"/>
      <c r="GX3" s="213"/>
      <c r="GY3" s="213"/>
      <c r="GZ3" s="213"/>
      <c r="HA3" s="213"/>
      <c r="HB3" s="213"/>
      <c r="HC3" s="213"/>
      <c r="HD3" s="213"/>
      <c r="HE3" s="213"/>
      <c r="HF3" s="213"/>
      <c r="HG3" s="213"/>
      <c r="HH3" s="213"/>
      <c r="HI3" s="213"/>
      <c r="HJ3" s="213"/>
      <c r="HK3" s="213"/>
      <c r="HL3" s="213"/>
      <c r="HM3" s="213"/>
      <c r="HN3" s="213"/>
      <c r="HO3" s="213"/>
      <c r="HP3" s="213"/>
      <c r="HQ3" s="213"/>
      <c r="HR3" s="213"/>
      <c r="HS3" s="213"/>
      <c r="HT3" s="213"/>
      <c r="HU3" s="213"/>
      <c r="HV3" s="213"/>
      <c r="HW3" s="213"/>
      <c r="HX3" s="213"/>
      <c r="HY3" s="213"/>
      <c r="HZ3" s="213"/>
      <c r="IA3" s="213"/>
      <c r="IB3" s="213"/>
      <c r="IC3" s="213"/>
      <c r="ID3" s="213"/>
      <c r="IE3" s="213"/>
      <c r="IF3" s="213"/>
      <c r="IG3" s="213"/>
      <c r="IH3" s="213"/>
      <c r="II3" s="213"/>
      <c r="IJ3" s="213"/>
      <c r="IK3" s="213"/>
      <c r="IL3" s="213"/>
      <c r="IM3" s="213"/>
      <c r="IN3" s="213"/>
      <c r="IO3" s="213"/>
      <c r="IP3" s="213"/>
      <c r="IQ3" s="213"/>
      <c r="IR3" s="213"/>
      <c r="IS3" s="213"/>
      <c r="IT3" s="213"/>
      <c r="IU3" s="213"/>
      <c r="IV3" s="213"/>
    </row>
    <row s="2657" customFormat="1" customHeight="1" ht="14.25">
      <c r="A4" s="1163"/>
      <c r="B4" s="1168"/>
      <c r="C4" s="1163"/>
      <c r="D4" s="1525"/>
      <c r="E4" s="515"/>
      <c r="F4" s="515"/>
      <c r="G4" s="515"/>
      <c r="H4" s="515"/>
      <c r="I4" s="515"/>
      <c r="J4" s="515"/>
      <c r="K4" s="515"/>
      <c r="L4" s="152"/>
      <c r="M4" s="233"/>
      <c r="N4" s="506"/>
      <c r="O4" s="506"/>
      <c r="P4" s="506"/>
      <c r="Q4" s="212"/>
      <c r="R4" s="506"/>
      <c r="S4" s="211"/>
      <c r="T4" s="211"/>
      <c r="U4" s="211"/>
      <c r="V4" s="211"/>
    </row>
    <row s="2657" customFormat="1" customHeight="1" ht="25.5">
      <c r="A5" s="1163"/>
      <c r="B5" s="1168"/>
      <c r="C5" s="1163"/>
      <c r="D5" s="1525"/>
      <c r="E5" s="1954"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1954"/>
      <c r="G5" s="1954"/>
      <c r="H5" s="1954"/>
      <c r="I5" s="1954"/>
      <c r="J5" s="1954"/>
      <c r="K5" s="1954"/>
      <c r="L5" s="594"/>
      <c r="M5" s="233"/>
      <c r="N5" s="506"/>
      <c r="O5" s="506"/>
      <c r="P5" s="506"/>
      <c r="Q5" s="212"/>
      <c r="R5" s="506"/>
      <c r="S5" s="211"/>
      <c r="T5" s="211"/>
      <c r="U5" s="211"/>
      <c r="V5" s="211"/>
    </row>
    <row s="2657" customFormat="1" customHeight="1" ht="14.25">
      <c r="A6" s="1163"/>
      <c r="B6" s="1168"/>
      <c r="C6" s="1163"/>
      <c r="D6" s="1525"/>
      <c r="E6" s="515"/>
      <c r="F6" s="153"/>
      <c r="G6" s="153"/>
      <c r="H6" s="153"/>
      <c r="I6" s="153"/>
      <c r="J6" s="153"/>
      <c r="K6" s="153"/>
      <c r="L6" s="154"/>
      <c r="M6" s="506"/>
      <c r="N6" s="506"/>
      <c r="O6" s="506"/>
      <c r="P6" s="506"/>
      <c r="Q6" s="212"/>
      <c r="R6" s="506"/>
      <c r="S6" s="211"/>
      <c r="T6" s="211"/>
      <c r="U6" s="211"/>
      <c r="V6" s="211"/>
    </row>
    <row s="2657" customFormat="1" customHeight="1" ht="14.25">
      <c r="A7" s="1163"/>
      <c r="B7" s="1168"/>
      <c r="C7" s="1163"/>
      <c r="D7" s="1525"/>
      <c r="E7" s="1955" t="s">
        <v>513</v>
      </c>
      <c r="F7" s="1956"/>
      <c r="G7" s="1956"/>
      <c r="H7" s="1956"/>
      <c r="I7" s="1956"/>
      <c r="J7" s="1956"/>
      <c r="K7" s="1956"/>
      <c r="L7" s="2321" t="s">
        <v>514</v>
      </c>
      <c r="M7" s="506"/>
      <c r="N7" s="506"/>
      <c r="O7" s="506"/>
      <c r="P7" s="506"/>
      <c r="Q7" s="212"/>
      <c r="R7" s="506"/>
      <c r="S7" s="211"/>
      <c r="T7" s="211"/>
      <c r="U7" s="211"/>
      <c r="V7" s="211"/>
    </row>
    <row s="2657" customFormat="1" customHeight="1" ht="47.25">
      <c r="A8" s="1163"/>
      <c r="B8" s="1168"/>
      <c r="C8" s="1163"/>
      <c r="D8" s="1525"/>
      <c r="E8" s="2326" t="s">
        <v>89</v>
      </c>
      <c r="F8" s="2326" t="s">
        <v>1314</v>
      </c>
      <c r="G8" s="2328"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2329"/>
      <c r="I8" s="2330"/>
      <c r="J8" s="2326"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2326"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2325"/>
      <c r="M8" s="506"/>
      <c r="N8" s="506"/>
      <c r="O8" s="506"/>
      <c r="P8" s="506"/>
      <c r="Q8" s="212"/>
      <c r="R8" s="506"/>
      <c r="S8" s="211"/>
      <c r="T8" s="211"/>
      <c r="U8" s="211"/>
      <c r="V8" s="211"/>
    </row>
    <row s="2657" customFormat="1" customHeight="1" ht="56.25">
      <c r="A9" s="1163"/>
      <c r="B9" s="1168"/>
      <c r="C9" s="1163"/>
      <c r="D9" s="1525"/>
      <c r="E9" s="2327"/>
      <c r="F9" s="2327"/>
      <c r="G9" s="1567" t="s">
        <v>1336</v>
      </c>
      <c r="H9" s="1567" t="s">
        <v>1337</v>
      </c>
      <c r="I9" s="1567" t="s">
        <v>1338</v>
      </c>
      <c r="J9" s="2327"/>
      <c r="K9" s="2327"/>
      <c r="L9" s="2322"/>
      <c r="M9" s="506"/>
      <c r="N9" s="506"/>
      <c r="O9" s="506"/>
      <c r="P9" s="506"/>
      <c r="Q9" s="212"/>
      <c r="R9" s="506"/>
      <c r="S9" s="211"/>
      <c r="T9" s="211"/>
      <c r="U9" s="211"/>
      <c r="V9" s="211"/>
    </row>
    <row s="2666" customFormat="1" customHeight="1" ht="22.5">
      <c r="A10" s="1953"/>
      <c r="B10" s="1168">
        <v>1</v>
      </c>
      <c r="C10" s="1168"/>
      <c r="D10" s="806"/>
      <c r="E10" s="804">
        <v>1</v>
      </c>
      <c r="F10" s="1569" t="str">
        <f>IF(ROIV_INFO_NAME="","",ROIV_INFO_NAME)</f>
        <v>АО "Мурманэнергосбыт"</v>
      </c>
      <c r="G10" s="1772" t="s">
        <v>24</v>
      </c>
      <c r="H10" s="1564"/>
      <c r="I10" s="1564"/>
      <c r="J10" s="1172"/>
      <c r="K10" s="1172"/>
      <c r="L10" s="2323" t="s">
        <v>1339</v>
      </c>
      <c r="M10" s="1565">
        <f>MERGEVALUE(F10)</f>
      </c>
      <c r="N10" s="517"/>
      <c r="O10" s="517"/>
      <c r="P10" s="506" t="str">
        <f t="array" ref="P10:P10">IF(ISERROR(MATCH(MID(Q10,1,250),MID(note_ter,1,250),0)),"n","y")</f>
        <v>n</v>
      </c>
      <c r="Q10" s="517"/>
      <c r="R10" s="50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168"/>
      <c r="T10" s="1168"/>
      <c r="U10" s="426"/>
      <c r="V10" s="1168"/>
      <c r="W10" s="1168"/>
      <c r="X10" s="1168"/>
      <c r="Y10" s="428"/>
      <c r="Z10" s="428"/>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8"/>
      <c r="BW10" s="428"/>
      <c r="BX10" s="428"/>
      <c r="BY10" s="428"/>
      <c r="BZ10" s="428"/>
      <c r="CA10" s="428"/>
      <c r="CB10" s="428"/>
      <c r="CC10" s="428"/>
      <c r="CD10" s="428"/>
      <c r="CE10" s="428"/>
    </row>
    <row s="2666" customFormat="1" customHeight="1" ht="15">
      <c r="A11" s="1953"/>
      <c r="B11" s="1168"/>
      <c r="C11" s="418"/>
      <c r="D11" s="807"/>
      <c r="E11" s="427"/>
      <c r="F11" s="422" t="s">
        <v>1340</v>
      </c>
      <c r="G11" s="173"/>
      <c r="H11" s="173"/>
      <c r="I11" s="173"/>
      <c r="J11" s="173"/>
      <c r="K11" s="173"/>
      <c r="L11" s="2324"/>
      <c r="M11" s="1566"/>
      <c r="N11" s="517"/>
      <c r="O11" s="517"/>
      <c r="P11" s="517"/>
      <c r="Q11" s="506"/>
      <c r="R11" s="517"/>
      <c r="S11" s="1168"/>
      <c r="T11" s="1168"/>
      <c r="U11" s="426"/>
      <c r="V11" s="1168"/>
      <c r="W11" s="1168"/>
      <c r="X11" s="1168"/>
      <c r="Y11" s="428"/>
      <c r="Z11" s="428"/>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8"/>
      <c r="BW11" s="428"/>
      <c r="BX11" s="428"/>
      <c r="BY11" s="428"/>
      <c r="BZ11" s="428"/>
      <c r="CA11" s="428"/>
      <c r="CB11" s="428"/>
      <c r="CC11" s="428"/>
      <c r="CD11" s="428"/>
      <c r="CE11" s="428"/>
    </row>
    <row s="2657" customFormat="1" customHeight="1" ht="21">
      <c r="A12" s="1163"/>
      <c r="B12" s="1168"/>
      <c r="C12" s="1163"/>
      <c r="D12" s="457"/>
      <c r="E12" s="166"/>
      <c r="F12" s="166"/>
      <c r="G12" s="166"/>
      <c r="H12" s="166"/>
      <c r="I12" s="166"/>
      <c r="J12" s="166"/>
      <c r="K12" s="166"/>
      <c r="L12" s="166"/>
      <c r="M12" s="506"/>
      <c r="N12" s="506"/>
      <c r="O12" s="506"/>
      <c r="P12" s="506"/>
      <c r="Q12" s="212"/>
      <c r="R12" s="506"/>
      <c r="S12" s="211"/>
      <c r="T12" s="211"/>
      <c r="U12" s="211"/>
      <c r="V12" s="211"/>
    </row>
    <row s="2657" customFormat="1" customHeight="1" ht="14.25">
      <c r="A13" s="1163"/>
      <c r="B13" s="1168"/>
      <c r="C13" s="1163"/>
      <c r="D13" s="457"/>
      <c r="E13" s="1163"/>
      <c r="F13" s="1163"/>
      <c r="G13" s="1163"/>
      <c r="H13" s="1163"/>
      <c r="I13" s="1163"/>
      <c r="J13" s="1163"/>
      <c r="K13" s="1163"/>
      <c r="L13" s="1163"/>
      <c r="M13" s="506"/>
      <c r="N13" s="506"/>
      <c r="O13" s="506"/>
      <c r="P13" s="506"/>
      <c r="Q13" s="212"/>
      <c r="R13" s="506"/>
      <c r="S13" s="211"/>
      <c r="T13" s="211"/>
      <c r="U13" s="211"/>
      <c r="V13" s="211"/>
    </row>
    <row s="2657" customFormat="1" customHeight="1" ht="0.75">
      <c r="A14" s="1163"/>
      <c r="B14" s="1168"/>
      <c r="C14" s="1163"/>
      <c r="D14" s="457"/>
      <c r="E14" s="1163"/>
      <c r="F14" s="1163"/>
      <c r="G14" s="1163"/>
      <c r="H14" s="1163"/>
      <c r="I14" s="1163"/>
      <c r="J14" s="1163"/>
      <c r="K14" s="1163"/>
      <c r="L14" s="1163"/>
      <c r="M14" s="506"/>
      <c r="N14" s="506"/>
      <c r="O14" s="506"/>
      <c r="P14" s="506"/>
      <c r="Q14" s="212"/>
      <c r="R14" s="506"/>
      <c r="S14" s="211"/>
      <c r="T14" s="211"/>
      <c r="U14" s="211"/>
      <c r="V14" s="211"/>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53B695-41E7-5236-0684-D65A1FC68401}" mc:Ignorable="x14ac xr xr2 xr3">
  <dimension ref="A1:IY16"/>
  <sheetViews>
    <sheetView topLeftCell="A1" showGridLines="0" zoomScale="90" workbookViewId="0">
      <selection activeCell="A1" sqref="A1"/>
    </sheetView>
  </sheetViews>
  <sheetFormatPr defaultColWidth="9.140625" customHeight="1" defaultRowHeight="14.25"/>
  <cols>
    <col min="1" max="1" style="2984" width="9.140625" hidden="1"/>
    <col min="2" max="2" style="2683" width="9.140625" hidden="1"/>
    <col min="3" max="3" style="2984" width="3.7109375" hidden="1" customWidth="1"/>
    <col min="4" max="4" style="3194" width="3.8515625" customWidth="1"/>
    <col min="5" max="5" style="2984" width="10.140625" customWidth="1"/>
    <col min="6" max="6" style="2984" width="6.28125" customWidth="1"/>
    <col min="7" max="7" style="2984" width="27.28125" customWidth="1"/>
    <col min="8" max="8" style="2984" width="29.28125" customWidth="1"/>
    <col min="9" max="9" style="2984" width="25.421875" customWidth="1"/>
    <col min="10" max="10" style="2984" width="5.57421875" customWidth="1"/>
    <col min="11" max="11" style="2984" width="6.57421875" customWidth="1"/>
    <col min="12" max="12" style="2984" width="41.8515625" customWidth="1"/>
    <col min="13" max="13" style="2984" width="42.421875" customWidth="1"/>
    <col min="14" max="14" style="2984" width="41.57421875" customWidth="1"/>
    <col min="15" max="15" style="2984" width="64.140625" customWidth="1"/>
    <col min="16" max="16" style="2665" width="3.7109375" customWidth="1"/>
    <col min="17" max="19" style="2665" width="9.140625"/>
    <col min="20" max="20" style="2631" width="25.7109375" customWidth="1"/>
    <col min="21" max="21" style="2665" width="14.421875" customWidth="1"/>
    <col min="22" max="25" style="2632" width="9.140625"/>
    <col min="26" max="259" style="2984" width="9.140625"/>
  </cols>
  <sheetData>
    <row customHeight="1" ht="14.25" hidden="1"/>
    <row s="2666" customFormat="1" customHeight="1" ht="22.5" hidden="1">
      <c r="A2" s="502"/>
      <c r="B2" s="1168">
        <v>1</v>
      </c>
      <c r="C2" s="1168"/>
      <c r="D2" s="807"/>
      <c r="E2" s="1971"/>
      <c r="F2" s="1971">
        <v>1</v>
      </c>
      <c r="G2" s="2331" t="str">
        <f>IF(region_name="","",region_name)</f>
        <v>Мурманская область</v>
      </c>
      <c r="H2" s="2332"/>
      <c r="I2" s="2333"/>
      <c r="J2" s="480"/>
      <c r="K2" s="1514">
        <v>1</v>
      </c>
      <c r="L2" s="1172"/>
      <c r="M2" s="1172"/>
      <c r="N2" s="1172"/>
      <c r="O2" s="1172"/>
      <c r="P2" s="1565">
        <f>MERGEVALUE(G2)</f>
      </c>
      <c r="Q2" s="517"/>
      <c r="R2" s="517"/>
      <c r="S2" s="506" t="str">
        <f t="array" ref="S2:S2">IF(ISERROR(MATCH(MID(T2,1,250),MID(note_ter,1,250),0)),"n","y")</f>
        <v>n</v>
      </c>
      <c r="T2" s="517"/>
      <c r="U2" s="506"/>
      <c r="V2" s="1168"/>
      <c r="W2" s="1168"/>
      <c r="X2" s="426"/>
      <c r="Y2" s="1168"/>
      <c r="Z2" s="1168"/>
      <c r="AA2" s="1168"/>
      <c r="AB2" s="428"/>
      <c r="AC2" s="428"/>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5"/>
      <c r="BW2" s="425"/>
      <c r="BX2" s="425"/>
      <c r="BY2" s="428"/>
      <c r="BZ2" s="428"/>
      <c r="CA2" s="428"/>
      <c r="CB2" s="428"/>
      <c r="CC2" s="428"/>
      <c r="CD2" s="428"/>
      <c r="CE2" s="428"/>
      <c r="CF2" s="428"/>
      <c r="CG2" s="428"/>
      <c r="CH2" s="428"/>
    </row>
    <row s="2666" customFormat="1" customHeight="1" ht="22.5" hidden="1">
      <c r="A3" s="837"/>
      <c r="B3" s="1168"/>
      <c r="C3" s="1168"/>
      <c r="D3" s="807"/>
      <c r="E3" s="1971"/>
      <c r="F3" s="1971"/>
      <c r="G3" s="2331"/>
      <c r="H3" s="2332"/>
      <c r="I3" s="2334"/>
      <c r="J3" s="1574"/>
      <c r="K3" s="1530"/>
      <c r="L3" s="1530" t="s">
        <v>1341</v>
      </c>
      <c r="M3" s="1577"/>
      <c r="N3" s="1577"/>
      <c r="O3" s="1578"/>
      <c r="P3" s="1565"/>
      <c r="Q3" s="517"/>
      <c r="R3" s="517"/>
      <c r="S3" s="506"/>
      <c r="T3" s="517"/>
      <c r="U3" s="506"/>
      <c r="V3" s="1168"/>
      <c r="W3" s="1168"/>
      <c r="X3" s="426"/>
      <c r="Y3" s="1168"/>
      <c r="Z3" s="1168"/>
      <c r="AA3" s="1168"/>
      <c r="AB3" s="428"/>
      <c r="AC3" s="428"/>
      <c r="AD3" s="425"/>
      <c r="AE3" s="425"/>
      <c r="AF3" s="425"/>
      <c r="AG3" s="425"/>
      <c r="AH3" s="425"/>
      <c r="AI3" s="425"/>
      <c r="AJ3" s="425"/>
      <c r="AK3" s="425"/>
      <c r="AL3" s="425"/>
      <c r="AM3" s="425"/>
      <c r="AN3" s="42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8"/>
      <c r="BZ3" s="428"/>
      <c r="CA3" s="428"/>
      <c r="CB3" s="428"/>
      <c r="CC3" s="428"/>
      <c r="CD3" s="428"/>
      <c r="CE3" s="428"/>
      <c r="CF3" s="428"/>
      <c r="CG3" s="428"/>
      <c r="CH3" s="428"/>
    </row>
    <row s="2612" customFormat="1" customHeight="1" ht="5.25" hidden="1">
      <c r="A4" s="502"/>
      <c r="D4" s="500"/>
      <c r="G4" s="233" t="s">
        <v>84</v>
      </c>
      <c r="H4" s="500" t="s">
        <v>85</v>
      </c>
      <c r="I4" s="500"/>
      <c r="J4" s="1579"/>
      <c r="K4" s="1579"/>
      <c r="L4" s="1579"/>
      <c r="M4" s="1579"/>
      <c r="N4" s="1579"/>
      <c r="O4" s="1579"/>
      <c r="P4" s="233" t="s">
        <v>84</v>
      </c>
      <c r="Q4" s="233"/>
      <c r="R4" s="233"/>
      <c r="S4" s="233"/>
      <c r="T4" s="234"/>
      <c r="U4" s="233"/>
      <c r="V4" s="233"/>
      <c r="W4" s="233"/>
      <c r="X4" s="233"/>
      <c r="Y4" s="23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13"/>
      <c r="CL4" s="213"/>
      <c r="CM4" s="213"/>
      <c r="CN4" s="213"/>
      <c r="CO4" s="213"/>
      <c r="CP4" s="213"/>
      <c r="CQ4" s="213"/>
      <c r="CR4" s="213"/>
      <c r="CS4" s="213"/>
      <c r="CT4" s="213"/>
      <c r="CU4" s="213"/>
      <c r="CV4" s="213"/>
      <c r="CW4" s="213"/>
      <c r="CX4" s="213"/>
      <c r="CY4" s="213"/>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c r="EP4" s="213"/>
      <c r="EQ4" s="213"/>
      <c r="ER4" s="213"/>
      <c r="ES4" s="213"/>
      <c r="ET4" s="213"/>
      <c r="EU4" s="213"/>
      <c r="EV4" s="213"/>
      <c r="EW4" s="213"/>
      <c r="EX4" s="213"/>
      <c r="EY4" s="213"/>
      <c r="EZ4" s="213"/>
      <c r="FA4" s="213"/>
      <c r="FB4" s="213"/>
      <c r="FC4" s="213"/>
      <c r="FD4" s="213"/>
      <c r="FE4" s="213"/>
      <c r="FF4" s="213"/>
      <c r="FG4" s="213"/>
      <c r="FH4" s="213"/>
      <c r="FI4" s="213"/>
      <c r="FJ4" s="213"/>
      <c r="FK4" s="213"/>
      <c r="FL4" s="213"/>
      <c r="FM4" s="213"/>
      <c r="FN4" s="213"/>
      <c r="FO4" s="213"/>
      <c r="FP4" s="213"/>
      <c r="FQ4" s="213"/>
      <c r="FR4" s="213"/>
      <c r="FS4" s="213"/>
      <c r="FT4" s="213"/>
      <c r="FU4" s="213"/>
      <c r="FV4" s="213"/>
      <c r="FW4" s="213"/>
      <c r="FX4" s="213"/>
      <c r="FY4" s="213"/>
      <c r="FZ4" s="213"/>
      <c r="GA4" s="213"/>
      <c r="GB4" s="213"/>
      <c r="GC4" s="213"/>
      <c r="GD4" s="213"/>
      <c r="GE4" s="213"/>
      <c r="GF4" s="213"/>
      <c r="GG4" s="213"/>
      <c r="GH4" s="213"/>
      <c r="GI4" s="213"/>
      <c r="GJ4" s="213"/>
      <c r="GK4" s="213"/>
      <c r="GL4" s="213"/>
      <c r="GM4" s="213"/>
      <c r="GN4" s="213"/>
      <c r="GO4" s="213"/>
      <c r="GP4" s="213"/>
      <c r="GQ4" s="213"/>
      <c r="GR4" s="213"/>
      <c r="GS4" s="213"/>
      <c r="GT4" s="213"/>
      <c r="GU4" s="213"/>
      <c r="GV4" s="213"/>
      <c r="GW4" s="213"/>
      <c r="GX4" s="213"/>
      <c r="GY4" s="213"/>
      <c r="GZ4" s="213"/>
      <c r="HA4" s="213"/>
      <c r="HB4" s="213"/>
      <c r="HC4" s="213"/>
      <c r="HD4" s="213"/>
      <c r="HE4" s="213"/>
      <c r="HF4" s="213"/>
      <c r="HG4" s="213"/>
      <c r="HH4" s="213"/>
      <c r="HI4" s="213"/>
      <c r="HJ4" s="213"/>
      <c r="HK4" s="213"/>
      <c r="HL4" s="213"/>
      <c r="HM4" s="213"/>
      <c r="HN4" s="213"/>
      <c r="HO4" s="213"/>
      <c r="HP4" s="213"/>
      <c r="HQ4" s="213"/>
      <c r="HR4" s="213"/>
      <c r="HS4" s="213"/>
      <c r="HT4" s="213"/>
      <c r="HU4" s="213"/>
      <c r="HV4" s="213"/>
      <c r="HW4" s="213"/>
      <c r="HX4" s="213"/>
      <c r="HY4" s="213"/>
      <c r="HZ4" s="213"/>
      <c r="IA4" s="213"/>
      <c r="IB4" s="213"/>
      <c r="IC4" s="213"/>
      <c r="ID4" s="213"/>
      <c r="IE4" s="213"/>
      <c r="IF4" s="213"/>
      <c r="IG4" s="213"/>
      <c r="IH4" s="213"/>
      <c r="II4" s="213"/>
      <c r="IJ4" s="213"/>
      <c r="IK4" s="213"/>
      <c r="IL4" s="213"/>
      <c r="IM4" s="213"/>
      <c r="IN4" s="213"/>
      <c r="IO4" s="213"/>
      <c r="IP4" s="213"/>
      <c r="IQ4" s="213"/>
      <c r="IR4" s="213"/>
      <c r="IS4" s="213"/>
      <c r="IT4" s="213"/>
      <c r="IU4" s="213"/>
      <c r="IV4" s="213"/>
      <c r="IW4" s="213"/>
      <c r="IX4" s="213"/>
      <c r="IY4" s="213"/>
    </row>
    <row s="2657" customFormat="1" customHeight="1" ht="14.25">
      <c r="A5" s="1163"/>
      <c r="B5" s="1168"/>
      <c r="C5" s="1163"/>
      <c r="D5" s="1525"/>
      <c r="E5" s="515"/>
      <c r="F5" s="515"/>
      <c r="G5" s="515"/>
      <c r="H5" s="515"/>
      <c r="I5" s="515"/>
      <c r="J5" s="515"/>
      <c r="K5" s="515"/>
      <c r="L5" s="515"/>
      <c r="M5" s="515"/>
      <c r="N5" s="515"/>
      <c r="O5" s="515"/>
      <c r="P5" s="233"/>
      <c r="Q5" s="506"/>
      <c r="R5" s="506"/>
      <c r="S5" s="506"/>
      <c r="T5" s="212"/>
      <c r="U5" s="506"/>
      <c r="V5" s="211"/>
      <c r="W5" s="211"/>
      <c r="X5" s="211"/>
      <c r="Y5" s="211"/>
    </row>
    <row s="2657" customFormat="1" customHeight="1" ht="25.5">
      <c r="A6" s="1163"/>
      <c r="B6" s="1168"/>
      <c r="C6" s="1163"/>
      <c r="D6" s="1525"/>
      <c r="E6" s="1954" t="s">
        <v>1342</v>
      </c>
      <c r="F6" s="1954"/>
      <c r="G6" s="1954"/>
      <c r="H6" s="1954"/>
      <c r="I6" s="1954"/>
      <c r="J6" s="1954"/>
      <c r="K6" s="1954"/>
      <c r="L6" s="1954"/>
      <c r="M6" s="1954"/>
      <c r="N6" s="1954"/>
      <c r="O6" s="1954"/>
      <c r="P6" s="233"/>
      <c r="Q6" s="506"/>
      <c r="R6" s="506"/>
      <c r="S6" s="506"/>
      <c r="T6" s="212"/>
      <c r="U6" s="506"/>
      <c r="V6" s="211"/>
      <c r="W6" s="211"/>
      <c r="X6" s="211"/>
      <c r="Y6" s="211"/>
    </row>
    <row s="2657" customFormat="1" customHeight="1" ht="14.25">
      <c r="A7" s="1163"/>
      <c r="B7" s="1168"/>
      <c r="C7" s="1163"/>
      <c r="D7" s="1525"/>
      <c r="E7" s="515"/>
      <c r="F7" s="515"/>
      <c r="G7" s="153"/>
      <c r="H7" s="153"/>
      <c r="I7" s="153"/>
      <c r="J7" s="153"/>
      <c r="K7" s="153"/>
      <c r="L7" s="153"/>
      <c r="M7" s="153"/>
      <c r="N7" s="153"/>
      <c r="O7" s="153"/>
      <c r="P7" s="506"/>
      <c r="Q7" s="506"/>
      <c r="R7" s="506"/>
      <c r="S7" s="506"/>
      <c r="T7" s="212"/>
      <c r="U7" s="506"/>
      <c r="V7" s="211"/>
      <c r="W7" s="211"/>
      <c r="X7" s="211"/>
      <c r="Y7" s="211"/>
    </row>
    <row s="13104" customFormat="1" customHeight="1" ht="42.75">
      <c r="A8" s="1498"/>
      <c r="B8" s="1508"/>
      <c r="C8" s="1498"/>
      <c r="D8" s="1525"/>
      <c r="E8" s="1588" t="s">
        <v>514</v>
      </c>
      <c r="F8" s="1588"/>
      <c r="G8" s="1589" t="s">
        <v>518</v>
      </c>
      <c r="H8" s="1589" t="s">
        <v>1343</v>
      </c>
      <c r="I8" s="1589" t="s">
        <v>522</v>
      </c>
      <c r="J8" s="2338"/>
      <c r="K8" s="2339"/>
      <c r="L8" s="2340"/>
      <c r="M8" s="1589" t="s">
        <v>1344</v>
      </c>
      <c r="N8" s="1589" t="s">
        <v>1345</v>
      </c>
      <c r="O8" s="1589" t="s">
        <v>1346</v>
      </c>
      <c r="P8" s="1580"/>
      <c r="Q8" s="1580"/>
      <c r="R8" s="1580"/>
      <c r="S8" s="1580"/>
      <c r="T8" s="1581"/>
      <c r="U8" s="1580"/>
      <c r="V8" s="1582"/>
      <c r="W8" s="1582"/>
      <c r="X8" s="1582"/>
      <c r="Y8" s="1582"/>
    </row>
    <row s="2657" customFormat="1" customHeight="1" ht="47.25">
      <c r="A9" s="1163"/>
      <c r="B9" s="1168"/>
      <c r="C9" s="1163"/>
      <c r="D9" s="1525"/>
      <c r="E9" s="2090" t="s">
        <v>513</v>
      </c>
      <c r="F9" s="2327" t="s">
        <v>89</v>
      </c>
      <c r="G9" s="2327" t="s">
        <v>517</v>
      </c>
      <c r="H9" s="2327" t="s">
        <v>1347</v>
      </c>
      <c r="I9" s="2327"/>
      <c r="J9" s="2327" t="s">
        <v>1348</v>
      </c>
      <c r="K9" s="2327"/>
      <c r="L9" s="2327"/>
      <c r="M9" s="2327" t="s">
        <v>1349</v>
      </c>
      <c r="N9" s="2327" t="s">
        <v>1350</v>
      </c>
      <c r="O9" s="2327"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506"/>
      <c r="Q9" s="506"/>
      <c r="R9" s="506"/>
      <c r="S9" s="506"/>
      <c r="T9" s="212"/>
      <c r="U9" s="506"/>
      <c r="V9" s="211"/>
      <c r="W9" s="211"/>
      <c r="X9" s="211"/>
      <c r="Y9" s="211"/>
    </row>
    <row s="2657" customFormat="1" customHeight="1" ht="63.75">
      <c r="A10" s="1163"/>
      <c r="B10" s="1168"/>
      <c r="C10" s="1163"/>
      <c r="D10" s="1525"/>
      <c r="E10" s="1971"/>
      <c r="F10" s="2337"/>
      <c r="G10" s="2337"/>
      <c r="H10" s="158" t="s">
        <v>1351</v>
      </c>
      <c r="I10" s="158" t="s">
        <v>521</v>
      </c>
      <c r="J10" s="2326"/>
      <c r="K10" s="2326"/>
      <c r="L10" s="2337"/>
      <c r="M10" s="2337"/>
      <c r="N10" s="2337"/>
      <c r="O10" s="2337"/>
      <c r="P10" s="506"/>
      <c r="Q10" s="506"/>
      <c r="R10" s="506"/>
      <c r="S10" s="506"/>
      <c r="T10" s="212"/>
      <c r="U10" s="506"/>
      <c r="V10" s="211"/>
      <c r="W10" s="211"/>
      <c r="X10" s="211"/>
      <c r="Y10" s="211"/>
    </row>
    <row s="2666" customFormat="1" customHeight="1" ht="22.5">
      <c r="A11" s="1953">
        <v>26379339</v>
      </c>
      <c r="B11" s="1168">
        <v>1</v>
      </c>
      <c r="C11" s="1168"/>
      <c r="D11" s="807"/>
      <c r="E11" s="2090"/>
      <c r="F11" s="2090">
        <v>1</v>
      </c>
      <c r="G11" s="2335" t="str">
        <f>IF(region_name="","",region_name)</f>
        <v>Мурманская область</v>
      </c>
      <c r="H11" s="2336"/>
      <c r="I11" s="2341"/>
      <c r="J11" s="480"/>
      <c r="K11" s="1514">
        <v>1</v>
      </c>
      <c r="L11" s="1590"/>
      <c r="M11" s="1576"/>
      <c r="N11" s="1576"/>
      <c r="O11" s="1575"/>
      <c r="P11" s="1565">
        <f>MERGEVALUE(G11)</f>
      </c>
      <c r="Q11" s="517"/>
      <c r="R11" s="517"/>
      <c r="S11" s="506" t="str">
        <f t="array" ref="S11:S11">IF(ISERROR(MATCH(MID(T11,1,250),MID(note_ter,1,250),0)),"n","y")</f>
        <v>n</v>
      </c>
      <c r="T11" s="517"/>
      <c r="U11" s="506"/>
      <c r="V11" s="1168"/>
      <c r="W11" s="1168"/>
      <c r="X11" s="426"/>
      <c r="Y11" s="1168"/>
      <c r="Z11" s="1168"/>
      <c r="AA11" s="1168"/>
      <c r="AB11" s="428"/>
      <c r="AC11" s="428"/>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8"/>
      <c r="BZ11" s="428"/>
      <c r="CA11" s="428"/>
      <c r="CB11" s="428"/>
      <c r="CC11" s="428"/>
      <c r="CD11" s="428"/>
      <c r="CE11" s="428"/>
      <c r="CF11" s="428"/>
      <c r="CG11" s="428"/>
      <c r="CH11" s="428"/>
    </row>
    <row s="2666" customFormat="1" customHeight="1" ht="22.5">
      <c r="A12" s="1953"/>
      <c r="B12" s="1168"/>
      <c r="C12" s="1168"/>
      <c r="D12" s="807"/>
      <c r="E12" s="2090"/>
      <c r="F12" s="2090"/>
      <c r="G12" s="2335"/>
      <c r="H12" s="2336"/>
      <c r="I12" s="2342"/>
      <c r="J12" s="1574"/>
      <c r="K12" s="1530"/>
      <c r="L12" s="1530" t="s">
        <v>1341</v>
      </c>
      <c r="M12" s="1577"/>
      <c r="N12" s="1577"/>
      <c r="O12" s="1578"/>
      <c r="P12" s="1565"/>
      <c r="Q12" s="517"/>
      <c r="R12" s="517"/>
      <c r="S12" s="506"/>
      <c r="T12" s="517"/>
      <c r="U12" s="506"/>
      <c r="V12" s="1168"/>
      <c r="W12" s="1168"/>
      <c r="X12" s="426"/>
      <c r="Y12" s="1168"/>
      <c r="Z12" s="1168"/>
      <c r="AA12" s="1168"/>
      <c r="AB12" s="428"/>
      <c r="AC12" s="428"/>
      <c r="AD12" s="425"/>
      <c r="AE12" s="425"/>
      <c r="AF12" s="425"/>
      <c r="AG12" s="425"/>
      <c r="AH12" s="425"/>
      <c r="AI12" s="425"/>
      <c r="AJ12" s="425"/>
      <c r="AK12" s="425"/>
      <c r="AL12" s="425"/>
      <c r="AM12" s="425"/>
      <c r="AN12" s="425"/>
      <c r="AO12" s="425"/>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8"/>
      <c r="BZ12" s="428"/>
      <c r="CA12" s="428"/>
      <c r="CB12" s="428"/>
      <c r="CC12" s="428"/>
      <c r="CD12" s="428"/>
      <c r="CE12" s="428"/>
      <c r="CF12" s="428"/>
      <c r="CG12" s="428"/>
      <c r="CH12" s="428"/>
    </row>
    <row s="2666" customFormat="1" customHeight="1" ht="22.5">
      <c r="A13" s="1953"/>
      <c r="B13" s="1168"/>
      <c r="C13" s="418"/>
      <c r="D13" s="807"/>
      <c r="E13" s="1571"/>
      <c r="F13" s="1574"/>
      <c r="G13" s="1530" t="s">
        <v>1335</v>
      </c>
      <c r="H13" s="1572"/>
      <c r="I13" s="1572"/>
      <c r="J13" s="173"/>
      <c r="K13" s="173"/>
      <c r="L13" s="173"/>
      <c r="M13" s="173"/>
      <c r="N13" s="173"/>
      <c r="O13" s="1573"/>
      <c r="P13" s="1566"/>
      <c r="Q13" s="517"/>
      <c r="R13" s="517"/>
      <c r="S13" s="517"/>
      <c r="T13" s="506"/>
      <c r="U13" s="517"/>
      <c r="V13" s="1168"/>
      <c r="W13" s="1168"/>
      <c r="X13" s="426"/>
      <c r="Y13" s="1168"/>
      <c r="Z13" s="1168"/>
      <c r="AA13" s="1168"/>
      <c r="AB13" s="428"/>
      <c r="AC13" s="428"/>
      <c r="AD13" s="425"/>
      <c r="AE13" s="425"/>
      <c r="AF13" s="425"/>
      <c r="AG13" s="425"/>
      <c r="AH13" s="425"/>
      <c r="AI13" s="425"/>
      <c r="AJ13" s="425"/>
      <c r="AK13" s="425"/>
      <c r="AL13" s="425"/>
      <c r="AM13" s="425"/>
      <c r="AN13" s="425"/>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8"/>
      <c r="BZ13" s="428"/>
      <c r="CA13" s="428"/>
      <c r="CB13" s="428"/>
      <c r="CC13" s="428"/>
      <c r="CD13" s="428"/>
      <c r="CE13" s="428"/>
      <c r="CF13" s="428"/>
      <c r="CG13" s="428"/>
      <c r="CH13" s="428"/>
    </row>
    <row s="2657" customFormat="1" customHeight="1" ht="21">
      <c r="A14" s="1163"/>
      <c r="B14" s="1168"/>
      <c r="C14" s="1163"/>
      <c r="D14" s="457"/>
      <c r="E14" s="166"/>
      <c r="F14" s="166"/>
      <c r="G14" s="166"/>
      <c r="H14" s="166"/>
      <c r="I14" s="166"/>
      <c r="J14" s="166"/>
      <c r="K14" s="166"/>
      <c r="L14" s="166"/>
      <c r="M14" s="166"/>
      <c r="N14" s="515"/>
      <c r="O14" s="515"/>
      <c r="P14" s="506"/>
      <c r="Q14" s="506"/>
      <c r="R14" s="506"/>
      <c r="S14" s="506"/>
      <c r="T14" s="212"/>
      <c r="U14" s="506"/>
      <c r="V14" s="211"/>
      <c r="W14" s="211"/>
      <c r="X14" s="211"/>
      <c r="Y14" s="211"/>
    </row>
    <row s="2657" customFormat="1" customHeight="1" ht="14.25">
      <c r="A15" s="1163"/>
      <c r="B15" s="1168"/>
      <c r="C15" s="1163"/>
      <c r="D15" s="457"/>
      <c r="E15" s="1163"/>
      <c r="F15" s="1163"/>
      <c r="G15" s="1163"/>
      <c r="H15" s="1163"/>
      <c r="I15" s="1163"/>
      <c r="J15" s="1163"/>
      <c r="K15" s="1163"/>
      <c r="L15" s="1163"/>
      <c r="M15" s="1163"/>
      <c r="N15" s="1163"/>
      <c r="O15" s="1163"/>
      <c r="P15" s="506"/>
      <c r="Q15" s="506"/>
      <c r="R15" s="506"/>
      <c r="S15" s="506"/>
      <c r="T15" s="212"/>
      <c r="U15" s="506"/>
      <c r="V15" s="211"/>
      <c r="W15" s="211"/>
      <c r="X15" s="211"/>
      <c r="Y15" s="211"/>
    </row>
    <row s="2657" customFormat="1" customHeight="1" ht="0.75">
      <c r="A16" s="1163"/>
      <c r="B16" s="1168"/>
      <c r="C16" s="1163"/>
      <c r="D16" s="457"/>
      <c r="E16" s="1163"/>
      <c r="F16" s="1163"/>
      <c r="G16" s="1163"/>
      <c r="H16" s="1163"/>
      <c r="I16" s="1163"/>
      <c r="J16" s="1163"/>
      <c r="K16" s="1163"/>
      <c r="L16" s="1163"/>
      <c r="M16" s="1163"/>
      <c r="N16" s="1163"/>
      <c r="O16" s="1163"/>
      <c r="P16" s="506"/>
      <c r="Q16" s="506"/>
      <c r="R16" s="506"/>
      <c r="S16" s="506"/>
      <c r="T16" s="212"/>
      <c r="U16" s="506"/>
      <c r="V16" s="211"/>
      <c r="W16" s="211"/>
      <c r="X16" s="211"/>
      <c r="Y16" s="211"/>
    </row>
  </sheetData>
  <sheetProtection formatColumns="0" formatRows="0" autoFilter="0" sort="0" insertRows="0" insertColumns="1" deleteRows="0" deleteColumns="0"/>
  <mergeCells count="21">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 ref="E2:E3"/>
    <mergeCell ref="F2:F3"/>
    <mergeCell ref="G2:G3"/>
    <mergeCell ref="H2:H3"/>
    <mergeCell ref="I2:I3"/>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D97448-A73B-E92C-C86C-072AAB453C69}" mc:Ignorable="x14ac xr xr2 xr3">
  <sheetPr>
    <tabColor rgb="FFCCCCFF"/>
    <pageSetUpPr fitToPage="1"/>
  </sheetPr>
  <dimension ref="A1:L15"/>
  <sheetViews>
    <sheetView topLeftCell="A1" showGridLines="0" zoomScale="90" workbookViewId="0">
      <selection activeCell="C13" sqref="A13:L14"/>
    </sheetView>
  </sheetViews>
  <sheetFormatPr defaultColWidth="9.140625" customHeight="1" defaultRowHeight="14.25"/>
  <cols>
    <col min="1" max="2" style="13044" width="9.140625" hidden="1"/>
    <col min="3" max="3" style="13045" width="3.7109375" customWidth="1"/>
    <col min="4" max="4" style="13044" width="6.28125" customWidth="1"/>
    <col min="5" max="5" style="13044" width="94.8515625" customWidth="1"/>
    <col min="6" max="12" style="13044" width="9.140625"/>
  </cols>
  <sheetData>
    <row customHeight="1" ht="14.25" hidden="1">
      <c r="L1" s="250"/>
    </row>
    <row customHeight="1" ht="14.25" hidden="1"/>
    <row customHeight="1" ht="14.25" hidden="1"/>
    <row customHeight="1" ht="14.25" hidden="1"/>
    <row customHeight="1" ht="14.25" hidden="1"/>
    <row customHeight="1" ht="3">
      <c r="C6" s="77"/>
      <c r="D6" s="55"/>
      <c r="E6" s="55"/>
    </row>
    <row customHeight="1" ht="22.5">
      <c r="C7" s="77"/>
      <c r="D7" s="1954" t="s">
        <v>1352</v>
      </c>
      <c r="E7" s="1954"/>
      <c r="F7" s="253"/>
    </row>
    <row customHeight="1" ht="3">
      <c r="C8" s="77"/>
      <c r="D8" s="55"/>
      <c r="E8" s="55"/>
    </row>
    <row customHeight="1" ht="15.75">
      <c r="C9" s="77"/>
      <c r="D9" s="91" t="s">
        <v>89</v>
      </c>
      <c r="E9" s="94" t="s">
        <v>500</v>
      </c>
    </row>
    <row customHeight="1" ht="12">
      <c r="C10" s="77"/>
      <c r="D10" s="72" t="s">
        <v>193</v>
      </c>
      <c r="E10" s="72" t="s">
        <v>104</v>
      </c>
    </row>
    <row customHeight="1" ht="15" hidden="1">
      <c r="C11" s="77"/>
      <c r="D11" s="99">
        <v>0</v>
      </c>
      <c r="E11" s="135"/>
    </row>
    <row customHeight="1" ht="23.333333333333332">
      <c r="A12" s="13125"/>
      <c r="B12" s="13125"/>
      <c r="C12" s="1858" t="s">
        <v>105</v>
      </c>
      <c r="D12" s="99" t="s">
        <v>193</v>
      </c>
      <c r="E12" s="100" t="s">
        <v>1353</v>
      </c>
      <c r="F12" s="13125"/>
      <c r="G12" s="13125"/>
      <c r="H12" s="13125"/>
      <c r="I12" s="13125"/>
      <c r="J12" s="13125"/>
      <c r="K12" s="13125"/>
      <c r="L12" s="13125"/>
    </row>
    <row customHeight="1" ht="23.333333333333332">
      <c r="A13" s="13125"/>
      <c r="B13" s="13125"/>
      <c r="C13" s="1858" t="s">
        <v>105</v>
      </c>
      <c r="D13" s="99" t="s">
        <v>104</v>
      </c>
      <c r="E13" s="100" t="s">
        <v>1354</v>
      </c>
      <c r="F13" s="13125"/>
      <c r="G13" s="13125"/>
      <c r="H13" s="13125"/>
      <c r="I13" s="13125"/>
      <c r="J13" s="13125"/>
      <c r="K13" s="13125"/>
      <c r="L13" s="13125"/>
    </row>
    <row customHeight="1" ht="23.333333333333332">
      <c r="A14" s="13125"/>
      <c r="B14" s="13125"/>
      <c r="C14" s="1858" t="s">
        <v>105</v>
      </c>
      <c r="D14" s="99" t="s">
        <v>91</v>
      </c>
      <c r="E14" s="100" t="s">
        <v>1355</v>
      </c>
      <c r="F14" s="13125"/>
      <c r="G14" s="13125"/>
      <c r="H14" s="13125"/>
      <c r="I14" s="13125"/>
      <c r="J14" s="13125"/>
      <c r="K14" s="13125"/>
      <c r="L14" s="13125"/>
    </row>
    <row customHeight="1" ht="14.25">
      <c r="C15" s="77"/>
      <c r="D15" s="95"/>
      <c r="E15" s="93" t="s">
        <v>1312</v>
      </c>
    </row>
  </sheetData>
  <sheetProtection formatColumns="0" formatRows="0" autoFilter="0" sort="0" insertRows="0" insertColumns="1" deleteRows="0" deleteColumns="0"/>
  <mergeCells count="1">
    <mergeCell ref="D7:E7"/>
  </mergeCells>
  <dataValidations count="4">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E30199-6C42-86AB-B729-860D8D8358A6}" mc:Ignorable="x14ac xr xr2 xr3">
  <sheetPr>
    <tabColor rgb="FFCCCCFF"/>
  </sheetPr>
  <dimension ref="A1:E4"/>
  <sheetViews>
    <sheetView topLeftCell="A1" showGridLines="0" zoomScale="90" workbookViewId="0">
      <selection activeCell="A1" sqref="A1"/>
    </sheetView>
  </sheetViews>
  <sheetFormatPr defaultColWidth="9.140625" customHeight="1" defaultRowHeight="11.25"/>
  <cols>
    <col min="1" max="1" style="13132" width="1.7109375" customWidth="1"/>
    <col min="2" max="2" style="13132" width="34.57421875" customWidth="1"/>
    <col min="3" max="3" style="13132" width="85.57421875" customWidth="1"/>
    <col min="4" max="4" style="13132" width="17.7109375" customWidth="1"/>
    <col min="5" max="5" style="13132" width="9.140625"/>
  </cols>
  <sheetData>
    <row customHeight="1" ht="3"/>
    <row customHeight="1" ht="22.5">
      <c r="B2" s="2343" t="s">
        <v>1356</v>
      </c>
      <c r="C2" s="2343"/>
      <c r="D2" s="2343"/>
      <c r="E2" s="254"/>
    </row>
    <row customHeight="1" ht="3"/>
    <row customHeight="1" ht="21.75">
      <c r="B4" s="389" t="s">
        <v>1357</v>
      </c>
      <c r="C4" s="389" t="s">
        <v>1358</v>
      </c>
      <c r="D4" s="389" t="s">
        <v>1359</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BA3F84-8B37-44CD-AC44-291C8ABDD14C}" mc:Ignorable="x14ac xr xr2 xr3">
  <sheetPr>
    <tabColor rgb="FFFFCC99"/>
  </sheetPr>
  <dimension ref="A1:GB207"/>
  <sheetViews>
    <sheetView topLeftCell="A1" showGridLines="0" zoomScale="85" workbookViewId="0">
      <selection activeCell="A1" sqref="A1"/>
    </sheetView>
  </sheetViews>
  <sheetFormatPr customHeight="1" defaultRowHeight="17.1"/>
  <cols>
    <col min="1" max="1" style="13132" width="26.57421875" customWidth="1"/>
    <col min="2" max="2" style="13132" width="10.00390625" customWidth="1"/>
    <col min="3" max="3" style="13132" width="9.140625"/>
    <col min="4" max="4" style="13132" width="11.140625" customWidth="1"/>
    <col min="5" max="5" style="13132" width="16.57421875" customWidth="1"/>
    <col min="6" max="6" style="13132" width="16.28125" customWidth="1"/>
    <col min="7" max="7" style="13132" width="19.140625" customWidth="1"/>
    <col min="8" max="11" style="13132" width="10.00390625" customWidth="1"/>
    <col min="12" max="12" style="13132" width="12.7109375" customWidth="1"/>
    <col min="13" max="13" style="13132" width="61.28125" customWidth="1"/>
    <col min="14" max="14" style="13132" width="10.00390625" customWidth="1"/>
    <col min="15" max="17" style="13132" width="23.7109375" customWidth="1"/>
    <col min="18" max="18" style="13132" width="11.7109375" customWidth="1"/>
    <col min="19" max="19" style="13132" width="8.57421875" customWidth="1"/>
    <col min="20" max="20" style="13132" width="11.7109375" customWidth="1"/>
    <col min="21" max="21" style="13132" width="8.57421875" customWidth="1"/>
    <col min="22" max="22" style="13132" width="4.7109375" customWidth="1"/>
    <col min="23" max="23" style="13132" width="115.7109375" customWidth="1"/>
    <col min="24" max="24" style="13132" width="115.28125" customWidth="1"/>
    <col min="25" max="27" style="13132" width="9.140625"/>
    <col min="28" max="28" style="13132" width="115.7109375" customWidth="1"/>
    <col min="29" max="29" style="13132" width="9.140625"/>
    <col min="30" max="90" style="13132" width="115.7109375" customWidth="1"/>
    <col min="91" max="184" style="13132" width="9.140625"/>
  </cols>
  <sheetData>
    <row r="2" s="13133" customFormat="1" customHeight="1" ht="17.25">
      <c r="A2" s="1856" t="s">
        <v>1360</v>
      </c>
    </row>
    <row r="4" s="13044" customFormat="1" customHeight="1" ht="15">
      <c r="C4" s="1857"/>
      <c r="D4" s="99"/>
      <c r="E4" s="380"/>
    </row>
    <row r="6" s="13133" customFormat="1" customHeight="1" ht="17.25">
      <c r="A6" s="1856" t="s">
        <v>1361</v>
      </c>
    </row>
    <row r="8" s="13044" customFormat="1" customHeight="1" ht="17.25">
      <c r="C8" s="1858"/>
      <c r="D8" s="99"/>
      <c r="E8" s="100"/>
    </row>
    <row r="11" s="13133" customFormat="1" customHeight="1" ht="17.25">
      <c r="A11" s="1856" t="s">
        <v>1362</v>
      </c>
    </row>
    <row r="13" s="13135" customFormat="1" customHeight="1" ht="15">
      <c r="A13" s="2082">
        <v>1</v>
      </c>
      <c r="B13" s="1168"/>
      <c r="C13" s="807" t="s">
        <v>105</v>
      </c>
      <c r="D13" s="1859"/>
      <c r="E13" s="1846">
        <f>A13</f>
        <v>1</v>
      </c>
      <c r="F13" s="810"/>
      <c r="G13" s="546" t="str">
        <f>"Территория "&amp;E13</f>
        <v>Территория 1</v>
      </c>
      <c r="H13" s="798"/>
      <c r="I13" s="798"/>
      <c r="J13" s="795"/>
      <c r="K13" s="1664"/>
      <c r="L13" s="1664"/>
      <c r="M13" s="1664"/>
      <c r="N13" s="212"/>
      <c r="O13" s="1664"/>
      <c r="P13" s="211"/>
      <c r="Q13" s="211"/>
      <c r="R13" s="211"/>
      <c r="S13" s="211"/>
    </row>
    <row s="2666" customFormat="1" customHeight="1" ht="15">
      <c r="A14" s="2082"/>
      <c r="B14" s="1168">
        <v>1</v>
      </c>
      <c r="C14" s="1168"/>
      <c r="D14" s="806"/>
      <c r="E14" s="1854" t="str">
        <f>A13&amp;"."&amp;B14</f>
        <v>1.1</v>
      </c>
      <c r="F14" s="809">
        <f>$F$20</f>
        <v>0</v>
      </c>
      <c r="G14" s="799"/>
      <c r="H14" s="799"/>
      <c r="I14" s="797"/>
      <c r="J14" s="1664"/>
      <c r="K14" s="1676"/>
      <c r="L14" s="1676"/>
      <c r="M14" s="1664" t="str">
        <f t="array" ref="M14:M14">IF(ISERROR(MATCH(MID(N14,1,250),MID(note_ter,1,250),0)),"n","y")</f>
        <v>n</v>
      </c>
      <c r="N14" s="1676"/>
      <c r="O14" s="1664" t="str">
        <f>H14&amp;"("&amp;I14&amp;")"</f>
        <v>()</v>
      </c>
      <c r="P14" s="1168"/>
      <c r="Q14" s="1168"/>
      <c r="R14" s="426"/>
      <c r="S14" s="1168"/>
      <c r="T14" s="1168"/>
      <c r="U14" s="1168"/>
      <c r="V14" s="428"/>
      <c r="W14" s="428"/>
      <c r="X14" s="425"/>
      <c r="Y14" s="425"/>
      <c r="Z14" s="425"/>
      <c r="AA14" s="425"/>
      <c r="AB14" s="425"/>
      <c r="AC14" s="425"/>
      <c r="AD14" s="425"/>
      <c r="AE14" s="425"/>
      <c r="AF14" s="425"/>
      <c r="AG14" s="425"/>
      <c r="AH14" s="425"/>
      <c r="AI14" s="425"/>
      <c r="AJ14" s="425"/>
      <c r="AK14" s="425"/>
      <c r="AL14" s="425"/>
      <c r="AM14" s="425"/>
      <c r="AN14" s="425"/>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8"/>
      <c r="BT14" s="428"/>
      <c r="BU14" s="428"/>
      <c r="BV14" s="428"/>
      <c r="BW14" s="428"/>
      <c r="BX14" s="428"/>
      <c r="BY14" s="428"/>
      <c r="BZ14" s="428"/>
      <c r="CA14" s="428"/>
      <c r="CB14" s="428"/>
    </row>
    <row s="2666" customFormat="1" customHeight="1" ht="15">
      <c r="A15" s="2082"/>
      <c r="B15" s="1168"/>
      <c r="C15" s="418"/>
      <c r="D15" s="807"/>
      <c r="E15" s="427"/>
      <c r="F15" s="163"/>
      <c r="G15" s="421" t="s">
        <v>103</v>
      </c>
      <c r="H15" s="173"/>
      <c r="I15" s="430"/>
      <c r="J15" s="1676"/>
      <c r="K15" s="1676"/>
      <c r="L15" s="1676"/>
      <c r="M15" s="1676"/>
      <c r="N15" s="1664"/>
      <c r="O15" s="1676"/>
      <c r="P15" s="1168"/>
      <c r="Q15" s="1168"/>
      <c r="R15" s="426"/>
      <c r="S15" s="1168"/>
      <c r="T15" s="1168"/>
      <c r="U15" s="1168"/>
      <c r="V15" s="428"/>
      <c r="W15" s="428"/>
      <c r="X15" s="425"/>
      <c r="Y15" s="425"/>
      <c r="Z15" s="425"/>
      <c r="AA15" s="425"/>
      <c r="AB15" s="425"/>
      <c r="AC15" s="425"/>
      <c r="AD15" s="425"/>
      <c r="AE15" s="425"/>
      <c r="AF15" s="425"/>
      <c r="AG15" s="425"/>
      <c r="AH15" s="425"/>
      <c r="AI15" s="425"/>
      <c r="AJ15" s="425"/>
      <c r="AK15" s="425"/>
      <c r="AL15" s="425"/>
      <c r="AM15" s="425"/>
      <c r="AN15" s="425"/>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8"/>
      <c r="BT15" s="428"/>
      <c r="BU15" s="428"/>
      <c r="BV15" s="428"/>
      <c r="BW15" s="428"/>
      <c r="BX15" s="428"/>
      <c r="BY15" s="428"/>
      <c r="BZ15" s="428"/>
      <c r="CA15" s="428"/>
      <c r="CB15" s="428"/>
    </row>
    <row r="17" s="13133" customFormat="1" customHeight="1" ht="17.25">
      <c r="A17" s="1856" t="s">
        <v>1363</v>
      </c>
    </row>
    <row r="19" s="12467" customFormat="1" customHeight="1" ht="15">
      <c r="A19" s="1925"/>
      <c r="B19" s="1396">
        <v>1</v>
      </c>
      <c r="C19" s="1396"/>
      <c r="D19" s="806" t="s">
        <v>105</v>
      </c>
      <c r="E19" s="1921"/>
      <c r="F19" s="1926">
        <f>$F$20</f>
        <v>0</v>
      </c>
      <c r="G19" s="1930"/>
      <c r="H19" s="1930"/>
      <c r="I19" s="1928"/>
      <c r="J19" s="1664"/>
      <c r="K19" s="1676"/>
      <c r="L19" s="1676"/>
      <c r="M19" s="1664" t="str">
        <f t="array" ref="M19:M19">IF(ISERROR(MATCH(MID(N19,1,250),MID(note_ter,1,250),0)),"n","y")</f>
        <v>n</v>
      </c>
      <c r="N19" s="1676"/>
      <c r="O19" s="1664" t="str">
        <f>H19&amp;"("&amp;I19&amp;")"</f>
        <v>()</v>
      </c>
      <c r="P19" s="1396"/>
      <c r="Q19" s="1396"/>
      <c r="R19" s="426"/>
      <c r="S19" s="1396"/>
      <c r="T19" s="1396"/>
      <c r="U19" s="1396"/>
      <c r="V19" s="839"/>
      <c r="W19" s="839"/>
      <c r="X19" s="633"/>
      <c r="Y19" s="633"/>
      <c r="Z19" s="633"/>
      <c r="AA19" s="633"/>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c r="BA19" s="633"/>
      <c r="BB19" s="633"/>
      <c r="BC19" s="633"/>
      <c r="BD19" s="633"/>
      <c r="BE19" s="633"/>
      <c r="BF19" s="633"/>
      <c r="BG19" s="633"/>
      <c r="BH19" s="633"/>
      <c r="BI19" s="633"/>
      <c r="BJ19" s="633"/>
      <c r="BK19" s="633"/>
      <c r="BL19" s="633"/>
      <c r="BM19" s="633"/>
      <c r="BN19" s="633"/>
      <c r="BO19" s="633"/>
      <c r="BP19" s="633"/>
      <c r="BQ19" s="633"/>
      <c r="BR19" s="633"/>
      <c r="BS19" s="839"/>
      <c r="BT19" s="839"/>
      <c r="BU19" s="839"/>
      <c r="BV19" s="839"/>
      <c r="BW19" s="839"/>
      <c r="BX19" s="839"/>
      <c r="BY19" s="839"/>
      <c r="BZ19" s="839"/>
      <c r="CA19" s="839"/>
      <c r="CB19" s="839"/>
    </row>
    <row r="21" s="2666" customFormat="1" customHeight="1" ht="15">
      <c r="A21" s="1856" t="s">
        <v>1364</v>
      </c>
      <c r="B21" s="1856"/>
      <c r="C21" s="1856"/>
      <c r="D21" s="1856"/>
      <c r="E21" s="1856"/>
      <c r="F21" s="1856"/>
      <c r="G21" s="1856"/>
      <c r="H21" s="1856"/>
      <c r="I21" s="1856"/>
      <c r="J21" s="1856"/>
      <c r="K21" s="1856"/>
      <c r="L21" s="1856"/>
      <c r="M21" s="1856"/>
      <c r="N21" s="1856"/>
      <c r="O21" s="1856"/>
      <c r="P21" s="1856"/>
      <c r="Q21" s="1856"/>
      <c r="R21" s="1856"/>
      <c r="S21" s="1856"/>
      <c r="T21" s="1856"/>
      <c r="U21" s="170"/>
      <c r="V21" s="1856"/>
      <c r="W21" s="1856"/>
    </row>
    <row s="2666" customFormat="1" customHeight="1" ht="15">
      <c r="U22" s="171"/>
    </row>
    <row s="13142" customFormat="1" customHeight="1" ht="15">
      <c r="A23" s="429"/>
      <c r="B23" s="429"/>
      <c r="C23" s="1768" t="s">
        <v>105</v>
      </c>
      <c r="D23" s="1982" t="s">
        <v>193</v>
      </c>
      <c r="E23" s="1983"/>
      <c r="F23" s="1981" t="s">
        <v>58</v>
      </c>
      <c r="G23" s="2394"/>
      <c r="H23" s="1971">
        <v>1</v>
      </c>
      <c r="I23" s="2396" t="str">
        <f>IF(U23="","",INDEX(TERRITORY_MR_LIST,MATCH(U23,TERRITORY_LIST_ID,0)))</f>
        <v/>
      </c>
      <c r="J23" s="1981" t="s">
        <v>58</v>
      </c>
      <c r="K23" s="838"/>
      <c r="L23" s="1823" t="s">
        <v>193</v>
      </c>
      <c r="M23" s="609"/>
      <c r="N23" s="610"/>
      <c r="O23" s="610"/>
      <c r="P23" s="610"/>
      <c r="Q23" s="610"/>
      <c r="R23" s="610"/>
      <c r="S23" s="610"/>
      <c r="T23" s="610"/>
      <c r="U23" s="611"/>
      <c r="V23" s="610"/>
      <c r="W23" s="610"/>
      <c r="X23" s="601"/>
      <c r="Y23" s="601" t="s">
        <v>199</v>
      </c>
      <c r="Z23" s="601">
        <v>1705000</v>
      </c>
      <c r="AA23" s="601"/>
      <c r="AB23" s="601"/>
      <c r="AC23" s="601"/>
      <c r="AD23" s="601"/>
      <c r="AE23" s="601"/>
      <c r="AF23" s="601"/>
      <c r="AG23" s="601"/>
      <c r="AH23" s="601"/>
      <c r="AI23" s="601"/>
      <c r="AJ23" s="601"/>
      <c r="AK23" s="601"/>
      <c r="AL23" s="601"/>
    </row>
    <row s="13142" customFormat="1" customHeight="1" ht="15">
      <c r="A24" s="429"/>
      <c r="B24" s="429"/>
      <c r="C24" s="162"/>
      <c r="D24" s="1982"/>
      <c r="E24" s="1984"/>
      <c r="F24" s="1981"/>
      <c r="G24" s="2395"/>
      <c r="H24" s="1971"/>
      <c r="I24" s="2397"/>
      <c r="J24" s="1981"/>
      <c r="K24" s="427"/>
      <c r="L24" s="163"/>
      <c r="M24" s="613" t="s">
        <v>200</v>
      </c>
      <c r="N24" s="610"/>
      <c r="O24" s="610"/>
      <c r="P24" s="610"/>
      <c r="Q24" s="610"/>
      <c r="R24" s="610"/>
      <c r="S24" s="610"/>
      <c r="T24" s="610"/>
      <c r="U24" s="611"/>
      <c r="V24" s="610"/>
      <c r="W24" s="610"/>
      <c r="X24" s="601"/>
      <c r="Y24" s="601"/>
      <c r="Z24" s="601"/>
      <c r="AA24" s="601"/>
      <c r="AB24" s="601"/>
      <c r="AC24" s="601"/>
      <c r="AD24" s="601"/>
      <c r="AE24" s="601"/>
      <c r="AF24" s="601"/>
      <c r="AG24" s="601"/>
      <c r="AH24" s="601"/>
      <c r="AI24" s="601"/>
      <c r="AJ24" s="601"/>
      <c r="AK24" s="601"/>
      <c r="AL24" s="601"/>
    </row>
    <row s="13142" customFormat="1" customHeight="1" ht="15">
      <c r="A25" s="429"/>
      <c r="B25" s="429"/>
      <c r="C25" s="162"/>
      <c r="D25" s="1982"/>
      <c r="E25" s="1985"/>
      <c r="F25" s="1981"/>
      <c r="G25" s="427"/>
      <c r="H25" s="163"/>
      <c r="I25" s="586" t="s">
        <v>201</v>
      </c>
      <c r="J25" s="163"/>
      <c r="K25" s="163"/>
      <c r="L25" s="163"/>
      <c r="M25" s="614"/>
      <c r="N25" s="610"/>
      <c r="O25" s="610"/>
      <c r="P25" s="610"/>
      <c r="Q25" s="610"/>
      <c r="R25" s="610"/>
      <c r="S25" s="610"/>
      <c r="T25" s="610"/>
      <c r="U25" s="611"/>
      <c r="V25" s="610"/>
      <c r="W25" s="610"/>
      <c r="X25" s="601"/>
      <c r="Y25" s="601"/>
      <c r="Z25" s="601"/>
      <c r="AA25" s="601"/>
      <c r="AB25" s="601"/>
      <c r="AC25" s="601"/>
      <c r="AD25" s="601"/>
      <c r="AE25" s="601"/>
      <c r="AF25" s="601"/>
      <c r="AG25" s="601"/>
      <c r="AH25" s="601"/>
      <c r="AI25" s="601"/>
      <c r="AJ25" s="601"/>
      <c r="AK25" s="601"/>
      <c r="AL25" s="601"/>
    </row>
    <row s="2666" customFormat="1" customHeight="1" ht="15">
      <c r="U26" s="171"/>
    </row>
    <row s="2666" customFormat="1" customHeight="1" ht="15">
      <c r="A27" s="1856" t="s">
        <v>1365</v>
      </c>
      <c r="B27" s="1856"/>
      <c r="C27" s="1856"/>
      <c r="D27" s="1856"/>
      <c r="E27" s="1856"/>
      <c r="F27" s="1856"/>
      <c r="G27" s="1856"/>
      <c r="H27" s="1856"/>
      <c r="I27" s="1856"/>
      <c r="J27" s="1856"/>
      <c r="K27" s="1856"/>
      <c r="L27" s="1856"/>
      <c r="M27" s="1856"/>
      <c r="N27" s="1856"/>
      <c r="O27" s="1856"/>
      <c r="P27" s="1856"/>
      <c r="Q27" s="1856"/>
      <c r="R27" s="1856"/>
      <c r="S27" s="1856"/>
      <c r="T27" s="1856"/>
      <c r="U27" s="170"/>
      <c r="V27" s="1856"/>
      <c r="W27" s="1856"/>
    </row>
    <row s="2666" customFormat="1" customHeight="1" ht="15">
      <c r="U28" s="171"/>
    </row>
    <row s="13142" customFormat="1" customHeight="1" ht="15">
      <c r="A29" s="429"/>
      <c r="B29" s="429"/>
      <c r="C29" s="162"/>
      <c r="D29" s="1862"/>
      <c r="E29" s="1862"/>
      <c r="F29" s="1862"/>
      <c r="G29" s="2398" t="s">
        <v>105</v>
      </c>
      <c r="H29" s="1957">
        <v>1</v>
      </c>
      <c r="I29" s="2399" t="str">
        <f>IF(U29="","",INDEX(TERRITORY_MR_LIST,MATCH(U29,TERRITORY_LIST_ID,0)))</f>
        <v/>
      </c>
      <c r="J29" s="1981" t="s">
        <v>58</v>
      </c>
      <c r="K29" s="838"/>
      <c r="L29" s="1823" t="s">
        <v>193</v>
      </c>
      <c r="M29" s="609"/>
      <c r="N29" s="610"/>
      <c r="O29" s="610"/>
      <c r="P29" s="610"/>
      <c r="Q29" s="610"/>
      <c r="R29" s="610"/>
      <c r="S29" s="610"/>
      <c r="T29" s="610"/>
      <c r="U29" s="611"/>
      <c r="V29" s="610"/>
      <c r="W29" s="610"/>
      <c r="X29" s="601"/>
      <c r="Y29" s="601" t="s">
        <v>199</v>
      </c>
      <c r="Z29" s="601">
        <v>1705000</v>
      </c>
      <c r="AA29" s="601"/>
      <c r="AB29" s="601"/>
      <c r="AC29" s="601"/>
      <c r="AD29" s="601"/>
      <c r="AE29" s="601"/>
      <c r="AF29" s="601"/>
      <c r="AG29" s="601"/>
      <c r="AH29" s="601"/>
      <c r="AI29" s="601"/>
      <c r="AJ29" s="601"/>
      <c r="AK29" s="601"/>
      <c r="AL29" s="601"/>
    </row>
    <row s="13142" customFormat="1" customHeight="1" ht="15">
      <c r="A30" s="429"/>
      <c r="B30" s="429"/>
      <c r="C30" s="162"/>
      <c r="D30" s="1862"/>
      <c r="E30" s="1862"/>
      <c r="F30" s="1862"/>
      <c r="G30" s="2398"/>
      <c r="H30" s="1957"/>
      <c r="I30" s="2399"/>
      <c r="J30" s="1981"/>
      <c r="K30" s="427"/>
      <c r="L30" s="163"/>
      <c r="M30" s="613" t="s">
        <v>200</v>
      </c>
      <c r="N30" s="610"/>
      <c r="O30" s="610"/>
      <c r="P30" s="610"/>
      <c r="Q30" s="610"/>
      <c r="R30" s="610"/>
      <c r="S30" s="610"/>
      <c r="T30" s="610"/>
      <c r="U30" s="611"/>
      <c r="V30" s="610"/>
      <c r="W30" s="610"/>
      <c r="X30" s="601"/>
      <c r="Y30" s="601"/>
      <c r="Z30" s="601"/>
      <c r="AA30" s="601"/>
      <c r="AB30" s="601"/>
      <c r="AC30" s="601"/>
      <c r="AD30" s="601"/>
      <c r="AE30" s="601"/>
      <c r="AF30" s="601"/>
      <c r="AG30" s="601"/>
      <c r="AH30" s="601"/>
      <c r="AI30" s="601"/>
      <c r="AJ30" s="601"/>
      <c r="AK30" s="601"/>
      <c r="AL30" s="601"/>
    </row>
    <row s="2666" customFormat="1" customHeight="1" ht="15">
      <c r="U31" s="171"/>
    </row>
    <row s="2666" customFormat="1" customHeight="1" ht="15">
      <c r="A32" s="1856" t="s">
        <v>1366</v>
      </c>
      <c r="B32" s="1856"/>
      <c r="C32" s="1856"/>
      <c r="D32" s="1856"/>
      <c r="E32" s="1856"/>
      <c r="F32" s="1856"/>
      <c r="G32" s="1856"/>
      <c r="H32" s="1856"/>
      <c r="I32" s="1856"/>
      <c r="J32" s="1856"/>
      <c r="K32" s="1856"/>
      <c r="L32" s="1856"/>
      <c r="M32" s="1856"/>
      <c r="N32" s="1856"/>
      <c r="O32" s="1856"/>
      <c r="P32" s="1856"/>
      <c r="Q32" s="1856"/>
      <c r="R32" s="1856"/>
      <c r="S32" s="1856"/>
      <c r="T32" s="1856"/>
      <c r="U32" s="170"/>
      <c r="V32" s="1856"/>
      <c r="W32" s="1856"/>
    </row>
    <row s="2666" customFormat="1" customHeight="1" ht="15">
      <c r="U33" s="171"/>
    </row>
    <row s="13142" customFormat="1" customHeight="1" ht="15">
      <c r="A34" s="429"/>
      <c r="B34" s="429"/>
      <c r="C34" s="162"/>
      <c r="D34" s="1862"/>
      <c r="E34" s="1862"/>
      <c r="F34" s="1862"/>
      <c r="G34" s="1862"/>
      <c r="H34" s="1862"/>
      <c r="I34" s="1862"/>
      <c r="J34" s="1862"/>
      <c r="K34" s="1840" t="s">
        <v>105</v>
      </c>
      <c r="L34" s="1769" t="s">
        <v>193</v>
      </c>
      <c r="M34" s="817"/>
      <c r="N34" s="818"/>
      <c r="O34" s="610"/>
      <c r="P34" s="610"/>
      <c r="Q34" s="610"/>
      <c r="R34" s="610"/>
      <c r="S34" s="610"/>
      <c r="T34" s="610"/>
      <c r="U34" s="611"/>
      <c r="V34" s="610"/>
      <c r="W34" s="610"/>
      <c r="X34" s="601"/>
      <c r="Y34" s="601" t="s">
        <v>199</v>
      </c>
      <c r="Z34" s="601">
        <v>1705000</v>
      </c>
      <c r="AA34" s="601"/>
      <c r="AB34" s="601"/>
      <c r="AC34" s="601"/>
      <c r="AD34" s="601"/>
      <c r="AE34" s="601"/>
      <c r="AF34" s="601"/>
      <c r="AG34" s="601"/>
      <c r="AH34" s="601"/>
      <c r="AI34" s="601"/>
      <c r="AJ34" s="601"/>
      <c r="AK34" s="601"/>
      <c r="AL34" s="601"/>
    </row>
    <row s="2666" customFormat="1" customHeight="1" ht="15">
      <c r="U35" s="171"/>
    </row>
    <row s="2666" customFormat="1" customHeight="1" ht="15">
      <c r="U36" s="171"/>
    </row>
    <row s="13133" customFormat="1" customHeight="1" ht="11.25">
      <c r="A37" s="1856" t="s">
        <v>1367</v>
      </c>
    </row>
    <row customHeight="1" ht="11.25"/>
    <row s="3130" customFormat="1" customHeight="1" ht="22.5">
      <c r="A39" s="1832"/>
      <c r="B39" s="463"/>
      <c r="C39" s="865"/>
      <c r="D39" s="446"/>
      <c r="E39" s="866"/>
      <c r="F39" s="1853"/>
      <c r="G39" s="1863"/>
      <c r="H39" s="481"/>
    </row>
    <row customHeight="1" ht="11.25"/>
    <row s="13133" customFormat="1" customHeight="1" ht="11.25">
      <c r="A41" s="1856" t="s">
        <v>1368</v>
      </c>
    </row>
    <row customHeight="1" ht="11.25"/>
    <row s="3130" customFormat="1" customHeight="1" ht="22.5">
      <c r="A43" s="463"/>
      <c r="B43" s="463"/>
      <c r="C43" s="463"/>
      <c r="D43" s="446"/>
      <c r="E43" s="866"/>
      <c r="F43" s="867"/>
      <c r="G43" s="1863"/>
      <c r="H43" s="481"/>
    </row>
    <row r="46" s="13133" customFormat="1" customHeight="1" ht="17.25">
      <c r="A46" s="1856" t="s">
        <v>1369</v>
      </c>
    </row>
    <row r="48" s="3213" customFormat="1" customHeight="1" ht="18.75">
      <c r="A48" s="74"/>
      <c r="B48" s="1864"/>
      <c r="C48" s="1864"/>
      <c r="D48" s="1865"/>
      <c r="E48" s="1850"/>
      <c r="F48" s="874">
        <v>13</v>
      </c>
      <c r="G48" s="873"/>
      <c r="H48" s="799"/>
      <c r="I48" s="797"/>
      <c r="J48" s="526" t="s">
        <v>63</v>
      </c>
      <c r="K48" s="1866" t="s">
        <v>24</v>
      </c>
      <c r="L48" s="74"/>
      <c r="M48" s="1676"/>
      <c r="N48" s="1676"/>
      <c r="O48" s="1676"/>
      <c r="P48" s="522" t="s">
        <v>607</v>
      </c>
      <c r="Q48" s="522" t="s">
        <v>608</v>
      </c>
      <c r="R48" s="523" t="s">
        <v>609</v>
      </c>
      <c r="S48" s="1676" t="s">
        <v>610</v>
      </c>
      <c r="T48" s="1676"/>
      <c r="U48" s="1676"/>
      <c r="V48" s="1676"/>
    </row>
    <row r="50" s="13133" customFormat="1" customHeight="1" ht="11.25">
      <c r="A50" s="1856" t="s">
        <v>1370</v>
      </c>
    </row>
    <row r="52" s="2993" customFormat="1" customHeight="1" ht="14.25">
      <c r="C52" s="1728"/>
      <c r="D52" s="1912"/>
      <c r="E52" s="1818" t="s">
        <v>24</v>
      </c>
      <c r="F52" s="1911"/>
      <c r="G52" s="862"/>
      <c r="H52" s="1819"/>
      <c r="I52" s="1819"/>
      <c r="J52" s="439"/>
      <c r="K52" s="1906"/>
      <c r="L52" s="438"/>
      <c r="M52" s="1906"/>
      <c r="N52" s="439"/>
      <c r="O52" s="1906"/>
      <c r="P52" s="439"/>
      <c r="Q52" s="1906"/>
      <c r="R52" s="439"/>
      <c r="S52" s="860"/>
      <c r="T52" s="1819"/>
      <c r="U52" s="439"/>
      <c r="V52" s="439"/>
      <c r="W52" s="1910"/>
      <c r="X52" s="1819"/>
      <c r="Y52" s="439"/>
      <c r="Z52" s="439"/>
      <c r="AA52" s="1910"/>
      <c r="AB52" s="1819"/>
      <c r="AC52" s="439"/>
      <c r="AD52" s="1910"/>
      <c r="AE52" s="74"/>
      <c r="AF52" s="74"/>
      <c r="AG52" s="74"/>
      <c r="AH52" s="74"/>
      <c r="AJ52" s="1676"/>
      <c r="AK52" s="1676"/>
      <c r="AL52" s="1676"/>
      <c r="AM52" s="1676"/>
      <c r="AN52" s="1676"/>
      <c r="AO52" s="1676"/>
      <c r="AP52" s="1664" t="s">
        <v>596</v>
      </c>
      <c r="AQ52" s="1664" t="s">
        <v>596</v>
      </c>
      <c r="AR52" s="1676"/>
      <c r="AS52" s="1676"/>
    </row>
    <row r="54" s="13133" customFormat="1" customHeight="1" ht="11.25">
      <c r="A54" s="1856" t="s">
        <v>1371</v>
      </c>
    </row>
    <row r="56" s="13018" customFormat="1" customHeight="1" ht="15">
      <c r="A56" s="131" t="s">
        <v>91</v>
      </c>
      <c r="B56" s="111" t="s">
        <v>24</v>
      </c>
      <c r="C56" s="1867"/>
      <c r="D56" s="114"/>
      <c r="E56" s="387"/>
      <c r="F56" s="387"/>
      <c r="G56" s="1844"/>
      <c r="H56" s="1866"/>
      <c r="I56" s="1845"/>
      <c r="K56" s="258"/>
      <c r="L56" s="259"/>
    </row>
    <row r="58" s="13133" customFormat="1" customHeight="1" ht="11.25">
      <c r="A58" s="1856" t="s">
        <v>1372</v>
      </c>
    </row>
    <row r="60" s="2993" customFormat="1" customHeight="1" ht="14.25">
      <c r="A60" s="339"/>
      <c r="B60" s="1168"/>
      <c r="C60" s="377"/>
      <c r="D60" s="1851"/>
      <c r="E60" s="892"/>
      <c r="F60" s="1866"/>
      <c r="G60" s="74"/>
      <c r="I60" s="1664"/>
      <c r="J60" s="1664"/>
    </row>
    <row r="62" s="13133" customFormat="1" customHeight="1" ht="11.25">
      <c r="A62" s="1856" t="s">
        <v>1373</v>
      </c>
    </row>
    <row r="64" s="2993" customFormat="1" customHeight="1" ht="27">
      <c r="A64" s="1174"/>
      <c r="B64" s="1174"/>
      <c r="C64" s="1174"/>
      <c r="D64" s="1168"/>
      <c r="E64" s="1868"/>
      <c r="F64" s="2344"/>
      <c r="G64" s="2345"/>
      <c r="H64" s="2346" t="s">
        <v>63</v>
      </c>
      <c r="I64" s="2348"/>
      <c r="J64" s="2350"/>
      <c r="K64" s="2352"/>
      <c r="L64" s="2355"/>
      <c r="M64" s="2355"/>
      <c r="N64" s="2402"/>
      <c r="O64" s="2402"/>
      <c r="P64" s="2403">
        <f>DATEDIF(DATEVALUE(N64),DATEVALUE(O64),"y")&amp;"г. "&amp;DATEDIF(DATEVALUE(N64),DATEVALUE(O64),"ym")&amp;"мес. "&amp;DATEVALUE(O64)-DATE(YEAR(DATEVALUE(O64)),MONTH(DATEVALUE(O64)),1)&amp;"дн. "</f>
      </c>
      <c r="Q64" s="2357"/>
      <c r="R64" s="2357"/>
      <c r="S64" s="2357"/>
      <c r="T64" s="2350"/>
      <c r="U64" s="2357"/>
      <c r="V64" s="2357"/>
      <c r="W64" s="2357"/>
      <c r="X64" s="2350"/>
      <c r="Y64" s="2400" t="s">
        <v>63</v>
      </c>
      <c r="Z64" s="1849"/>
      <c r="AA64" s="1833">
        <v>1</v>
      </c>
      <c r="AB64" s="1260"/>
      <c r="AD64" s="1676" t="s">
        <v>1374</v>
      </c>
    </row>
    <row s="2993" customFormat="1" customHeight="1" ht="10.5">
      <c r="A65" s="1174"/>
      <c r="B65" s="1174"/>
      <c r="C65" s="1174"/>
      <c r="D65" s="1168"/>
      <c r="E65" s="954"/>
      <c r="F65" s="2344"/>
      <c r="G65" s="2345"/>
      <c r="H65" s="2347"/>
      <c r="I65" s="2349"/>
      <c r="J65" s="2351"/>
      <c r="K65" s="2352"/>
      <c r="L65" s="2355"/>
      <c r="M65" s="2355"/>
      <c r="N65" s="2402"/>
      <c r="O65" s="2402"/>
      <c r="P65" s="2403"/>
      <c r="Q65" s="2357"/>
      <c r="R65" s="2357"/>
      <c r="S65" s="2357"/>
      <c r="T65" s="2351"/>
      <c r="U65" s="2357"/>
      <c r="V65" s="2357"/>
      <c r="W65" s="2357"/>
      <c r="X65" s="2351"/>
      <c r="Y65" s="2401"/>
      <c r="Z65" s="343"/>
      <c r="AA65" s="578"/>
      <c r="AB65" s="658" t="s">
        <v>1375</v>
      </c>
    </row>
    <row r="67" s="13133" customFormat="1" customHeight="1" ht="11.25">
      <c r="A67" s="1856" t="s">
        <v>1376</v>
      </c>
    </row>
    <row r="69" s="2993" customFormat="1" customHeight="1" ht="27">
      <c r="A69" s="1174"/>
      <c r="B69" s="1174"/>
      <c r="C69" s="1174"/>
      <c r="D69" s="1168"/>
      <c r="E69" s="1868"/>
      <c r="F69" s="1838"/>
      <c r="G69" s="1787"/>
      <c r="H69" s="1788"/>
      <c r="I69" s="1789"/>
      <c r="J69" s="1790"/>
      <c r="K69" s="1791"/>
      <c r="L69" s="1792"/>
      <c r="M69" s="1792"/>
      <c r="N69" s="1793"/>
      <c r="O69" s="1793"/>
      <c r="P69" s="1794"/>
      <c r="Q69" s="1795"/>
      <c r="R69" s="1795"/>
      <c r="S69" s="1795"/>
      <c r="T69" s="1790"/>
      <c r="U69" s="1795"/>
      <c r="V69" s="1795"/>
      <c r="W69" s="1795"/>
      <c r="X69" s="1790"/>
      <c r="Y69" s="1788"/>
      <c r="Z69" s="1849"/>
      <c r="AA69" s="1833">
        <v>1</v>
      </c>
      <c r="AB69" s="1260"/>
      <c r="AD69" s="1676" t="s">
        <v>1374</v>
      </c>
    </row>
    <row r="71" s="13133" customFormat="1" customHeight="1" ht="11.25">
      <c r="A71" s="1856" t="s">
        <v>1377</v>
      </c>
    </row>
    <row customHeight="1" ht="17.25"/>
    <row s="2993" customFormat="1" customHeight="1" ht="21">
      <c r="A73" s="1175"/>
      <c r="B73" s="1174"/>
      <c r="C73" s="1174"/>
      <c r="D73" s="1168"/>
      <c r="E73" s="1178"/>
      <c r="F73" s="1130">
        <f>INDEX(IP_MAIN_LIST_NAME_IP,MATCH(A73,IP_MAIN_LIST_IP_ID,0))&amp;" ("&amp;INDEX(IP_MAIN_START_DATE,MATCH(A73,IP_MAIN_LIST_IP_ID,0))&amp;"-"&amp;INDEX(IP_MAIN_END_DATE,MATCH(A73,IP_MAIN_LIST_IP_ID,0))&amp;")"</f>
      </c>
      <c r="G73" s="1131"/>
      <c r="H73" s="1131"/>
      <c r="I73" s="1195"/>
      <c r="J73" s="1195"/>
      <c r="K73" s="1196"/>
      <c r="L73" s="1196"/>
      <c r="M73" s="1196"/>
      <c r="N73" s="1197"/>
      <c r="O73" s="1197"/>
      <c r="P73" s="1197"/>
      <c r="Q73" s="1197"/>
      <c r="R73" s="1197"/>
      <c r="S73" s="1197"/>
      <c r="T73" s="1197"/>
      <c r="U73" s="1197"/>
      <c r="V73" s="1197"/>
      <c r="W73" s="1197"/>
      <c r="X73" s="1197"/>
      <c r="Y73" s="1197"/>
      <c r="Z73" s="1197"/>
      <c r="AA73" s="1197"/>
      <c r="AB73" s="1197"/>
      <c r="AC73" s="1197"/>
      <c r="AD73" s="1197"/>
      <c r="AE73" s="1198"/>
      <c r="AF73" s="1196"/>
      <c r="AG73" s="1196"/>
      <c r="AH73" s="1196"/>
      <c r="AI73" s="1196"/>
      <c r="AJ73" s="1196"/>
      <c r="AK73" s="1196"/>
      <c r="AL73" s="1179"/>
      <c r="AM73" s="1864"/>
      <c r="AN73" s="1864"/>
      <c r="AO73" s="1864"/>
      <c r="AP73" s="1864"/>
      <c r="AQ73" s="1864"/>
      <c r="AR73" s="1864"/>
      <c r="AS73" s="1864"/>
      <c r="AT73" s="1864"/>
      <c r="AU73" s="1864"/>
      <c r="AV73" s="1864"/>
      <c r="AW73" s="1864"/>
      <c r="AX73" s="1864"/>
      <c r="AY73" s="1864"/>
      <c r="AZ73" s="1864"/>
      <c r="BA73" s="1864"/>
      <c r="BB73" s="1864"/>
      <c r="BC73" s="1864"/>
      <c r="BD73" s="1864"/>
      <c r="BE73" s="1864"/>
      <c r="BF73" s="1864"/>
    </row>
    <row s="2993" customFormat="1" customHeight="1" ht="11.25">
      <c r="A74" s="1174"/>
      <c r="B74" s="1174"/>
      <c r="C74" s="1174"/>
      <c r="D74" s="1168"/>
      <c r="E74" s="1178"/>
      <c r="F74" s="2406"/>
      <c r="G74" s="2356"/>
      <c r="H74" s="2356" t="s">
        <v>193</v>
      </c>
      <c r="I74" s="2410"/>
      <c r="J74" s="2334"/>
      <c r="K74" s="2411"/>
      <c r="L74" s="2404" t="s">
        <v>58</v>
      </c>
      <c r="M74" s="1982"/>
      <c r="N74" s="1187"/>
      <c r="O74" s="1186" t="s">
        <v>591</v>
      </c>
      <c r="P74" s="1187"/>
      <c r="Q74" s="1187"/>
      <c r="R74" s="1187"/>
      <c r="S74" s="1187"/>
      <c r="T74" s="1187"/>
      <c r="U74" s="1187"/>
      <c r="V74" s="1187"/>
      <c r="W74" s="1187"/>
      <c r="X74" s="1187"/>
      <c r="Y74" s="1187"/>
      <c r="Z74" s="1187"/>
      <c r="AA74" s="1187"/>
      <c r="AB74" s="1187"/>
      <c r="AC74" s="1187"/>
      <c r="AD74" s="1187"/>
      <c r="AE74" s="1187"/>
      <c r="AF74" s="2408"/>
      <c r="AG74" s="2404"/>
      <c r="AH74" s="2404"/>
      <c r="AI74" s="2408"/>
      <c r="AJ74" s="2404"/>
      <c r="AK74" s="2404"/>
      <c r="AL74" s="1181"/>
      <c r="AM74" s="1864"/>
      <c r="AN74" s="1864"/>
      <c r="AO74" s="1864"/>
      <c r="AP74" s="1864"/>
      <c r="AQ74" s="1864"/>
      <c r="AR74" s="1864"/>
      <c r="AS74" s="1864"/>
      <c r="AT74" s="1864"/>
      <c r="AU74" s="1864"/>
      <c r="AV74" s="1864"/>
      <c r="AW74" s="1864"/>
      <c r="AX74" s="1864"/>
      <c r="AY74" s="1864"/>
      <c r="AZ74" s="1864"/>
      <c r="BA74" s="1864"/>
      <c r="BB74" s="1864"/>
      <c r="BC74" s="1864"/>
      <c r="BD74" s="1864"/>
      <c r="BE74" s="1864"/>
      <c r="BF74" s="1864"/>
    </row>
    <row s="2993" customFormat="1" customHeight="1" ht="11.25">
      <c r="A75" s="1174"/>
      <c r="B75" s="1174"/>
      <c r="C75" s="1174"/>
      <c r="D75" s="1168"/>
      <c r="E75" s="1178"/>
      <c r="F75" s="2406"/>
      <c r="G75" s="2356"/>
      <c r="H75" s="2356"/>
      <c r="I75" s="2410"/>
      <c r="J75" s="2334"/>
      <c r="K75" s="2411"/>
      <c r="L75" s="2404"/>
      <c r="M75" s="1982"/>
      <c r="N75" s="2412"/>
      <c r="O75" s="2369">
        <v>1</v>
      </c>
      <c r="P75" s="2364" t="s">
        <v>58</v>
      </c>
      <c r="Q75" s="2367" t="s">
        <v>24</v>
      </c>
      <c r="R75" s="2367" t="s">
        <v>24</v>
      </c>
      <c r="S75" s="2367" t="s">
        <v>24</v>
      </c>
      <c r="T75" s="2367" t="s">
        <v>24</v>
      </c>
      <c r="U75" s="2367" t="s">
        <v>24</v>
      </c>
      <c r="V75" s="2367" t="s">
        <v>24</v>
      </c>
      <c r="W75" s="2367" t="s">
        <v>24</v>
      </c>
      <c r="X75" s="2367" t="s">
        <v>24</v>
      </c>
      <c r="Y75" s="2367"/>
      <c r="Z75" s="1184"/>
      <c r="AA75" s="1185"/>
      <c r="AB75" s="1185"/>
      <c r="AC75" s="1189"/>
      <c r="AD75" s="1189"/>
      <c r="AE75" s="1190"/>
      <c r="AF75" s="2408"/>
      <c r="AG75" s="2404"/>
      <c r="AH75" s="2404"/>
      <c r="AI75" s="2408"/>
      <c r="AJ75" s="2404"/>
      <c r="AK75" s="2404"/>
      <c r="AL75" s="1181"/>
      <c r="AM75" s="1864"/>
      <c r="AN75" s="1864"/>
      <c r="AO75" s="1864"/>
      <c r="AP75" s="1864"/>
      <c r="AQ75" s="1864"/>
      <c r="AR75" s="1864"/>
      <c r="AS75" s="1864"/>
      <c r="AT75" s="1864"/>
      <c r="AU75" s="1864"/>
      <c r="AV75" s="1864"/>
      <c r="AW75" s="1864"/>
      <c r="AX75" s="1864"/>
      <c r="AY75" s="1864"/>
      <c r="AZ75" s="1864"/>
      <c r="BA75" s="1864"/>
      <c r="BB75" s="1864"/>
      <c r="BC75" s="1864"/>
      <c r="BD75" s="1864"/>
      <c r="BE75" s="1864"/>
      <c r="BF75" s="1864"/>
    </row>
    <row s="2993" customFormat="1" customHeight="1" ht="11.25">
      <c r="A76" s="1174"/>
      <c r="B76" s="1174"/>
      <c r="C76" s="1174"/>
      <c r="D76" s="1168"/>
      <c r="E76" s="1178"/>
      <c r="F76" s="2406"/>
      <c r="G76" s="2356"/>
      <c r="H76" s="2356"/>
      <c r="I76" s="2410"/>
      <c r="J76" s="2334"/>
      <c r="K76" s="2411"/>
      <c r="L76" s="2404"/>
      <c r="M76" s="1982"/>
      <c r="N76" s="2412"/>
      <c r="O76" s="2369"/>
      <c r="P76" s="2365"/>
      <c r="Q76" s="2367"/>
      <c r="R76" s="2367"/>
      <c r="S76" s="2409"/>
      <c r="T76" s="2367"/>
      <c r="U76" s="2367"/>
      <c r="V76" s="2367"/>
      <c r="W76" s="2367"/>
      <c r="X76" s="2367"/>
      <c r="Y76" s="2367"/>
      <c r="Z76" s="1869"/>
      <c r="AA76" s="1835">
        <v>1</v>
      </c>
      <c r="AB76" s="1188"/>
      <c r="AC76" s="1177"/>
      <c r="AD76" s="1188">
        <f>AB76</f>
        <v>0</v>
      </c>
      <c r="AE76" s="1177"/>
      <c r="AF76" s="2408"/>
      <c r="AG76" s="2404"/>
      <c r="AH76" s="2404"/>
      <c r="AI76" s="2408"/>
      <c r="AJ76" s="2404"/>
      <c r="AK76" s="2404"/>
      <c r="AL76" s="1181"/>
      <c r="AM76" s="1864"/>
      <c r="AN76" s="1864"/>
      <c r="AO76" s="1864"/>
      <c r="AP76" s="1864"/>
      <c r="AQ76" s="1864"/>
      <c r="AR76" s="1864"/>
      <c r="AS76" s="1864"/>
      <c r="AT76" s="1864"/>
      <c r="AU76" s="1864"/>
      <c r="AV76" s="1864"/>
      <c r="AW76" s="1864"/>
      <c r="AX76" s="1864"/>
      <c r="AY76" s="1864"/>
      <c r="AZ76" s="1864"/>
      <c r="BA76" s="1864"/>
      <c r="BB76" s="1864"/>
      <c r="BC76" s="1864"/>
      <c r="BD76" s="1864"/>
      <c r="BE76" s="1864"/>
      <c r="BF76" s="1864"/>
    </row>
    <row s="2993" customFormat="1" customHeight="1" ht="11.25">
      <c r="A77" s="1174"/>
      <c r="B77" s="1174"/>
      <c r="C77" s="1174"/>
      <c r="D77" s="1168"/>
      <c r="E77" s="1178"/>
      <c r="F77" s="2406"/>
      <c r="G77" s="2356"/>
      <c r="H77" s="2356"/>
      <c r="I77" s="2410"/>
      <c r="J77" s="2334"/>
      <c r="K77" s="2411"/>
      <c r="L77" s="2404"/>
      <c r="M77" s="1982"/>
      <c r="N77" s="2412"/>
      <c r="O77" s="2369"/>
      <c r="P77" s="2366"/>
      <c r="Q77" s="2367"/>
      <c r="R77" s="2367"/>
      <c r="S77" s="2409"/>
      <c r="T77" s="2367"/>
      <c r="U77" s="2367"/>
      <c r="V77" s="2367"/>
      <c r="W77" s="2367"/>
      <c r="X77" s="2367"/>
      <c r="Y77" s="2367"/>
      <c r="Z77" s="1184"/>
      <c r="AA77" s="1185"/>
      <c r="AB77" s="1259" t="s">
        <v>1378</v>
      </c>
      <c r="AC77" s="1189"/>
      <c r="AD77" s="1189"/>
      <c r="AE77" s="1191"/>
      <c r="AF77" s="2408"/>
      <c r="AG77" s="2404"/>
      <c r="AH77" s="2404"/>
      <c r="AI77" s="2408"/>
      <c r="AJ77" s="2404"/>
      <c r="AK77" s="2404"/>
      <c r="AL77" s="1181"/>
      <c r="AM77" s="1864"/>
      <c r="AN77" s="1864"/>
      <c r="AO77" s="1864"/>
      <c r="AP77" s="1864"/>
      <c r="AQ77" s="1864"/>
      <c r="AR77" s="1864"/>
      <c r="AS77" s="1864"/>
      <c r="AT77" s="1864"/>
      <c r="AU77" s="1864"/>
      <c r="AV77" s="1864"/>
      <c r="AW77" s="1864"/>
      <c r="AX77" s="1864"/>
      <c r="AY77" s="1864"/>
      <c r="AZ77" s="1864"/>
      <c r="BA77" s="1864"/>
      <c r="BB77" s="1864"/>
      <c r="BC77" s="1864"/>
      <c r="BD77" s="1864"/>
      <c r="BE77" s="1864"/>
      <c r="BF77" s="1864"/>
    </row>
    <row s="2993" customFormat="1" customHeight="1" ht="11.25">
      <c r="A78" s="1174"/>
      <c r="B78" s="1174"/>
      <c r="C78" s="1174"/>
      <c r="D78" s="1168"/>
      <c r="E78" s="1178"/>
      <c r="F78" s="2406"/>
      <c r="G78" s="2356"/>
      <c r="H78" s="2356"/>
      <c r="I78" s="2410"/>
      <c r="J78" s="2334"/>
      <c r="K78" s="2411"/>
      <c r="L78" s="2404"/>
      <c r="M78" s="1982"/>
      <c r="N78" s="1185"/>
      <c r="O78" s="1185"/>
      <c r="P78" s="1176" t="s">
        <v>1379</v>
      </c>
      <c r="Q78" s="1185"/>
      <c r="R78" s="1185"/>
      <c r="S78" s="1185"/>
      <c r="T78" s="1185"/>
      <c r="U78" s="1185"/>
      <c r="V78" s="1185"/>
      <c r="W78" s="1185"/>
      <c r="X78" s="1185"/>
      <c r="Y78" s="1185"/>
      <c r="Z78" s="1185"/>
      <c r="AA78" s="1185"/>
      <c r="AB78" s="1185"/>
      <c r="AC78" s="1185"/>
      <c r="AD78" s="1185"/>
      <c r="AE78" s="1192"/>
      <c r="AF78" s="2408"/>
      <c r="AG78" s="2404"/>
      <c r="AH78" s="2404"/>
      <c r="AI78" s="2408"/>
      <c r="AJ78" s="2404"/>
      <c r="AK78" s="2404"/>
      <c r="AL78" s="1181"/>
      <c r="AM78" s="1864"/>
      <c r="AN78" s="1864"/>
      <c r="AO78" s="1864"/>
      <c r="AP78" s="1864"/>
      <c r="AQ78" s="1864"/>
      <c r="AR78" s="1864"/>
      <c r="AS78" s="1864"/>
      <c r="AT78" s="1864"/>
      <c r="AU78" s="1864"/>
      <c r="AV78" s="1864"/>
      <c r="AW78" s="1864"/>
      <c r="AX78" s="1864"/>
      <c r="AY78" s="1864"/>
      <c r="AZ78" s="1864"/>
      <c r="BA78" s="1864"/>
      <c r="BB78" s="1864"/>
      <c r="BC78" s="1864"/>
      <c r="BD78" s="1864"/>
      <c r="BE78" s="1864"/>
      <c r="BF78" s="1864"/>
    </row>
    <row s="2993" customFormat="1" customHeight="1" ht="12">
      <c r="A79" s="1174"/>
      <c r="B79" s="1174"/>
      <c r="C79" s="1174"/>
      <c r="D79" s="1168"/>
      <c r="E79" s="1178"/>
      <c r="F79" s="2407"/>
      <c r="G79" s="1200"/>
      <c r="H79" s="1200"/>
      <c r="I79" s="2405" t="s">
        <v>1380</v>
      </c>
      <c r="J79" s="2405"/>
      <c r="K79" s="2405"/>
      <c r="L79" s="1182"/>
      <c r="M79" s="1182"/>
      <c r="N79" s="1183"/>
      <c r="O79" s="1183"/>
      <c r="P79" s="1183"/>
      <c r="Q79" s="1183"/>
      <c r="R79" s="1183"/>
      <c r="S79" s="1183"/>
      <c r="T79" s="1183"/>
      <c r="U79" s="1183"/>
      <c r="V79" s="1183"/>
      <c r="W79" s="1183"/>
      <c r="X79" s="1183"/>
      <c r="Y79" s="1183"/>
      <c r="Z79" s="1183"/>
      <c r="AA79" s="1183"/>
      <c r="AB79" s="1183"/>
      <c r="AC79" s="1183"/>
      <c r="AD79" s="1183"/>
      <c r="AE79" s="1183"/>
      <c r="AF79" s="1183"/>
      <c r="AG79" s="1182"/>
      <c r="AH79" s="1182"/>
      <c r="AI79" s="1183"/>
      <c r="AJ79" s="1182"/>
      <c r="AK79" s="1193"/>
      <c r="AL79" s="1181"/>
      <c r="AM79" s="1864"/>
      <c r="AN79" s="1864"/>
      <c r="AO79" s="1864"/>
      <c r="AP79" s="1864"/>
      <c r="AQ79" s="1864"/>
      <c r="AR79" s="1864"/>
      <c r="AS79" s="1864"/>
      <c r="AT79" s="1864"/>
      <c r="AU79" s="1864"/>
      <c r="AV79" s="1864"/>
      <c r="AW79" s="1864"/>
      <c r="AX79" s="1864"/>
      <c r="AY79" s="1864"/>
      <c r="AZ79" s="1864"/>
      <c r="BA79" s="1864"/>
      <c r="BB79" s="1864"/>
      <c r="BC79" s="1864"/>
      <c r="BD79" s="1864"/>
      <c r="BE79" s="1864"/>
      <c r="BF79" s="1864"/>
    </row>
    <row r="81" s="13133" customFormat="1" customHeight="1" ht="11.25">
      <c r="A81" s="1856" t="s">
        <v>1381</v>
      </c>
    </row>
    <row r="83" s="2993" customFormat="1" customHeight="1" ht="11.25">
      <c r="A83" s="1174"/>
      <c r="B83" s="1174"/>
      <c r="C83" s="1174"/>
      <c r="D83" s="1168"/>
      <c r="E83" s="1178"/>
      <c r="F83" s="1870"/>
      <c r="G83" s="1871"/>
      <c r="H83" s="1871"/>
      <c r="I83" s="1804"/>
      <c r="J83" s="1804"/>
      <c r="K83" s="1872"/>
      <c r="L83" s="1804"/>
      <c r="M83" s="1871"/>
      <c r="N83" s="2368"/>
      <c r="O83" s="2369">
        <v>1</v>
      </c>
      <c r="P83" s="2364" t="s">
        <v>58</v>
      </c>
      <c r="Q83" s="2367" t="s">
        <v>24</v>
      </c>
      <c r="R83" s="2367" t="s">
        <v>24</v>
      </c>
      <c r="S83" s="2367" t="s">
        <v>24</v>
      </c>
      <c r="T83" s="2367" t="s">
        <v>24</v>
      </c>
      <c r="U83" s="2367" t="s">
        <v>24</v>
      </c>
      <c r="V83" s="2367" t="s">
        <v>24</v>
      </c>
      <c r="W83" s="2367" t="s">
        <v>24</v>
      </c>
      <c r="X83" s="2367" t="s">
        <v>24</v>
      </c>
      <c r="Y83" s="2367"/>
      <c r="Z83" s="1184"/>
      <c r="AA83" s="1185"/>
      <c r="AB83" s="1185"/>
      <c r="AC83" s="1189"/>
      <c r="AD83" s="1189"/>
      <c r="AE83" s="1189"/>
      <c r="AF83" s="1873"/>
      <c r="AG83" s="1799"/>
      <c r="AH83" s="1799"/>
      <c r="AI83" s="1873"/>
      <c r="AJ83" s="1799"/>
      <c r="AK83" s="1799"/>
      <c r="AL83" s="1181"/>
      <c r="AM83" s="1864"/>
      <c r="AN83" s="1864"/>
      <c r="AO83" s="1864"/>
      <c r="AP83" s="1864"/>
      <c r="AQ83" s="1864"/>
      <c r="AR83" s="1864"/>
      <c r="AS83" s="1864"/>
      <c r="AT83" s="1864"/>
      <c r="AU83" s="1864"/>
      <c r="AV83" s="1864"/>
      <c r="AW83" s="1864"/>
      <c r="AX83" s="1864"/>
      <c r="AY83" s="1864"/>
      <c r="AZ83" s="1864"/>
      <c r="BA83" s="1864"/>
      <c r="BB83" s="1864"/>
      <c r="BC83" s="1864"/>
      <c r="BD83" s="1864"/>
      <c r="BE83" s="1864"/>
      <c r="BF83" s="1864"/>
    </row>
    <row s="2993" customFormat="1" customHeight="1" ht="11.25">
      <c r="A84" s="1174"/>
      <c r="B84" s="1174"/>
      <c r="C84" s="1174"/>
      <c r="D84" s="1168"/>
      <c r="E84" s="1178"/>
      <c r="F84" s="1870"/>
      <c r="G84" s="1871"/>
      <c r="H84" s="1871"/>
      <c r="I84" s="1805"/>
      <c r="J84" s="1805"/>
      <c r="K84" s="1872"/>
      <c r="L84" s="1805"/>
      <c r="M84" s="1871"/>
      <c r="N84" s="2368"/>
      <c r="O84" s="2369"/>
      <c r="P84" s="2365"/>
      <c r="Q84" s="2367"/>
      <c r="R84" s="2367"/>
      <c r="S84" s="2409"/>
      <c r="T84" s="2367"/>
      <c r="U84" s="2367"/>
      <c r="V84" s="2367"/>
      <c r="W84" s="2367"/>
      <c r="X84" s="2367"/>
      <c r="Y84" s="2367"/>
      <c r="Z84" s="1869"/>
      <c r="AA84" s="1835">
        <v>1</v>
      </c>
      <c r="AB84" s="1188"/>
      <c r="AC84" s="1177"/>
      <c r="AD84" s="1188">
        <f>AB84</f>
        <v>0</v>
      </c>
      <c r="AE84" s="730"/>
      <c r="AF84" s="1872"/>
      <c r="AG84" s="1799"/>
      <c r="AH84" s="1799"/>
      <c r="AI84" s="1872"/>
      <c r="AJ84" s="1799"/>
      <c r="AK84" s="1799"/>
      <c r="AL84" s="1181"/>
      <c r="AM84" s="1864"/>
      <c r="AN84" s="1864"/>
      <c r="AO84" s="1864"/>
      <c r="AP84" s="1864"/>
      <c r="AQ84" s="1864"/>
      <c r="AR84" s="1864"/>
      <c r="AS84" s="1864"/>
      <c r="AT84" s="1864"/>
      <c r="AU84" s="1864"/>
      <c r="AV84" s="1864"/>
      <c r="AW84" s="1864"/>
      <c r="AX84" s="1864"/>
      <c r="AY84" s="1864"/>
      <c r="AZ84" s="1864"/>
      <c r="BA84" s="1864"/>
      <c r="BB84" s="1864"/>
      <c r="BC84" s="1864"/>
      <c r="BD84" s="1864"/>
      <c r="BE84" s="1864"/>
      <c r="BF84" s="1864"/>
    </row>
    <row s="2993" customFormat="1" customHeight="1" ht="11.25">
      <c r="A85" s="1174"/>
      <c r="B85" s="1174"/>
      <c r="C85" s="1174"/>
      <c r="D85" s="1168"/>
      <c r="E85" s="1178"/>
      <c r="F85" s="1870"/>
      <c r="G85" s="1871"/>
      <c r="H85" s="1871"/>
      <c r="I85" s="1806"/>
      <c r="J85" s="1806"/>
      <c r="K85" s="1872"/>
      <c r="L85" s="1806"/>
      <c r="M85" s="1871"/>
      <c r="N85" s="2368"/>
      <c r="O85" s="2369"/>
      <c r="P85" s="2366"/>
      <c r="Q85" s="2367"/>
      <c r="R85" s="2367"/>
      <c r="S85" s="2409"/>
      <c r="T85" s="2367"/>
      <c r="U85" s="2367"/>
      <c r="V85" s="2367"/>
      <c r="W85" s="2367"/>
      <c r="X85" s="2367"/>
      <c r="Y85" s="2367"/>
      <c r="Z85" s="1184"/>
      <c r="AA85" s="1185"/>
      <c r="AB85" s="1259" t="s">
        <v>1378</v>
      </c>
      <c r="AC85" s="1189"/>
      <c r="AD85" s="1189"/>
      <c r="AE85" s="1189"/>
      <c r="AF85" s="1874"/>
      <c r="AG85" s="1799"/>
      <c r="AH85" s="1799"/>
      <c r="AI85" s="1874"/>
      <c r="AJ85" s="1799"/>
      <c r="AK85" s="1799"/>
      <c r="AL85" s="1181"/>
      <c r="AM85" s="1864"/>
      <c r="AN85" s="1864"/>
      <c r="AO85" s="1864"/>
      <c r="AP85" s="1864"/>
      <c r="AQ85" s="1864"/>
      <c r="AR85" s="1864"/>
      <c r="AS85" s="1864"/>
      <c r="AT85" s="1864"/>
      <c r="AU85" s="1864"/>
      <c r="AV85" s="1864"/>
      <c r="AW85" s="1864"/>
      <c r="AX85" s="1864"/>
      <c r="AY85" s="1864"/>
      <c r="AZ85" s="1864"/>
      <c r="BA85" s="1864"/>
      <c r="BB85" s="1864"/>
      <c r="BC85" s="1864"/>
      <c r="BD85" s="1864"/>
      <c r="BE85" s="1864"/>
      <c r="BF85" s="1864"/>
    </row>
    <row r="87" s="13133" customFormat="1" customHeight="1" ht="11.25">
      <c r="A87" s="1856" t="s">
        <v>1382</v>
      </c>
    </row>
    <row r="89" s="2993" customFormat="1" customHeight="1" ht="11.25">
      <c r="A89" s="1174"/>
      <c r="B89" s="1174"/>
      <c r="C89" s="1174"/>
      <c r="D89" s="1168"/>
      <c r="E89" s="1178"/>
      <c r="F89" s="1871"/>
      <c r="G89" s="1871"/>
      <c r="H89" s="1871"/>
      <c r="I89" s="1871"/>
      <c r="J89" s="1871"/>
      <c r="K89" s="1871"/>
      <c r="L89" s="1871"/>
      <c r="M89" s="1871"/>
      <c r="N89" s="1871"/>
      <c r="O89" s="1871"/>
      <c r="P89" s="1871"/>
      <c r="Q89" s="1871"/>
      <c r="R89" s="1871"/>
      <c r="S89" s="1871"/>
      <c r="T89" s="1871"/>
      <c r="U89" s="1871"/>
      <c r="V89" s="1871"/>
      <c r="W89" s="1871"/>
      <c r="X89" s="1871"/>
      <c r="Y89" s="1871"/>
      <c r="Z89" s="1875"/>
      <c r="AA89" s="1855">
        <v>1</v>
      </c>
      <c r="AB89" s="1188"/>
      <c r="AC89" s="1177"/>
      <c r="AD89" s="1188">
        <f>AB89</f>
        <v>0</v>
      </c>
      <c r="AE89" s="1177"/>
      <c r="AF89" s="1872"/>
      <c r="AG89" s="1799"/>
      <c r="AH89" s="1799"/>
      <c r="AI89" s="1872"/>
      <c r="AJ89" s="1799"/>
      <c r="AK89" s="1799"/>
      <c r="AL89" s="1181"/>
      <c r="AM89" s="1864"/>
      <c r="AN89" s="1864"/>
      <c r="AO89" s="1864"/>
      <c r="AP89" s="1864"/>
      <c r="AQ89" s="1864"/>
      <c r="AR89" s="1864"/>
      <c r="AS89" s="1864"/>
      <c r="AT89" s="1864"/>
      <c r="AU89" s="1864"/>
      <c r="AV89" s="1864"/>
      <c r="AW89" s="1864"/>
      <c r="AX89" s="1864"/>
      <c r="AY89" s="1864"/>
      <c r="AZ89" s="1864"/>
      <c r="BA89" s="1864"/>
      <c r="BB89" s="1864"/>
      <c r="BC89" s="1864"/>
      <c r="BD89" s="1864"/>
      <c r="BE89" s="1864"/>
      <c r="BF89" s="1864"/>
    </row>
    <row r="91" s="13133" customFormat="1" customHeight="1" ht="11.25">
      <c r="A91" s="1856" t="s">
        <v>1383</v>
      </c>
    </row>
    <row r="93" s="2993" customFormat="1" customHeight="1" ht="11.25">
      <c r="A93" s="1174"/>
      <c r="B93" s="1174"/>
      <c r="C93" s="1174"/>
      <c r="D93" s="1168"/>
      <c r="E93" s="1178"/>
      <c r="F93" s="1870"/>
      <c r="G93" s="1871"/>
      <c r="H93" s="2356" t="s">
        <v>193</v>
      </c>
      <c r="I93" s="2410"/>
      <c r="J93" s="2334"/>
      <c r="K93" s="2411"/>
      <c r="L93" s="2404" t="s">
        <v>58</v>
      </c>
      <c r="M93" s="1982"/>
      <c r="N93" s="1187"/>
      <c r="O93" s="1186" t="s">
        <v>591</v>
      </c>
      <c r="P93" s="1187"/>
      <c r="Q93" s="1187"/>
      <c r="R93" s="1187"/>
      <c r="S93" s="1187"/>
      <c r="T93" s="1187"/>
      <c r="U93" s="1187"/>
      <c r="V93" s="1187"/>
      <c r="W93" s="1187"/>
      <c r="X93" s="1187"/>
      <c r="Y93" s="1187"/>
      <c r="Z93" s="1187"/>
      <c r="AA93" s="1187"/>
      <c r="AB93" s="1187"/>
      <c r="AC93" s="1187"/>
      <c r="AD93" s="1187"/>
      <c r="AE93" s="1187"/>
      <c r="AF93" s="2408"/>
      <c r="AG93" s="2404"/>
      <c r="AH93" s="2404"/>
      <c r="AI93" s="2408"/>
      <c r="AJ93" s="2404"/>
      <c r="AK93" s="2404"/>
      <c r="AL93" s="1181"/>
      <c r="AM93" s="1864"/>
      <c r="AN93" s="1864"/>
      <c r="AO93" s="1864"/>
      <c r="AP93" s="1864"/>
      <c r="AQ93" s="1864"/>
      <c r="AR93" s="1864"/>
      <c r="AS93" s="1864"/>
      <c r="AT93" s="1864"/>
      <c r="AU93" s="1864"/>
      <c r="AV93" s="1864"/>
      <c r="AW93" s="1864"/>
      <c r="AX93" s="1864"/>
      <c r="AY93" s="1864"/>
      <c r="AZ93" s="1864"/>
      <c r="BA93" s="1864"/>
      <c r="BB93" s="1864"/>
      <c r="BC93" s="1864"/>
      <c r="BD93" s="1864"/>
      <c r="BE93" s="1864"/>
      <c r="BF93" s="1864"/>
    </row>
    <row s="2993" customFormat="1" customHeight="1" ht="11.25">
      <c r="A94" s="1174"/>
      <c r="B94" s="1174"/>
      <c r="C94" s="1174"/>
      <c r="D94" s="1168"/>
      <c r="E94" s="1178"/>
      <c r="F94" s="1870"/>
      <c r="G94" s="1871"/>
      <c r="H94" s="2356"/>
      <c r="I94" s="2410"/>
      <c r="J94" s="2334"/>
      <c r="K94" s="2411"/>
      <c r="L94" s="2404"/>
      <c r="M94" s="1982"/>
      <c r="N94" s="2412"/>
      <c r="O94" s="2369">
        <v>1</v>
      </c>
      <c r="P94" s="2364" t="s">
        <v>58</v>
      </c>
      <c r="Q94" s="2367" t="s">
        <v>24</v>
      </c>
      <c r="R94" s="2367" t="s">
        <v>24</v>
      </c>
      <c r="S94" s="2367" t="s">
        <v>24</v>
      </c>
      <c r="T94" s="2367" t="s">
        <v>24</v>
      </c>
      <c r="U94" s="2367" t="s">
        <v>24</v>
      </c>
      <c r="V94" s="2367" t="s">
        <v>24</v>
      </c>
      <c r="W94" s="2367" t="s">
        <v>24</v>
      </c>
      <c r="X94" s="2367" t="s">
        <v>24</v>
      </c>
      <c r="Y94" s="2367"/>
      <c r="Z94" s="1184"/>
      <c r="AA94" s="1185"/>
      <c r="AB94" s="1185"/>
      <c r="AC94" s="1189"/>
      <c r="AD94" s="1189"/>
      <c r="AE94" s="1190"/>
      <c r="AF94" s="2408"/>
      <c r="AG94" s="2404"/>
      <c r="AH94" s="2404"/>
      <c r="AI94" s="2408"/>
      <c r="AJ94" s="2404"/>
      <c r="AK94" s="2404"/>
      <c r="AL94" s="1181"/>
      <c r="AM94" s="1864"/>
      <c r="AN94" s="1864"/>
      <c r="AO94" s="1864"/>
      <c r="AP94" s="1864"/>
      <c r="AQ94" s="1864"/>
      <c r="AR94" s="1864"/>
      <c r="AS94" s="1864"/>
      <c r="AT94" s="1864"/>
      <c r="AU94" s="1864"/>
      <c r="AV94" s="1864"/>
      <c r="AW94" s="1864"/>
      <c r="AX94" s="1864"/>
      <c r="AY94" s="1864"/>
      <c r="AZ94" s="1864"/>
      <c r="BA94" s="1864"/>
      <c r="BB94" s="1864"/>
      <c r="BC94" s="1864"/>
      <c r="BD94" s="1864"/>
      <c r="BE94" s="1864"/>
      <c r="BF94" s="1864"/>
    </row>
    <row s="2993" customFormat="1" customHeight="1" ht="11.25">
      <c r="A95" s="1174"/>
      <c r="B95" s="1174"/>
      <c r="C95" s="1174"/>
      <c r="D95" s="1168"/>
      <c r="E95" s="1178"/>
      <c r="F95" s="1870"/>
      <c r="G95" s="1871"/>
      <c r="H95" s="2356"/>
      <c r="I95" s="2410"/>
      <c r="J95" s="2334"/>
      <c r="K95" s="2411"/>
      <c r="L95" s="2404"/>
      <c r="M95" s="1982"/>
      <c r="N95" s="2412"/>
      <c r="O95" s="2369"/>
      <c r="P95" s="2365"/>
      <c r="Q95" s="2367"/>
      <c r="R95" s="2367"/>
      <c r="S95" s="2409"/>
      <c r="T95" s="2367"/>
      <c r="U95" s="2367"/>
      <c r="V95" s="2367"/>
      <c r="W95" s="2367"/>
      <c r="X95" s="2367"/>
      <c r="Y95" s="2367"/>
      <c r="Z95" s="1869"/>
      <c r="AA95" s="1835">
        <v>1</v>
      </c>
      <c r="AB95" s="1188"/>
      <c r="AC95" s="1177"/>
      <c r="AD95" s="1188">
        <f>AB95</f>
        <v>0</v>
      </c>
      <c r="AE95" s="1177"/>
      <c r="AF95" s="2408"/>
      <c r="AG95" s="2404"/>
      <c r="AH95" s="2404"/>
      <c r="AI95" s="2408"/>
      <c r="AJ95" s="2404"/>
      <c r="AK95" s="2404"/>
      <c r="AL95" s="1181"/>
      <c r="AM95" s="1864"/>
      <c r="AN95" s="1864"/>
      <c r="AO95" s="1864"/>
      <c r="AP95" s="1864"/>
      <c r="AQ95" s="1864"/>
      <c r="AR95" s="1864"/>
      <c r="AS95" s="1864"/>
      <c r="AT95" s="1864"/>
      <c r="AU95" s="1864"/>
      <c r="AV95" s="1864"/>
      <c r="AW95" s="1864"/>
      <c r="AX95" s="1864"/>
      <c r="AY95" s="1864"/>
      <c r="AZ95" s="1864"/>
      <c r="BA95" s="1864"/>
      <c r="BB95" s="1864"/>
      <c r="BC95" s="1864"/>
      <c r="BD95" s="1864"/>
      <c r="BE95" s="1864"/>
      <c r="BF95" s="1864"/>
    </row>
    <row s="2993" customFormat="1" customHeight="1" ht="11.25">
      <c r="A96" s="1174"/>
      <c r="B96" s="1174"/>
      <c r="C96" s="1174"/>
      <c r="D96" s="1168"/>
      <c r="E96" s="1178"/>
      <c r="F96" s="1870"/>
      <c r="G96" s="1871"/>
      <c r="H96" s="2356"/>
      <c r="I96" s="2410"/>
      <c r="J96" s="2334"/>
      <c r="K96" s="2411"/>
      <c r="L96" s="2404"/>
      <c r="M96" s="1982"/>
      <c r="N96" s="2412"/>
      <c r="O96" s="2369"/>
      <c r="P96" s="2366"/>
      <c r="Q96" s="2367"/>
      <c r="R96" s="2367"/>
      <c r="S96" s="2409"/>
      <c r="T96" s="2367"/>
      <c r="U96" s="2367"/>
      <c r="V96" s="2367"/>
      <c r="W96" s="2367"/>
      <c r="X96" s="2367"/>
      <c r="Y96" s="2367"/>
      <c r="Z96" s="1184"/>
      <c r="AA96" s="1185"/>
      <c r="AB96" s="1259" t="s">
        <v>1378</v>
      </c>
      <c r="AC96" s="1189"/>
      <c r="AD96" s="1189"/>
      <c r="AE96" s="1191"/>
      <c r="AF96" s="2408"/>
      <c r="AG96" s="2404"/>
      <c r="AH96" s="2404"/>
      <c r="AI96" s="2408"/>
      <c r="AJ96" s="2404"/>
      <c r="AK96" s="2404"/>
      <c r="AL96" s="1181"/>
      <c r="AM96" s="1864"/>
      <c r="AN96" s="1864"/>
      <c r="AO96" s="1864"/>
      <c r="AP96" s="1864"/>
      <c r="AQ96" s="1864"/>
      <c r="AR96" s="1864"/>
      <c r="AS96" s="1864"/>
      <c r="AT96" s="1864"/>
      <c r="AU96" s="1864"/>
      <c r="AV96" s="1864"/>
      <c r="AW96" s="1864"/>
      <c r="AX96" s="1864"/>
      <c r="AY96" s="1864"/>
      <c r="AZ96" s="1864"/>
      <c r="BA96" s="1864"/>
      <c r="BB96" s="1864"/>
      <c r="BC96" s="1864"/>
      <c r="BD96" s="1864"/>
      <c r="BE96" s="1864"/>
      <c r="BF96" s="1864"/>
    </row>
    <row s="2993" customFormat="1" customHeight="1" ht="11.25">
      <c r="A97" s="1174"/>
      <c r="B97" s="1174"/>
      <c r="C97" s="1174"/>
      <c r="D97" s="1168"/>
      <c r="E97" s="1178"/>
      <c r="F97" s="1870"/>
      <c r="G97" s="1871"/>
      <c r="H97" s="2356"/>
      <c r="I97" s="2410"/>
      <c r="J97" s="2334"/>
      <c r="K97" s="2411"/>
      <c r="L97" s="2404"/>
      <c r="M97" s="1982"/>
      <c r="N97" s="1185"/>
      <c r="O97" s="1185"/>
      <c r="P97" s="1176" t="s">
        <v>1379</v>
      </c>
      <c r="Q97" s="1185"/>
      <c r="R97" s="1185"/>
      <c r="S97" s="1185"/>
      <c r="T97" s="1185"/>
      <c r="U97" s="1185"/>
      <c r="V97" s="1185"/>
      <c r="W97" s="1185"/>
      <c r="X97" s="1185"/>
      <c r="Y97" s="1185"/>
      <c r="Z97" s="1185"/>
      <c r="AA97" s="1185"/>
      <c r="AB97" s="1185"/>
      <c r="AC97" s="1185"/>
      <c r="AD97" s="1185"/>
      <c r="AE97" s="1192"/>
      <c r="AF97" s="2408"/>
      <c r="AG97" s="2404"/>
      <c r="AH97" s="2404"/>
      <c r="AI97" s="2408"/>
      <c r="AJ97" s="2404"/>
      <c r="AK97" s="2404"/>
      <c r="AL97" s="1181"/>
      <c r="AM97" s="1864"/>
      <c r="AN97" s="1864"/>
      <c r="AO97" s="1864"/>
      <c r="AP97" s="1864"/>
      <c r="AQ97" s="1864"/>
      <c r="AR97" s="1864"/>
      <c r="AS97" s="1864"/>
      <c r="AT97" s="1864"/>
      <c r="AU97" s="1864"/>
      <c r="AV97" s="1864"/>
      <c r="AW97" s="1864"/>
      <c r="AX97" s="1864"/>
      <c r="AY97" s="1864"/>
      <c r="AZ97" s="1864"/>
      <c r="BA97" s="1864"/>
      <c r="BB97" s="1864"/>
      <c r="BC97" s="1864"/>
      <c r="BD97" s="1864"/>
      <c r="BE97" s="1864"/>
      <c r="BF97" s="1864"/>
    </row>
    <row r="99" s="13133" customFormat="1" customHeight="1" ht="11.25">
      <c r="A99" s="1856" t="s">
        <v>1384</v>
      </c>
    </row>
    <row customHeight="1" ht="17.25"/>
    <row s="12745" customFormat="1" customHeight="1" ht="21">
      <c r="A101" s="1175"/>
      <c r="B101" s="946"/>
      <c r="D101" s="930"/>
      <c r="E101" s="945" t="s">
        <v>24</v>
      </c>
      <c r="F101" s="1129">
        <f>INDEX(IP_MAIN_LIST_NAME_IP,MATCH(A101,IP_MAIN_LIST_IP_ID,0))&amp;" ("&amp;INDEX(IP_MAIN_START_DATE,MATCH(A101,IP_MAIN_LIST_IP_ID,0))&amp;"-"&amp;INDEX(IP_MAIN_END_DATE,MATCH(A101,IP_MAIN_LIST_IP_ID,0))&amp;")"</f>
      </c>
      <c r="G101" s="1213"/>
      <c r="H101" s="1214"/>
      <c r="I101" s="1214"/>
      <c r="J101" s="1214"/>
      <c r="K101" s="1214"/>
      <c r="L101" s="1214"/>
      <c r="M101" s="1214"/>
      <c r="N101" s="1214"/>
      <c r="O101" s="1213"/>
      <c r="P101" s="1213"/>
      <c r="Q101" s="1213"/>
      <c r="R101" s="1213"/>
      <c r="S101" s="1213"/>
      <c r="T101" s="1213"/>
      <c r="U101" s="1215"/>
      <c r="V101" s="1215"/>
      <c r="W101" s="1215"/>
      <c r="X101" s="1215"/>
      <c r="Y101" s="1215"/>
      <c r="Z101" s="1215"/>
      <c r="AA101" s="1215"/>
      <c r="AB101" s="1213"/>
      <c r="AC101" s="1214"/>
      <c r="AD101" s="1214"/>
      <c r="AE101" s="1214"/>
      <c r="AF101" s="1214"/>
      <c r="AG101" s="1214"/>
      <c r="AH101" s="1214"/>
      <c r="AI101" s="1214"/>
      <c r="AJ101" s="1214"/>
      <c r="AK101" s="1214"/>
      <c r="AL101" s="1214"/>
      <c r="AM101" s="1214"/>
      <c r="AN101" s="1214"/>
      <c r="AO101" s="1214"/>
      <c r="AP101" s="1214"/>
      <c r="AQ101" s="1214"/>
      <c r="AR101" s="1214"/>
      <c r="AS101" s="1214"/>
      <c r="AT101" s="1214"/>
      <c r="AU101" s="1214"/>
      <c r="AV101" s="1214"/>
      <c r="AW101" s="1214"/>
      <c r="AX101" s="1214"/>
      <c r="AY101" s="1214"/>
      <c r="AZ101" s="1214"/>
      <c r="BA101" s="1214"/>
      <c r="BB101" s="1214"/>
      <c r="BC101" s="1214"/>
      <c r="BD101" s="1214"/>
      <c r="BE101" s="1214"/>
      <c r="BF101" s="1214"/>
      <c r="BG101" s="1214"/>
      <c r="BH101" s="1214"/>
      <c r="BI101" s="1214"/>
      <c r="BJ101" s="1214"/>
      <c r="BK101" s="1214"/>
      <c r="BL101" s="1214"/>
      <c r="BM101" s="1214"/>
      <c r="BN101" s="1214"/>
      <c r="BO101" s="1214"/>
      <c r="BP101" s="1214"/>
      <c r="BQ101" s="1214"/>
      <c r="BR101" s="1214"/>
      <c r="BS101" s="1214"/>
      <c r="BT101" s="1214"/>
      <c r="BU101" s="1214"/>
      <c r="BV101" s="1214"/>
      <c r="BW101" s="1214"/>
      <c r="BX101" s="1214"/>
      <c r="BY101" s="1214"/>
      <c r="BZ101" s="1214"/>
      <c r="CA101" s="1214"/>
      <c r="CB101" s="1214"/>
      <c r="CC101" s="1214"/>
      <c r="CD101" s="1214"/>
      <c r="CE101" s="1214"/>
      <c r="CF101" s="1214"/>
      <c r="CG101" s="1214"/>
      <c r="CH101" s="1214"/>
      <c r="CI101" s="1214"/>
      <c r="CJ101" s="1214"/>
      <c r="CK101" s="1214"/>
      <c r="CL101" s="1216"/>
      <c r="CM101" s="1216"/>
      <c r="CN101" s="1216"/>
      <c r="CO101" s="1216"/>
      <c r="CP101" s="1216"/>
      <c r="CQ101" s="1216"/>
      <c r="CR101" s="1216"/>
      <c r="CS101" s="1216"/>
      <c r="CT101" s="1216"/>
      <c r="CU101" s="1216"/>
      <c r="CV101" s="1216"/>
      <c r="CW101" s="1216"/>
      <c r="CX101" s="1216"/>
      <c r="CY101" s="1216"/>
      <c r="CZ101" s="1216"/>
      <c r="DA101" s="1216"/>
      <c r="DB101" s="1216"/>
      <c r="DC101" s="1216"/>
      <c r="DD101" s="1216"/>
      <c r="DE101" s="1216"/>
      <c r="DF101" s="1216"/>
      <c r="DG101" s="1216"/>
      <c r="DH101" s="1216"/>
      <c r="DI101" s="1216"/>
      <c r="DJ101" s="1216"/>
      <c r="DK101" s="1216"/>
      <c r="DL101" s="1216"/>
      <c r="DM101" s="1216"/>
      <c r="DN101" s="1216"/>
      <c r="DO101" s="1216"/>
      <c r="DP101" s="1216"/>
      <c r="DQ101" s="1216"/>
      <c r="DR101" s="1216"/>
      <c r="DS101" s="1216"/>
      <c r="DT101" s="1216"/>
      <c r="DU101" s="1216"/>
      <c r="DV101" s="1216"/>
      <c r="DW101" s="1216"/>
      <c r="DX101" s="1216"/>
      <c r="DY101" s="1216"/>
      <c r="DZ101" s="1216"/>
      <c r="EA101" s="1216"/>
      <c r="EB101" s="1216"/>
      <c r="EC101" s="1216"/>
      <c r="ED101" s="1216"/>
      <c r="EE101" s="1216"/>
      <c r="EF101" s="1216"/>
      <c r="EG101" s="1216"/>
      <c r="EH101" s="1216"/>
      <c r="EI101" s="1216"/>
      <c r="EJ101" s="1216"/>
      <c r="EK101" s="1216"/>
      <c r="EL101" s="1216"/>
      <c r="EM101" s="1216"/>
      <c r="EN101" s="1216"/>
      <c r="EO101" s="1216"/>
      <c r="EP101" s="1216"/>
      <c r="EQ101" s="1216"/>
      <c r="ER101" s="1216"/>
      <c r="ES101" s="1216"/>
      <c r="ET101" s="1216"/>
      <c r="EU101" s="1216"/>
      <c r="EV101" s="1216"/>
      <c r="EW101" s="1216"/>
      <c r="EX101" s="1216"/>
      <c r="EY101" s="1216"/>
      <c r="EZ101" s="1216"/>
      <c r="FA101" s="1216"/>
      <c r="FB101" s="1216"/>
      <c r="FC101" s="1216"/>
      <c r="FD101" s="1216"/>
      <c r="FE101" s="1216"/>
      <c r="FF101" s="1216"/>
      <c r="FG101" s="1216"/>
      <c r="FH101" s="1216"/>
      <c r="FI101" s="1216"/>
      <c r="FJ101" s="1216"/>
      <c r="FK101" s="1216"/>
      <c r="FL101" s="1216"/>
      <c r="FM101" s="1216"/>
      <c r="FN101" s="1216"/>
      <c r="FO101" s="1216"/>
      <c r="FP101" s="1216"/>
      <c r="FQ101" s="1216"/>
      <c r="FR101" s="1216"/>
      <c r="FS101" s="1216"/>
      <c r="FT101" s="1216"/>
      <c r="FU101" s="1216"/>
      <c r="FV101" s="1217"/>
      <c r="FW101" s="1211"/>
      <c r="FX101" s="1212"/>
    </row>
    <row s="12745" customFormat="1" customHeight="1" ht="24.75">
      <c r="B102" s="929"/>
      <c r="C102" s="930"/>
      <c r="D102" s="930"/>
      <c r="E102" s="1876"/>
      <c r="F102" s="1218">
        <v>1</v>
      </c>
      <c r="G102" s="1219"/>
      <c r="H102" s="1220"/>
      <c r="I102" s="1228"/>
      <c r="J102" s="1221"/>
      <c r="K102" s="1221"/>
      <c r="L102" s="1221"/>
      <c r="M102" s="1221"/>
      <c r="N102" s="1221"/>
      <c r="O102" s="1222"/>
      <c r="P102" s="1222"/>
      <c r="Q102" s="1222"/>
      <c r="R102" s="1222"/>
      <c r="S102" s="1222"/>
      <c r="T102" s="1222"/>
      <c r="U102" s="1222"/>
      <c r="V102" s="1222"/>
      <c r="W102" s="1222"/>
      <c r="X102" s="1222"/>
      <c r="Y102" s="1222"/>
      <c r="Z102" s="1222"/>
      <c r="AA102" s="1222"/>
      <c r="AB102" s="1222"/>
      <c r="AC102" s="1221"/>
      <c r="AD102" s="1221"/>
      <c r="AE102" s="1221"/>
      <c r="AF102" s="1221"/>
      <c r="AG102" s="1221"/>
      <c r="AH102" s="1221"/>
      <c r="AI102" s="1221"/>
      <c r="AJ102" s="1221"/>
      <c r="AK102" s="1221"/>
      <c r="AL102" s="1221"/>
      <c r="AM102" s="1221"/>
      <c r="AN102" s="1221"/>
      <c r="AO102" s="1221"/>
      <c r="AP102" s="1221"/>
      <c r="AQ102" s="1221"/>
      <c r="AR102" s="1221"/>
      <c r="AS102" s="1221"/>
      <c r="AT102" s="1221"/>
      <c r="AU102" s="1221"/>
      <c r="AV102" s="1221"/>
      <c r="AW102" s="1221"/>
      <c r="AX102" s="1221"/>
      <c r="AY102" s="1221"/>
      <c r="AZ102" s="1221"/>
      <c r="BA102" s="1221"/>
      <c r="BB102" s="1221"/>
      <c r="BC102" s="1221"/>
      <c r="BD102" s="1221"/>
      <c r="BE102" s="1221"/>
      <c r="BF102" s="1221"/>
      <c r="BG102" s="1221"/>
      <c r="BH102" s="1221"/>
      <c r="BI102" s="1221"/>
      <c r="BJ102" s="1221"/>
      <c r="BK102" s="1221"/>
      <c r="BL102" s="1221"/>
      <c r="BM102" s="1221"/>
      <c r="BN102" s="1221"/>
      <c r="BO102" s="1221"/>
      <c r="BP102" s="1221"/>
      <c r="BQ102" s="1221"/>
      <c r="BR102" s="1221"/>
      <c r="BS102" s="1221"/>
      <c r="BT102" s="1223"/>
      <c r="BU102" s="1223"/>
      <c r="BV102" s="1223"/>
      <c r="BW102" s="1223"/>
      <c r="BX102" s="1223"/>
      <c r="BY102" s="1223"/>
      <c r="BZ102" s="1223"/>
      <c r="CA102" s="1223"/>
      <c r="CB102" s="1223"/>
      <c r="CC102" s="1223"/>
      <c r="CD102" s="1223"/>
      <c r="CE102" s="1223"/>
      <c r="CF102" s="1223"/>
      <c r="CG102" s="1223"/>
      <c r="CH102" s="1223"/>
      <c r="CI102" s="1223"/>
      <c r="CJ102" s="1223"/>
      <c r="CK102" s="1223"/>
      <c r="CL102" s="1221"/>
      <c r="CM102" s="1221"/>
      <c r="CN102" s="1221"/>
      <c r="CO102" s="1221"/>
      <c r="CP102" s="1221"/>
      <c r="CQ102" s="1221"/>
      <c r="CR102" s="1221"/>
      <c r="CS102" s="1221"/>
      <c r="CT102" s="1221"/>
      <c r="CU102" s="1221"/>
      <c r="CV102" s="1221"/>
      <c r="CW102" s="1221"/>
      <c r="CX102" s="1221"/>
      <c r="CY102" s="1222"/>
      <c r="CZ102" s="1222"/>
      <c r="DA102" s="1222"/>
      <c r="DB102" s="1222"/>
      <c r="DC102" s="1222"/>
      <c r="DD102" s="1222"/>
      <c r="DE102" s="1222"/>
      <c r="DF102" s="1222"/>
      <c r="DG102" s="1222"/>
      <c r="DH102" s="1222"/>
      <c r="DI102" s="1222"/>
      <c r="DJ102" s="1222"/>
      <c r="DK102" s="1221"/>
      <c r="DL102" s="1221"/>
      <c r="DM102" s="1221"/>
      <c r="DN102" s="1221"/>
      <c r="DO102" s="1221"/>
      <c r="DP102" s="1221"/>
      <c r="DQ102" s="1221"/>
      <c r="DR102" s="1221"/>
      <c r="DS102" s="1221"/>
      <c r="DT102" s="1221"/>
      <c r="DU102" s="1221"/>
      <c r="DV102" s="1221"/>
      <c r="DW102" s="1221"/>
      <c r="DX102" s="1221"/>
      <c r="DY102" s="1221"/>
      <c r="DZ102" s="1221"/>
      <c r="EA102" s="1221"/>
      <c r="EB102" s="1221"/>
      <c r="EC102" s="1221"/>
      <c r="ED102" s="1221"/>
      <c r="EE102" s="1221"/>
      <c r="EF102" s="1221"/>
      <c r="EG102" s="1221"/>
      <c r="EH102" s="1221"/>
      <c r="EI102" s="1221"/>
      <c r="EJ102" s="1221"/>
      <c r="EK102" s="1221"/>
      <c r="EL102" s="1221"/>
      <c r="EM102" s="1221"/>
      <c r="EN102" s="1221"/>
      <c r="EO102" s="1221"/>
      <c r="EP102" s="1221"/>
      <c r="EQ102" s="1221"/>
      <c r="ER102" s="1221"/>
      <c r="ES102" s="1221"/>
      <c r="ET102" s="1221"/>
      <c r="EU102" s="1221"/>
      <c r="EV102" s="1221"/>
      <c r="EW102" s="1221"/>
      <c r="EX102" s="1221"/>
      <c r="EY102" s="1221"/>
      <c r="EZ102" s="1221"/>
      <c r="FA102" s="1221"/>
      <c r="FB102" s="1221"/>
      <c r="FC102" s="1221"/>
      <c r="FD102" s="1221"/>
      <c r="FE102" s="1221"/>
      <c r="FF102" s="1221"/>
      <c r="FG102" s="1221"/>
      <c r="FH102" s="1221"/>
      <c r="FI102" s="1221"/>
      <c r="FJ102" s="1221"/>
      <c r="FK102" s="1221"/>
      <c r="FL102" s="1221"/>
      <c r="FM102" s="1221"/>
      <c r="FN102" s="1221"/>
      <c r="FO102" s="1221"/>
      <c r="FP102" s="1221"/>
      <c r="FQ102" s="1221"/>
      <c r="FR102" s="1221"/>
      <c r="FS102" s="1221"/>
      <c r="FT102" s="1221"/>
      <c r="FU102" s="1221"/>
      <c r="FV102" s="1221"/>
      <c r="FW102" s="1221"/>
      <c r="FX102" s="1212"/>
    </row>
    <row s="12745" customFormat="1" customHeight="1" ht="12">
      <c r="A103" s="930"/>
      <c r="B103" s="929"/>
      <c r="C103" s="930"/>
      <c r="D103" s="930"/>
      <c r="E103" s="930"/>
      <c r="F103" s="1224"/>
      <c r="G103" s="1841" t="s">
        <v>1385</v>
      </c>
      <c r="H103" s="1225"/>
      <c r="I103" s="1225"/>
      <c r="J103" s="1225"/>
      <c r="K103" s="1225"/>
      <c r="L103" s="1225"/>
      <c r="M103" s="1225"/>
      <c r="N103" s="1225"/>
      <c r="O103" s="1225"/>
      <c r="P103" s="1225"/>
      <c r="Q103" s="1225"/>
      <c r="R103" s="1225"/>
      <c r="S103" s="1225"/>
      <c r="T103" s="1225"/>
      <c r="U103" s="1225"/>
      <c r="V103" s="1225"/>
      <c r="W103" s="1225"/>
      <c r="X103" s="1225"/>
      <c r="Y103" s="1225"/>
      <c r="Z103" s="1225"/>
      <c r="AA103" s="1225"/>
      <c r="AB103" s="1225"/>
      <c r="AC103" s="1225"/>
      <c r="AD103" s="1225"/>
      <c r="AE103" s="1225"/>
      <c r="AF103" s="1225"/>
      <c r="AG103" s="1225"/>
      <c r="AH103" s="1225"/>
      <c r="AI103" s="1225"/>
      <c r="AJ103" s="1225"/>
      <c r="AK103" s="1225"/>
      <c r="AL103" s="1225"/>
      <c r="AM103" s="1225"/>
      <c r="AN103" s="1225"/>
      <c r="AO103" s="1225"/>
      <c r="AP103" s="1225"/>
      <c r="AQ103" s="1225"/>
      <c r="AR103" s="1225"/>
      <c r="AS103" s="1225"/>
      <c r="AT103" s="1225"/>
      <c r="AU103" s="1225"/>
      <c r="AV103" s="1225"/>
      <c r="AW103" s="1225"/>
      <c r="AX103" s="1225"/>
      <c r="AY103" s="1225"/>
      <c r="AZ103" s="1225"/>
      <c r="BA103" s="1225"/>
      <c r="BB103" s="1225"/>
      <c r="BC103" s="1225"/>
      <c r="BD103" s="1225"/>
      <c r="BE103" s="1225"/>
      <c r="BF103" s="1225"/>
      <c r="BG103" s="1225"/>
      <c r="BH103" s="1225"/>
      <c r="BI103" s="1225"/>
      <c r="BJ103" s="1225"/>
      <c r="BK103" s="1225"/>
      <c r="BL103" s="1225"/>
      <c r="BM103" s="1225"/>
      <c r="BN103" s="1225"/>
      <c r="BO103" s="1225"/>
      <c r="BP103" s="1225"/>
      <c r="BQ103" s="1225"/>
      <c r="BR103" s="1225"/>
      <c r="BS103" s="1225"/>
      <c r="BT103" s="1225"/>
      <c r="BU103" s="1225"/>
      <c r="BV103" s="1225"/>
      <c r="BW103" s="1225"/>
      <c r="BX103" s="1225"/>
      <c r="BY103" s="1225"/>
      <c r="BZ103" s="1225"/>
      <c r="CA103" s="1225"/>
      <c r="CB103" s="1225"/>
      <c r="CC103" s="1225"/>
      <c r="CD103" s="1225"/>
      <c r="CE103" s="1225"/>
      <c r="CF103" s="1225"/>
      <c r="CG103" s="1225"/>
      <c r="CH103" s="1225"/>
      <c r="CI103" s="1225"/>
      <c r="CJ103" s="1225"/>
      <c r="CK103" s="1225"/>
      <c r="CL103" s="1225"/>
      <c r="CM103" s="1225"/>
      <c r="CN103" s="1225"/>
      <c r="CO103" s="1225"/>
      <c r="CP103" s="1225"/>
      <c r="CQ103" s="1225"/>
      <c r="CR103" s="1225"/>
      <c r="CS103" s="1225"/>
      <c r="CT103" s="1225"/>
      <c r="CU103" s="1225"/>
      <c r="CV103" s="1225"/>
      <c r="CW103" s="1225"/>
      <c r="CX103" s="1225"/>
      <c r="CY103" s="1225"/>
      <c r="CZ103" s="1225"/>
      <c r="DA103" s="1225"/>
      <c r="DB103" s="1225"/>
      <c r="DC103" s="1225"/>
      <c r="DD103" s="1225"/>
      <c r="DE103" s="1225"/>
      <c r="DF103" s="1225"/>
      <c r="DG103" s="1225"/>
      <c r="DH103" s="1225"/>
      <c r="DI103" s="1225"/>
      <c r="DJ103" s="1225"/>
      <c r="DK103" s="1225"/>
      <c r="DL103" s="1225"/>
      <c r="DM103" s="1225"/>
      <c r="DN103" s="1225"/>
      <c r="DO103" s="1225"/>
      <c r="DP103" s="1225"/>
      <c r="DQ103" s="1225"/>
      <c r="DR103" s="1225"/>
      <c r="DS103" s="1225"/>
      <c r="DT103" s="1225"/>
      <c r="DU103" s="1225"/>
      <c r="DV103" s="1225"/>
      <c r="DW103" s="1225"/>
      <c r="DX103" s="1225"/>
      <c r="DY103" s="1225"/>
      <c r="DZ103" s="1225"/>
      <c r="EA103" s="1225"/>
      <c r="EB103" s="1225"/>
      <c r="EC103" s="1225"/>
      <c r="ED103" s="1225"/>
      <c r="EE103" s="1225"/>
      <c r="EF103" s="1225"/>
      <c r="EG103" s="1225"/>
      <c r="EH103" s="1225"/>
      <c r="EI103" s="1225"/>
      <c r="EJ103" s="1225"/>
      <c r="EK103" s="1225"/>
      <c r="EL103" s="1225"/>
      <c r="EM103" s="1225"/>
      <c r="EN103" s="1225"/>
      <c r="EO103" s="1225"/>
      <c r="EP103" s="1225"/>
      <c r="EQ103" s="1225"/>
      <c r="ER103" s="1225"/>
      <c r="ES103" s="1225"/>
      <c r="ET103" s="1225"/>
      <c r="EU103" s="1225"/>
      <c r="EV103" s="1225"/>
      <c r="EW103" s="1225"/>
      <c r="EX103" s="1225"/>
      <c r="EY103" s="1225"/>
      <c r="EZ103" s="1225"/>
      <c r="FA103" s="1225"/>
      <c r="FB103" s="1225"/>
      <c r="FC103" s="1225"/>
      <c r="FD103" s="1225"/>
      <c r="FE103" s="1225"/>
      <c r="FF103" s="1225"/>
      <c r="FG103" s="1225"/>
      <c r="FH103" s="1225"/>
      <c r="FI103" s="1225"/>
      <c r="FJ103" s="1225"/>
      <c r="FK103" s="1225"/>
      <c r="FL103" s="1225"/>
      <c r="FM103" s="1225"/>
      <c r="FN103" s="1225"/>
      <c r="FO103" s="1225"/>
      <c r="FP103" s="1225"/>
      <c r="FQ103" s="1225"/>
      <c r="FR103" s="1225"/>
      <c r="FS103" s="1225"/>
      <c r="FT103" s="1225"/>
      <c r="FU103" s="1225"/>
      <c r="FV103" s="1225"/>
      <c r="FW103" s="1226"/>
      <c r="FX103" s="1227"/>
      <c r="FY103" s="947"/>
      <c r="FZ103" s="947"/>
      <c r="GA103" s="947"/>
      <c r="GB103" s="947"/>
    </row>
    <row r="105" s="13133" customFormat="1" customHeight="1" ht="11.25">
      <c r="A105" s="1856" t="s">
        <v>1386</v>
      </c>
    </row>
    <row r="107" s="2666" customFormat="1" customHeight="1" ht="15">
      <c r="A107" s="629"/>
      <c r="B107" s="630"/>
      <c r="C107" s="630"/>
      <c r="D107" s="2361" t="s">
        <v>193</v>
      </c>
      <c r="E107" s="2225" t="s">
        <v>189</v>
      </c>
      <c r="F107" s="2226"/>
      <c r="G107" s="2227"/>
      <c r="H107" s="2220" t="str">
        <f>IF(A107="","",INDEX(DIFFERENTIATION_UNMERGE_VD,MATCH(A107,DIFFERENTIATION_ID_DIFF,0)))</f>
        <v/>
      </c>
      <c r="I107" s="2220"/>
      <c r="J107" s="2220"/>
      <c r="K107" s="2220"/>
      <c r="L107" s="2220"/>
      <c r="M107" s="2220"/>
      <c r="N107" s="2220"/>
      <c r="O107" s="2220"/>
      <c r="P107" s="2220"/>
      <c r="Q107" s="2220"/>
      <c r="R107" s="2220"/>
      <c r="S107" s="725"/>
      <c r="T107" s="722"/>
      <c r="U107" s="631"/>
      <c r="V107" s="631"/>
      <c r="W107" s="632"/>
      <c r="X107" s="632"/>
      <c r="Y107" s="632"/>
      <c r="Z107" s="632"/>
      <c r="AA107" s="633"/>
      <c r="AB107" s="634"/>
      <c r="AC107" s="2224"/>
      <c r="AD107" s="635"/>
      <c r="AE107" s="636" t="s">
        <v>24</v>
      </c>
      <c r="AF107" s="636"/>
      <c r="AG107" s="637" t="s">
        <v>816</v>
      </c>
      <c r="AH107" s="638">
        <v>3</v>
      </c>
      <c r="AI107" s="631"/>
      <c r="AJ107" s="631"/>
      <c r="AK107" s="631"/>
      <c r="AL107" s="631"/>
      <c r="AM107" s="631"/>
      <c r="AN107" s="631"/>
      <c r="AO107" s="631"/>
      <c r="AP107" s="631"/>
      <c r="AQ107" s="631"/>
      <c r="AR107" s="631"/>
      <c r="AS107" s="631"/>
      <c r="AT107" s="631"/>
      <c r="AU107" s="631"/>
      <c r="AV107" s="631"/>
      <c r="AW107" s="631"/>
      <c r="AX107" s="631"/>
      <c r="AY107" s="631"/>
      <c r="AZ107" s="631"/>
      <c r="BA107" s="631"/>
      <c r="BB107" s="631"/>
      <c r="BC107" s="631"/>
      <c r="BD107" s="631"/>
      <c r="BE107" s="631"/>
      <c r="BF107" s="631"/>
      <c r="BG107" s="631"/>
      <c r="BH107" s="631"/>
      <c r="BI107" s="631"/>
      <c r="BJ107" s="631"/>
      <c r="BK107" s="631"/>
      <c r="BL107" s="631"/>
      <c r="BM107" s="631"/>
      <c r="BN107" s="631"/>
      <c r="BO107" s="631"/>
      <c r="BP107" s="631"/>
      <c r="BQ107" s="631"/>
      <c r="BR107" s="631"/>
      <c r="BS107" s="631"/>
      <c r="BT107" s="631"/>
      <c r="BU107" s="631"/>
      <c r="BV107" s="632"/>
      <c r="BW107" s="632"/>
      <c r="BX107" s="632"/>
      <c r="BY107" s="632"/>
      <c r="BZ107" s="632"/>
      <c r="CA107" s="632"/>
      <c r="CB107" s="632"/>
      <c r="CC107" s="632"/>
      <c r="CD107" s="632"/>
      <c r="CE107" s="632"/>
    </row>
    <row s="2666" customFormat="1" customHeight="1" ht="15">
      <c r="A108" s="629"/>
      <c r="B108" s="630"/>
      <c r="C108" s="630"/>
      <c r="D108" s="2362"/>
      <c r="E108" s="2225" t="s">
        <v>771</v>
      </c>
      <c r="F108" s="2226"/>
      <c r="G108" s="2227"/>
      <c r="H108" s="2220" t="str">
        <f>IF(A107="","",INDEX(DIFFERENTIATION_UNMERGE_AREA,MATCH(A107,DIFFERENTIATION_ID_DIFF,0)))</f>
        <v/>
      </c>
      <c r="I108" s="2220"/>
      <c r="J108" s="2220"/>
      <c r="K108" s="2220"/>
      <c r="L108" s="2220"/>
      <c r="M108" s="2220"/>
      <c r="N108" s="2220"/>
      <c r="O108" s="2220"/>
      <c r="P108" s="2220"/>
      <c r="Q108" s="2220"/>
      <c r="R108" s="2220"/>
      <c r="S108" s="725"/>
      <c r="T108" s="722"/>
      <c r="U108" s="631"/>
      <c r="V108" s="631"/>
      <c r="W108" s="632"/>
      <c r="X108" s="632"/>
      <c r="Y108" s="632"/>
      <c r="Z108" s="632"/>
      <c r="AA108" s="633"/>
      <c r="AB108" s="634"/>
      <c r="AC108" s="2224"/>
      <c r="AD108" s="635"/>
      <c r="AE108" s="636"/>
      <c r="AF108" s="636"/>
      <c r="AG108" s="637"/>
      <c r="AH108" s="638"/>
      <c r="AI108" s="631"/>
      <c r="AJ108" s="631"/>
      <c r="AK108" s="631"/>
      <c r="AL108" s="631"/>
      <c r="AM108" s="631"/>
      <c r="AN108" s="631"/>
      <c r="AO108" s="631"/>
      <c r="AP108" s="631"/>
      <c r="AQ108" s="631"/>
      <c r="AR108" s="631"/>
      <c r="AS108" s="631"/>
      <c r="AT108" s="631"/>
      <c r="AU108" s="631"/>
      <c r="AV108" s="631"/>
      <c r="AW108" s="631"/>
      <c r="AX108" s="631"/>
      <c r="AY108" s="631"/>
      <c r="AZ108" s="631"/>
      <c r="BA108" s="631"/>
      <c r="BB108" s="631"/>
      <c r="BC108" s="631"/>
      <c r="BD108" s="631"/>
      <c r="BE108" s="631"/>
      <c r="BF108" s="631"/>
      <c r="BG108" s="631"/>
      <c r="BH108" s="631"/>
      <c r="BI108" s="631"/>
      <c r="BJ108" s="631"/>
      <c r="BK108" s="631"/>
      <c r="BL108" s="631"/>
      <c r="BM108" s="631"/>
      <c r="BN108" s="631"/>
      <c r="BO108" s="631"/>
      <c r="BP108" s="631"/>
      <c r="BQ108" s="631"/>
      <c r="BR108" s="631"/>
      <c r="BS108" s="631"/>
      <c r="BT108" s="631"/>
      <c r="BU108" s="631"/>
      <c r="BV108" s="632"/>
      <c r="BW108" s="632"/>
      <c r="BX108" s="632"/>
      <c r="BY108" s="632"/>
      <c r="BZ108" s="632"/>
      <c r="CA108" s="632"/>
      <c r="CB108" s="632"/>
      <c r="CC108" s="632"/>
      <c r="CD108" s="632"/>
      <c r="CE108" s="632"/>
    </row>
    <row s="2666" customFormat="1" customHeight="1" ht="15">
      <c r="A109" s="629"/>
      <c r="B109" s="630"/>
      <c r="C109" s="630"/>
      <c r="D109" s="2362"/>
      <c r="E109" s="2225" t="s">
        <v>772</v>
      </c>
      <c r="F109" s="2226"/>
      <c r="G109" s="2227"/>
      <c r="H109" s="2220" t="str">
        <f>IF(A107="","",INDEX(DIFFERENTIATION_UNMERGE_SYSTEM,MATCH(A107,DIFFERENTIATION_ID_DIFF,0)))</f>
        <v/>
      </c>
      <c r="I109" s="2220"/>
      <c r="J109" s="2220"/>
      <c r="K109" s="2220"/>
      <c r="L109" s="2220"/>
      <c r="M109" s="2220"/>
      <c r="N109" s="2220"/>
      <c r="O109" s="2220"/>
      <c r="P109" s="2220"/>
      <c r="Q109" s="2220"/>
      <c r="R109" s="2220"/>
      <c r="S109" s="725"/>
      <c r="T109" s="722"/>
      <c r="U109" s="631"/>
      <c r="V109" s="631"/>
      <c r="W109" s="632"/>
      <c r="X109" s="632"/>
      <c r="Y109" s="632"/>
      <c r="Z109" s="632"/>
      <c r="AA109" s="633"/>
      <c r="AB109" s="634"/>
      <c r="AC109" s="2224"/>
      <c r="AD109" s="635"/>
      <c r="AE109" s="636"/>
      <c r="AF109" s="636"/>
      <c r="AG109" s="637"/>
      <c r="AH109" s="638"/>
      <c r="AI109" s="631"/>
      <c r="AJ109" s="631"/>
      <c r="AK109" s="631"/>
      <c r="AL109" s="631"/>
      <c r="AM109" s="631"/>
      <c r="AN109" s="631"/>
      <c r="AO109" s="631"/>
      <c r="AP109" s="631"/>
      <c r="AQ109" s="631"/>
      <c r="AR109" s="631"/>
      <c r="AS109" s="631"/>
      <c r="AT109" s="631"/>
      <c r="AU109" s="631"/>
      <c r="AV109" s="631"/>
      <c r="AW109" s="631"/>
      <c r="AX109" s="631"/>
      <c r="AY109" s="631"/>
      <c r="AZ109" s="631"/>
      <c r="BA109" s="631"/>
      <c r="BB109" s="631"/>
      <c r="BC109" s="631"/>
      <c r="BD109" s="631"/>
      <c r="BE109" s="631"/>
      <c r="BF109" s="631"/>
      <c r="BG109" s="631"/>
      <c r="BH109" s="631"/>
      <c r="BI109" s="631"/>
      <c r="BJ109" s="631"/>
      <c r="BK109" s="631"/>
      <c r="BL109" s="631"/>
      <c r="BM109" s="631"/>
      <c r="BN109" s="631"/>
      <c r="BO109" s="631"/>
      <c r="BP109" s="631"/>
      <c r="BQ109" s="631"/>
      <c r="BR109" s="631"/>
      <c r="BS109" s="631"/>
      <c r="BT109" s="631"/>
      <c r="BU109" s="631"/>
      <c r="BV109" s="632"/>
      <c r="BW109" s="632"/>
      <c r="BX109" s="632"/>
      <c r="BY109" s="632"/>
      <c r="BZ109" s="632"/>
      <c r="CA109" s="632"/>
      <c r="CB109" s="632"/>
      <c r="CC109" s="632"/>
      <c r="CD109" s="632"/>
      <c r="CE109" s="632"/>
    </row>
    <row s="2666" customFormat="1" customHeight="1" ht="24.75">
      <c r="A110" s="1847"/>
      <c r="B110" s="1168"/>
      <c r="C110" s="418"/>
      <c r="D110" s="2362"/>
      <c r="E110" s="2222" t="s">
        <v>817</v>
      </c>
      <c r="F110" s="2222"/>
      <c r="G110" s="2222"/>
      <c r="H110" s="2222"/>
      <c r="I110" s="2222"/>
      <c r="J110" s="2222"/>
      <c r="K110" s="2222"/>
      <c r="L110" s="2222"/>
      <c r="M110" s="2222"/>
      <c r="N110" s="2222"/>
      <c r="O110" s="2222"/>
      <c r="P110" s="2222"/>
      <c r="Q110" s="564">
        <f>SUMIF(T111:T112,"i",Q111:Q112)</f>
        <v>0</v>
      </c>
      <c r="R110" s="1024"/>
      <c r="S110" s="1839" t="s">
        <v>818</v>
      </c>
      <c r="T110" s="723" t="s">
        <v>819</v>
      </c>
      <c r="U110" s="2223">
        <v>1</v>
      </c>
      <c r="V110" s="2223" t="s">
        <v>782</v>
      </c>
      <c r="W110" s="1168"/>
      <c r="X110" s="1168"/>
      <c r="Y110" s="1168"/>
      <c r="Z110" s="1168"/>
      <c r="AA110" s="1676"/>
      <c r="AB110" s="1168"/>
      <c r="AC110" s="2224"/>
      <c r="AD110" s="635"/>
      <c r="AE110" s="1168"/>
      <c r="AF110" s="1168"/>
      <c r="AG110" s="1676"/>
      <c r="AH110" s="1676"/>
      <c r="AI110" s="1676"/>
      <c r="AJ110" s="1676"/>
      <c r="AK110" s="1676"/>
      <c r="AL110" s="1676"/>
      <c r="AM110" s="1676"/>
      <c r="AN110" s="1676"/>
      <c r="AO110" s="1676"/>
      <c r="AP110" s="1676"/>
      <c r="AQ110" s="1676"/>
      <c r="AR110" s="1676"/>
      <c r="AS110" s="1676"/>
      <c r="AT110" s="1676"/>
      <c r="AU110" s="1676"/>
      <c r="AV110" s="1676"/>
      <c r="AW110" s="1676"/>
      <c r="AX110" s="1676"/>
      <c r="AY110" s="1676"/>
      <c r="AZ110" s="1676"/>
      <c r="BA110" s="1676"/>
      <c r="BB110" s="1676"/>
      <c r="BC110" s="1676"/>
      <c r="BD110" s="1676"/>
      <c r="BE110" s="1676"/>
      <c r="BF110" s="1676"/>
      <c r="BG110" s="1676"/>
      <c r="BH110" s="1676"/>
      <c r="BI110" s="1676"/>
      <c r="BJ110" s="1676"/>
      <c r="BK110" s="1676"/>
      <c r="BL110" s="1676"/>
      <c r="BM110" s="1676"/>
      <c r="BN110" s="1676"/>
      <c r="BO110" s="1676"/>
      <c r="BP110" s="1676"/>
      <c r="BQ110" s="1676"/>
      <c r="BR110" s="1676"/>
      <c r="BS110" s="1676"/>
      <c r="BT110" s="1676"/>
      <c r="BU110" s="1676"/>
      <c r="BV110" s="1168"/>
      <c r="BW110" s="1168"/>
      <c r="BX110" s="1168"/>
      <c r="BY110" s="1168"/>
      <c r="BZ110" s="1168"/>
      <c r="CA110" s="1168"/>
      <c r="CB110" s="1168"/>
      <c r="CC110" s="1168"/>
      <c r="CD110" s="1168"/>
      <c r="CE110" s="1168"/>
    </row>
    <row s="2666" customFormat="1" customHeight="1" ht="11.25" hidden="1">
      <c r="A111" s="1834"/>
      <c r="B111" s="1676"/>
      <c r="C111" s="1676"/>
      <c r="D111" s="2362"/>
      <c r="E111" s="641"/>
      <c r="F111" s="641">
        <v>0</v>
      </c>
      <c r="G111" s="641"/>
      <c r="H111" s="641"/>
      <c r="I111" s="641"/>
      <c r="J111" s="641"/>
      <c r="K111" s="641"/>
      <c r="L111" s="641"/>
      <c r="M111" s="641"/>
      <c r="N111" s="641"/>
      <c r="O111" s="641"/>
      <c r="P111" s="641"/>
      <c r="Q111" s="641"/>
      <c r="R111" s="641"/>
      <c r="S111" s="642"/>
      <c r="T111" s="724"/>
      <c r="U111" s="2223"/>
      <c r="V111" s="2223"/>
      <c r="W111" s="1676"/>
      <c r="X111" s="1676"/>
      <c r="Y111" s="1676"/>
      <c r="Z111" s="1676"/>
      <c r="AA111" s="1676"/>
      <c r="AB111" s="1168"/>
      <c r="AC111" s="2224"/>
      <c r="AD111" s="635"/>
      <c r="AE111" s="1168"/>
      <c r="AF111" s="1168"/>
      <c r="AG111" s="1676"/>
      <c r="AH111" s="1676"/>
      <c r="AI111" s="1676"/>
      <c r="AJ111" s="1676"/>
      <c r="AK111" s="1676"/>
      <c r="AL111" s="1676"/>
      <c r="AM111" s="1676"/>
      <c r="AN111" s="1676"/>
      <c r="AO111" s="1676"/>
      <c r="AP111" s="1676"/>
      <c r="AQ111" s="1676"/>
      <c r="AR111" s="1676"/>
      <c r="AS111" s="1676"/>
      <c r="AT111" s="1676"/>
      <c r="AU111" s="1676"/>
      <c r="AV111" s="1676"/>
      <c r="AW111" s="1676"/>
      <c r="AX111" s="1676"/>
      <c r="AY111" s="1676"/>
      <c r="AZ111" s="1676"/>
      <c r="BA111" s="1676"/>
      <c r="BB111" s="1676"/>
      <c r="BC111" s="1676"/>
      <c r="BD111" s="1676"/>
      <c r="BE111" s="1676"/>
      <c r="BF111" s="1676"/>
      <c r="BG111" s="1676"/>
      <c r="BH111" s="1676"/>
      <c r="BI111" s="1676"/>
      <c r="BJ111" s="1676"/>
      <c r="BK111" s="1676"/>
      <c r="BL111" s="1676"/>
      <c r="BM111" s="1676"/>
      <c r="BN111" s="1676"/>
      <c r="BO111" s="1676"/>
      <c r="BP111" s="1676"/>
      <c r="BQ111" s="1676"/>
      <c r="BR111" s="1676"/>
      <c r="BS111" s="1676"/>
      <c r="BT111" s="1676"/>
      <c r="BU111" s="1676"/>
      <c r="BV111" s="1676"/>
      <c r="BW111" s="1676"/>
      <c r="BX111" s="1676"/>
      <c r="BY111" s="1676"/>
      <c r="BZ111" s="1676"/>
      <c r="CA111" s="1676"/>
      <c r="CB111" s="1676"/>
      <c r="CC111" s="1676"/>
      <c r="CD111" s="1676"/>
      <c r="CE111" s="1676"/>
    </row>
    <row s="2666" customFormat="1" customHeight="1" ht="11.25">
      <c r="A112" s="1847"/>
      <c r="B112" s="1168"/>
      <c r="C112" s="418"/>
      <c r="D112" s="2362"/>
      <c r="E112" s="655" t="s">
        <v>24</v>
      </c>
      <c r="F112" s="1176" t="s">
        <v>24</v>
      </c>
      <c r="G112" s="1176" t="s">
        <v>1387</v>
      </c>
      <c r="H112" s="657" t="s">
        <v>24</v>
      </c>
      <c r="I112" s="657"/>
      <c r="J112" s="657"/>
      <c r="K112" s="657"/>
      <c r="L112" s="657"/>
      <c r="M112" s="657"/>
      <c r="N112" s="657"/>
      <c r="O112" s="657"/>
      <c r="P112" s="657"/>
      <c r="Q112" s="657"/>
      <c r="R112" s="658"/>
      <c r="S112" s="659"/>
      <c r="T112" s="724"/>
      <c r="U112" s="2223"/>
      <c r="V112" s="2223"/>
      <c r="W112" s="1168"/>
      <c r="X112" s="1168"/>
      <c r="Y112" s="1168"/>
      <c r="Z112" s="1168"/>
      <c r="AA112" s="1676"/>
      <c r="AB112" s="1168"/>
      <c r="AC112" s="2224"/>
      <c r="AD112" s="635"/>
      <c r="AE112" s="1168"/>
      <c r="AF112" s="1168"/>
      <c r="AG112" s="1676"/>
      <c r="AH112" s="1676"/>
      <c r="AI112" s="1676"/>
      <c r="AJ112" s="1676"/>
      <c r="AK112" s="1676"/>
      <c r="AL112" s="1676"/>
      <c r="AM112" s="1676"/>
      <c r="AN112" s="1676"/>
      <c r="AO112" s="1676"/>
      <c r="AP112" s="1676"/>
      <c r="AQ112" s="1676"/>
      <c r="AR112" s="1676"/>
      <c r="AS112" s="1676"/>
      <c r="AT112" s="1676"/>
      <c r="AU112" s="1676"/>
      <c r="AV112" s="1676"/>
      <c r="AW112" s="1676"/>
      <c r="AX112" s="1676"/>
      <c r="AY112" s="1676"/>
      <c r="AZ112" s="1676"/>
      <c r="BA112" s="1676"/>
      <c r="BB112" s="1676"/>
      <c r="BC112" s="1676"/>
      <c r="BD112" s="1676"/>
      <c r="BE112" s="1676"/>
      <c r="BF112" s="1676"/>
      <c r="BG112" s="1676"/>
      <c r="BH112" s="1676"/>
      <c r="BI112" s="1676"/>
      <c r="BJ112" s="1676"/>
      <c r="BK112" s="1676"/>
      <c r="BL112" s="1676"/>
      <c r="BM112" s="1676"/>
      <c r="BN112" s="1676"/>
      <c r="BO112" s="1676"/>
      <c r="BP112" s="1676"/>
      <c r="BQ112" s="1676"/>
      <c r="BR112" s="1676"/>
      <c r="BS112" s="1676"/>
      <c r="BT112" s="1676"/>
      <c r="BU112" s="1676"/>
      <c r="BV112" s="1168"/>
      <c r="BW112" s="1168"/>
      <c r="BX112" s="1168"/>
      <c r="BY112" s="1168"/>
      <c r="BZ112" s="1168"/>
      <c r="CA112" s="1168"/>
      <c r="CB112" s="1168"/>
      <c r="CC112" s="1168"/>
      <c r="CD112" s="1168"/>
      <c r="CE112" s="1168"/>
    </row>
    <row s="2666" customFormat="1" customHeight="1" ht="24.75">
      <c r="A113" s="1847"/>
      <c r="B113" s="1168"/>
      <c r="C113" s="418"/>
      <c r="D113" s="2362"/>
      <c r="E113" s="2222" t="s">
        <v>820</v>
      </c>
      <c r="F113" s="2222"/>
      <c r="G113" s="2222"/>
      <c r="H113" s="2222"/>
      <c r="I113" s="2222"/>
      <c r="J113" s="2222"/>
      <c r="K113" s="2222"/>
      <c r="L113" s="2222"/>
      <c r="M113" s="2222"/>
      <c r="N113" s="2222"/>
      <c r="O113" s="2222"/>
      <c r="P113" s="2222"/>
      <c r="Q113" s="564">
        <f>SUMIF(T114:T115,"i",Q114:Q115)</f>
        <v>0</v>
      </c>
      <c r="R113" s="1024"/>
      <c r="S113" s="1839" t="s">
        <v>821</v>
      </c>
      <c r="T113" s="723" t="s">
        <v>819</v>
      </c>
      <c r="U113" s="2223">
        <v>1</v>
      </c>
      <c r="V113" s="2223" t="s">
        <v>782</v>
      </c>
      <c r="W113" s="1168"/>
      <c r="X113" s="1168"/>
      <c r="Y113" s="1168"/>
      <c r="Z113" s="1168"/>
      <c r="AA113" s="1676"/>
      <c r="AB113" s="1168"/>
      <c r="AC113" s="1837"/>
      <c r="AD113" s="635"/>
      <c r="AE113" s="1168"/>
      <c r="AF113" s="1168"/>
      <c r="AG113" s="1676"/>
      <c r="AH113" s="1676"/>
      <c r="AI113" s="1676"/>
      <c r="AJ113" s="1676"/>
      <c r="AK113" s="1676"/>
      <c r="AL113" s="1676"/>
      <c r="AM113" s="1676"/>
      <c r="AN113" s="1676"/>
      <c r="AO113" s="1676"/>
      <c r="AP113" s="1676"/>
      <c r="AQ113" s="1676"/>
      <c r="AR113" s="1676"/>
      <c r="AS113" s="1676"/>
      <c r="AT113" s="1676"/>
      <c r="AU113" s="1676"/>
      <c r="AV113" s="1676"/>
      <c r="AW113" s="1676"/>
      <c r="AX113" s="1676"/>
      <c r="AY113" s="1676"/>
      <c r="AZ113" s="1676"/>
      <c r="BA113" s="1676"/>
      <c r="BB113" s="1676"/>
      <c r="BC113" s="1676"/>
      <c r="BD113" s="1676"/>
      <c r="BE113" s="1676"/>
      <c r="BF113" s="1676"/>
      <c r="BG113" s="1676"/>
      <c r="BH113" s="1676"/>
      <c r="BI113" s="1676"/>
      <c r="BJ113" s="1676"/>
      <c r="BK113" s="1676"/>
      <c r="BL113" s="1676"/>
      <c r="BM113" s="1676"/>
      <c r="BN113" s="1676"/>
      <c r="BO113" s="1676"/>
      <c r="BP113" s="1676"/>
      <c r="BQ113" s="1676"/>
      <c r="BR113" s="1676"/>
      <c r="BS113" s="1676"/>
      <c r="BT113" s="1676"/>
      <c r="BU113" s="1676"/>
      <c r="BV113" s="1168"/>
      <c r="BW113" s="1168"/>
      <c r="BX113" s="1168"/>
      <c r="BY113" s="1168"/>
      <c r="BZ113" s="1168"/>
      <c r="CA113" s="1168"/>
      <c r="CB113" s="1168"/>
      <c r="CC113" s="1168"/>
      <c r="CD113" s="1168"/>
      <c r="CE113" s="1168"/>
    </row>
    <row s="2666" customFormat="1" customHeight="1" ht="11.25" hidden="1">
      <c r="A114" s="1834"/>
      <c r="B114" s="1676"/>
      <c r="C114" s="1676"/>
      <c r="D114" s="2362"/>
      <c r="E114" s="641"/>
      <c r="F114" s="641">
        <v>0</v>
      </c>
      <c r="G114" s="641"/>
      <c r="H114" s="641"/>
      <c r="I114" s="641"/>
      <c r="J114" s="641"/>
      <c r="K114" s="641"/>
      <c r="L114" s="641"/>
      <c r="M114" s="641"/>
      <c r="N114" s="641"/>
      <c r="O114" s="641"/>
      <c r="P114" s="641"/>
      <c r="Q114" s="641"/>
      <c r="R114" s="641"/>
      <c r="S114" s="642"/>
      <c r="T114" s="724"/>
      <c r="U114" s="2223"/>
      <c r="V114" s="2223"/>
      <c r="W114" s="1676"/>
      <c r="X114" s="1676"/>
      <c r="Y114" s="1676"/>
      <c r="Z114" s="1676"/>
      <c r="AA114" s="1676"/>
      <c r="AB114" s="1168"/>
      <c r="AC114" s="1837"/>
      <c r="AD114" s="635"/>
      <c r="AE114" s="1168"/>
      <c r="AF114" s="1168"/>
      <c r="AG114" s="1676"/>
      <c r="AH114" s="1676"/>
      <c r="AI114" s="1676"/>
      <c r="AJ114" s="1676"/>
      <c r="AK114" s="1676"/>
      <c r="AL114" s="1676"/>
      <c r="AM114" s="1676"/>
      <c r="AN114" s="1676"/>
      <c r="AO114" s="1676"/>
      <c r="AP114" s="1676"/>
      <c r="AQ114" s="1676"/>
      <c r="AR114" s="1676"/>
      <c r="AS114" s="1676"/>
      <c r="AT114" s="1676"/>
      <c r="AU114" s="1676"/>
      <c r="AV114" s="1676"/>
      <c r="AW114" s="1676"/>
      <c r="AX114" s="1676"/>
      <c r="AY114" s="1676"/>
      <c r="AZ114" s="1676"/>
      <c r="BA114" s="1676"/>
      <c r="BB114" s="1676"/>
      <c r="BC114" s="1676"/>
      <c r="BD114" s="1676"/>
      <c r="BE114" s="1676"/>
      <c r="BF114" s="1676"/>
      <c r="BG114" s="1676"/>
      <c r="BH114" s="1676"/>
      <c r="BI114" s="1676"/>
      <c r="BJ114" s="1676"/>
      <c r="BK114" s="1676"/>
      <c r="BL114" s="1676"/>
      <c r="BM114" s="1676"/>
      <c r="BN114" s="1676"/>
      <c r="BO114" s="1676"/>
      <c r="BP114" s="1676"/>
      <c r="BQ114" s="1676"/>
      <c r="BR114" s="1676"/>
      <c r="BS114" s="1676"/>
      <c r="BT114" s="1676"/>
      <c r="BU114" s="1676"/>
      <c r="BV114" s="1676"/>
      <c r="BW114" s="1676"/>
      <c r="BX114" s="1676"/>
      <c r="BY114" s="1676"/>
      <c r="BZ114" s="1676"/>
      <c r="CA114" s="1676"/>
      <c r="CB114" s="1676"/>
      <c r="CC114" s="1676"/>
      <c r="CD114" s="1676"/>
      <c r="CE114" s="1676"/>
    </row>
    <row s="2666" customFormat="1" customHeight="1" ht="11.25">
      <c r="A115" s="1847"/>
      <c r="B115" s="1168"/>
      <c r="C115" s="418"/>
      <c r="D115" s="2363"/>
      <c r="E115" s="655" t="s">
        <v>24</v>
      </c>
      <c r="F115" s="1176" t="s">
        <v>24</v>
      </c>
      <c r="G115" s="1176" t="s">
        <v>1387</v>
      </c>
      <c r="H115" s="657" t="s">
        <v>24</v>
      </c>
      <c r="I115" s="657"/>
      <c r="J115" s="657"/>
      <c r="K115" s="657"/>
      <c r="L115" s="657"/>
      <c r="M115" s="657"/>
      <c r="N115" s="657"/>
      <c r="O115" s="657"/>
      <c r="P115" s="657"/>
      <c r="Q115" s="657"/>
      <c r="R115" s="658"/>
      <c r="S115" s="659"/>
      <c r="T115" s="724"/>
      <c r="U115" s="2223"/>
      <c r="V115" s="2223"/>
      <c r="W115" s="1168"/>
      <c r="X115" s="1168"/>
      <c r="Y115" s="1168"/>
      <c r="Z115" s="1168"/>
      <c r="AA115" s="1676"/>
      <c r="AB115" s="1168"/>
      <c r="AC115" s="1837"/>
      <c r="AD115" s="635"/>
      <c r="AE115" s="1168"/>
      <c r="AF115" s="1168"/>
      <c r="AG115" s="1676"/>
      <c r="AH115" s="1676"/>
      <c r="AI115" s="1676"/>
      <c r="AJ115" s="1676"/>
      <c r="AK115" s="1676"/>
      <c r="AL115" s="1676"/>
      <c r="AM115" s="1676"/>
      <c r="AN115" s="1676"/>
      <c r="AO115" s="1676"/>
      <c r="AP115" s="1676"/>
      <c r="AQ115" s="1676"/>
      <c r="AR115" s="1676"/>
      <c r="AS115" s="1676"/>
      <c r="AT115" s="1676"/>
      <c r="AU115" s="1676"/>
      <c r="AV115" s="1676"/>
      <c r="AW115" s="1676"/>
      <c r="AX115" s="1676"/>
      <c r="AY115" s="1676"/>
      <c r="AZ115" s="1676"/>
      <c r="BA115" s="1676"/>
      <c r="BB115" s="1676"/>
      <c r="BC115" s="1676"/>
      <c r="BD115" s="1676"/>
      <c r="BE115" s="1676"/>
      <c r="BF115" s="1676"/>
      <c r="BG115" s="1676"/>
      <c r="BH115" s="1676"/>
      <c r="BI115" s="1676"/>
      <c r="BJ115" s="1676"/>
      <c r="BK115" s="1676"/>
      <c r="BL115" s="1676"/>
      <c r="BM115" s="1676"/>
      <c r="BN115" s="1676"/>
      <c r="BO115" s="1676"/>
      <c r="BP115" s="1676"/>
      <c r="BQ115" s="1676"/>
      <c r="BR115" s="1676"/>
      <c r="BS115" s="1676"/>
      <c r="BT115" s="1676"/>
      <c r="BU115" s="1676"/>
      <c r="BV115" s="1168"/>
      <c r="BW115" s="1168"/>
      <c r="BX115" s="1168"/>
      <c r="BY115" s="1168"/>
      <c r="BZ115" s="1168"/>
      <c r="CA115" s="1168"/>
      <c r="CB115" s="1168"/>
      <c r="CC115" s="1168"/>
      <c r="CD115" s="1168"/>
      <c r="CE115" s="1168"/>
    </row>
    <row r="117" s="13133" customFormat="1" customHeight="1" ht="11.25">
      <c r="A117" s="1856" t="s">
        <v>1388</v>
      </c>
    </row>
    <row r="119" s="2666" customFormat="1" customHeight="1" ht="15">
      <c r="A119" s="629"/>
      <c r="B119" s="630"/>
      <c r="C119" s="630"/>
      <c r="D119" s="2361" t="s">
        <v>193</v>
      </c>
      <c r="E119" s="2225" t="s">
        <v>189</v>
      </c>
      <c r="F119" s="2226"/>
      <c r="G119" s="2227"/>
      <c r="H119" s="2220" t="str">
        <f>IF(A119="","",INDEX(DIFFERENTIATION_UNMERGE_VD,MATCH(A119,DIFFERENTIATION_ID_DIFF,0)))</f>
        <v/>
      </c>
      <c r="I119" s="2220"/>
      <c r="J119" s="2220"/>
      <c r="K119" s="2220"/>
      <c r="L119" s="2220"/>
      <c r="M119" s="2220"/>
      <c r="N119" s="2220"/>
      <c r="O119" s="2220"/>
      <c r="P119" s="2220"/>
      <c r="Q119" s="2220"/>
      <c r="R119" s="2220"/>
      <c r="S119" s="725"/>
      <c r="T119" s="722"/>
      <c r="U119" s="631"/>
      <c r="V119" s="631"/>
      <c r="W119" s="632"/>
      <c r="X119" s="632"/>
      <c r="Y119" s="632"/>
      <c r="Z119" s="632"/>
      <c r="AA119" s="633"/>
      <c r="AB119" s="634"/>
      <c r="AC119" s="2224"/>
      <c r="AD119" s="635"/>
      <c r="AE119" s="636" t="s">
        <v>24</v>
      </c>
      <c r="AF119" s="636"/>
      <c r="AG119" s="637" t="s">
        <v>816</v>
      </c>
      <c r="AH119" s="638">
        <v>3</v>
      </c>
      <c r="AI119" s="631"/>
      <c r="AJ119" s="631"/>
      <c r="AK119" s="631"/>
      <c r="AL119" s="631"/>
      <c r="AM119" s="631"/>
      <c r="AN119" s="631"/>
      <c r="AO119" s="631"/>
      <c r="AP119" s="631"/>
      <c r="AQ119" s="631"/>
      <c r="AR119" s="631"/>
      <c r="AS119" s="631"/>
      <c r="AT119" s="631"/>
      <c r="AU119" s="631"/>
      <c r="AV119" s="631"/>
      <c r="AW119" s="631"/>
      <c r="AX119" s="631"/>
      <c r="AY119" s="631"/>
      <c r="AZ119" s="631"/>
      <c r="BA119" s="631"/>
      <c r="BB119" s="631"/>
      <c r="BC119" s="631"/>
      <c r="BD119" s="631"/>
      <c r="BE119" s="631"/>
      <c r="BF119" s="631"/>
      <c r="BG119" s="631"/>
      <c r="BH119" s="631"/>
      <c r="BI119" s="631"/>
      <c r="BJ119" s="631"/>
      <c r="BK119" s="631"/>
      <c r="BL119" s="631"/>
      <c r="BM119" s="631"/>
      <c r="BN119" s="631"/>
      <c r="BO119" s="631"/>
      <c r="BP119" s="631"/>
      <c r="BQ119" s="631"/>
      <c r="BR119" s="631"/>
      <c r="BS119" s="631"/>
      <c r="BT119" s="631"/>
      <c r="BU119" s="631"/>
      <c r="BV119" s="632"/>
      <c r="BW119" s="632"/>
      <c r="BX119" s="632"/>
      <c r="BY119" s="632"/>
      <c r="BZ119" s="632"/>
      <c r="CA119" s="632"/>
      <c r="CB119" s="632"/>
      <c r="CC119" s="632"/>
      <c r="CD119" s="632"/>
      <c r="CE119" s="632"/>
    </row>
    <row s="2666" customFormat="1" customHeight="1" ht="15">
      <c r="A120" s="629"/>
      <c r="B120" s="630"/>
      <c r="C120" s="630"/>
      <c r="D120" s="2362"/>
      <c r="E120" s="2225" t="s">
        <v>771</v>
      </c>
      <c r="F120" s="2226"/>
      <c r="G120" s="2227"/>
      <c r="H120" s="2220" t="str">
        <f>IF(A119="","",INDEX(DIFFERENTIATION_UNMERGE_AREA,MATCH(A119,DIFFERENTIATION_ID_DIFF,0)))</f>
        <v/>
      </c>
      <c r="I120" s="2220"/>
      <c r="J120" s="2220"/>
      <c r="K120" s="2220"/>
      <c r="L120" s="2220"/>
      <c r="M120" s="2220"/>
      <c r="N120" s="2220"/>
      <c r="O120" s="2220"/>
      <c r="P120" s="2220"/>
      <c r="Q120" s="2220"/>
      <c r="R120" s="2220"/>
      <c r="S120" s="725"/>
      <c r="T120" s="722"/>
      <c r="U120" s="631"/>
      <c r="V120" s="631"/>
      <c r="W120" s="632"/>
      <c r="X120" s="632"/>
      <c r="Y120" s="632"/>
      <c r="Z120" s="632"/>
      <c r="AA120" s="633"/>
      <c r="AB120" s="634"/>
      <c r="AC120" s="2224"/>
      <c r="AD120" s="635"/>
      <c r="AE120" s="636"/>
      <c r="AF120" s="636"/>
      <c r="AG120" s="637"/>
      <c r="AH120" s="638"/>
      <c r="AI120" s="631"/>
      <c r="AJ120" s="631"/>
      <c r="AK120" s="631"/>
      <c r="AL120" s="631"/>
      <c r="AM120" s="631"/>
      <c r="AN120" s="631"/>
      <c r="AO120" s="631"/>
      <c r="AP120" s="631"/>
      <c r="AQ120" s="631"/>
      <c r="AR120" s="631"/>
      <c r="AS120" s="631"/>
      <c r="AT120" s="631"/>
      <c r="AU120" s="631"/>
      <c r="AV120" s="631"/>
      <c r="AW120" s="631"/>
      <c r="AX120" s="631"/>
      <c r="AY120" s="631"/>
      <c r="AZ120" s="631"/>
      <c r="BA120" s="631"/>
      <c r="BB120" s="631"/>
      <c r="BC120" s="631"/>
      <c r="BD120" s="631"/>
      <c r="BE120" s="631"/>
      <c r="BF120" s="631"/>
      <c r="BG120" s="631"/>
      <c r="BH120" s="631"/>
      <c r="BI120" s="631"/>
      <c r="BJ120" s="631"/>
      <c r="BK120" s="631"/>
      <c r="BL120" s="631"/>
      <c r="BM120" s="631"/>
      <c r="BN120" s="631"/>
      <c r="BO120" s="631"/>
      <c r="BP120" s="631"/>
      <c r="BQ120" s="631"/>
      <c r="BR120" s="631"/>
      <c r="BS120" s="631"/>
      <c r="BT120" s="631"/>
      <c r="BU120" s="631"/>
      <c r="BV120" s="632"/>
      <c r="BW120" s="632"/>
      <c r="BX120" s="632"/>
      <c r="BY120" s="632"/>
      <c r="BZ120" s="632"/>
      <c r="CA120" s="632"/>
      <c r="CB120" s="632"/>
      <c r="CC120" s="632"/>
      <c r="CD120" s="632"/>
      <c r="CE120" s="632"/>
    </row>
    <row s="2666" customFormat="1" customHeight="1" ht="15">
      <c r="A121" s="629"/>
      <c r="B121" s="630"/>
      <c r="C121" s="630"/>
      <c r="D121" s="2362"/>
      <c r="E121" s="2225" t="s">
        <v>772</v>
      </c>
      <c r="F121" s="2226"/>
      <c r="G121" s="2227"/>
      <c r="H121" s="2220" t="str">
        <f>IF(A119="","",INDEX(DIFFERENTIATION_UNMERGE_SYSTEM,MATCH(A119,DIFFERENTIATION_ID_DIFF,0)))</f>
        <v/>
      </c>
      <c r="I121" s="2220"/>
      <c r="J121" s="2220"/>
      <c r="K121" s="2220"/>
      <c r="L121" s="2220"/>
      <c r="M121" s="2220"/>
      <c r="N121" s="2220"/>
      <c r="O121" s="2220"/>
      <c r="P121" s="2220"/>
      <c r="Q121" s="2220"/>
      <c r="R121" s="2220"/>
      <c r="S121" s="725"/>
      <c r="T121" s="722"/>
      <c r="U121" s="631"/>
      <c r="V121" s="631"/>
      <c r="W121" s="632"/>
      <c r="X121" s="632"/>
      <c r="Y121" s="632"/>
      <c r="Z121" s="632"/>
      <c r="AA121" s="633"/>
      <c r="AB121" s="634"/>
      <c r="AC121" s="2224"/>
      <c r="AD121" s="635"/>
      <c r="AE121" s="636"/>
      <c r="AF121" s="636"/>
      <c r="AG121" s="637"/>
      <c r="AH121" s="638"/>
      <c r="AI121" s="631"/>
      <c r="AJ121" s="631"/>
      <c r="AK121" s="631"/>
      <c r="AL121" s="631"/>
      <c r="AM121" s="631"/>
      <c r="AN121" s="631"/>
      <c r="AO121" s="631"/>
      <c r="AP121" s="631"/>
      <c r="AQ121" s="631"/>
      <c r="AR121" s="631"/>
      <c r="AS121" s="631"/>
      <c r="AT121" s="631"/>
      <c r="AU121" s="631"/>
      <c r="AV121" s="631"/>
      <c r="AW121" s="631"/>
      <c r="AX121" s="631"/>
      <c r="AY121" s="631"/>
      <c r="AZ121" s="631"/>
      <c r="BA121" s="631"/>
      <c r="BB121" s="631"/>
      <c r="BC121" s="631"/>
      <c r="BD121" s="631"/>
      <c r="BE121" s="631"/>
      <c r="BF121" s="631"/>
      <c r="BG121" s="631"/>
      <c r="BH121" s="631"/>
      <c r="BI121" s="631"/>
      <c r="BJ121" s="631"/>
      <c r="BK121" s="631"/>
      <c r="BL121" s="631"/>
      <c r="BM121" s="631"/>
      <c r="BN121" s="631"/>
      <c r="BO121" s="631"/>
      <c r="BP121" s="631"/>
      <c r="BQ121" s="631"/>
      <c r="BR121" s="631"/>
      <c r="BS121" s="631"/>
      <c r="BT121" s="631"/>
      <c r="BU121" s="631"/>
      <c r="BV121" s="632"/>
      <c r="BW121" s="632"/>
      <c r="BX121" s="632"/>
      <c r="BY121" s="632"/>
      <c r="BZ121" s="632"/>
      <c r="CA121" s="632"/>
      <c r="CB121" s="632"/>
      <c r="CC121" s="632"/>
      <c r="CD121" s="632"/>
      <c r="CE121" s="632"/>
    </row>
    <row s="2666" customFormat="1" customHeight="1" ht="24.75">
      <c r="A122" s="1847"/>
      <c r="B122" s="1168"/>
      <c r="C122" s="418"/>
      <c r="D122" s="2362"/>
      <c r="E122" s="2222" t="s">
        <v>817</v>
      </c>
      <c r="F122" s="2222"/>
      <c r="G122" s="2222"/>
      <c r="H122" s="2222"/>
      <c r="I122" s="2222"/>
      <c r="J122" s="2222"/>
      <c r="K122" s="2222"/>
      <c r="L122" s="2222"/>
      <c r="M122" s="2222"/>
      <c r="N122" s="2222"/>
      <c r="O122" s="2222"/>
      <c r="P122" s="2222"/>
      <c r="Q122" s="564">
        <f>SUMIF(T123:T124,"i",Q123:Q124)</f>
        <v>0</v>
      </c>
      <c r="R122" s="1024"/>
      <c r="S122" s="1839" t="s">
        <v>818</v>
      </c>
      <c r="T122" s="723" t="s">
        <v>819</v>
      </c>
      <c r="U122" s="2223">
        <v>1</v>
      </c>
      <c r="V122" s="2223" t="s">
        <v>782</v>
      </c>
      <c r="W122" s="1168"/>
      <c r="X122" s="1168"/>
      <c r="Y122" s="1168"/>
      <c r="Z122" s="1168"/>
      <c r="AA122" s="1676"/>
      <c r="AB122" s="1168"/>
      <c r="AC122" s="2224"/>
      <c r="AD122" s="635"/>
      <c r="AE122" s="1168"/>
      <c r="AF122" s="1168"/>
      <c r="AG122" s="1676"/>
      <c r="AH122" s="1676"/>
      <c r="AI122" s="1676"/>
      <c r="AJ122" s="1676"/>
      <c r="AK122" s="1676"/>
      <c r="AL122" s="1676"/>
      <c r="AM122" s="1676"/>
      <c r="AN122" s="1676"/>
      <c r="AO122" s="1676"/>
      <c r="AP122" s="1676"/>
      <c r="AQ122" s="1676"/>
      <c r="AR122" s="1676"/>
      <c r="AS122" s="1676"/>
      <c r="AT122" s="1676"/>
      <c r="AU122" s="1676"/>
      <c r="AV122" s="1676"/>
      <c r="AW122" s="1676"/>
      <c r="AX122" s="1676"/>
      <c r="AY122" s="1676"/>
      <c r="AZ122" s="1676"/>
      <c r="BA122" s="1676"/>
      <c r="BB122" s="1676"/>
      <c r="BC122" s="1676"/>
      <c r="BD122" s="1676"/>
      <c r="BE122" s="1676"/>
      <c r="BF122" s="1676"/>
      <c r="BG122" s="1676"/>
      <c r="BH122" s="1676"/>
      <c r="BI122" s="1676"/>
      <c r="BJ122" s="1676"/>
      <c r="BK122" s="1676"/>
      <c r="BL122" s="1676"/>
      <c r="BM122" s="1676"/>
      <c r="BN122" s="1676"/>
      <c r="BO122" s="1676"/>
      <c r="BP122" s="1676"/>
      <c r="BQ122" s="1676"/>
      <c r="BR122" s="1676"/>
      <c r="BS122" s="1676"/>
      <c r="BT122" s="1676"/>
      <c r="BU122" s="1676"/>
      <c r="BV122" s="1168"/>
      <c r="BW122" s="1168"/>
      <c r="BX122" s="1168"/>
      <c r="BY122" s="1168"/>
      <c r="BZ122" s="1168"/>
      <c r="CA122" s="1168"/>
      <c r="CB122" s="1168"/>
      <c r="CC122" s="1168"/>
      <c r="CD122" s="1168"/>
      <c r="CE122" s="1168"/>
    </row>
    <row s="2666" customFormat="1" customHeight="1" ht="11.25" hidden="1">
      <c r="A123" s="1834"/>
      <c r="B123" s="1676"/>
      <c r="C123" s="1676"/>
      <c r="D123" s="2362"/>
      <c r="E123" s="641"/>
      <c r="F123" s="641">
        <v>0</v>
      </c>
      <c r="G123" s="641"/>
      <c r="H123" s="641"/>
      <c r="I123" s="641"/>
      <c r="J123" s="641"/>
      <c r="K123" s="641"/>
      <c r="L123" s="641"/>
      <c r="M123" s="641"/>
      <c r="N123" s="641"/>
      <c r="O123" s="641"/>
      <c r="P123" s="641"/>
      <c r="Q123" s="641"/>
      <c r="R123" s="641"/>
      <c r="S123" s="642"/>
      <c r="T123" s="724"/>
      <c r="U123" s="2223"/>
      <c r="V123" s="2223"/>
      <c r="W123" s="1676"/>
      <c r="X123" s="1676"/>
      <c r="Y123" s="1676"/>
      <c r="Z123" s="1676"/>
      <c r="AA123" s="1676"/>
      <c r="AB123" s="1168"/>
      <c r="AC123" s="2224"/>
      <c r="AD123" s="635"/>
      <c r="AE123" s="1168"/>
      <c r="AF123" s="1168"/>
      <c r="AG123" s="1676"/>
      <c r="AH123" s="1676"/>
      <c r="AI123" s="1676"/>
      <c r="AJ123" s="1676"/>
      <c r="AK123" s="1676"/>
      <c r="AL123" s="1676"/>
      <c r="AM123" s="1676"/>
      <c r="AN123" s="1676"/>
      <c r="AO123" s="1676"/>
      <c r="AP123" s="1676"/>
      <c r="AQ123" s="1676"/>
      <c r="AR123" s="1676"/>
      <c r="AS123" s="1676"/>
      <c r="AT123" s="1676"/>
      <c r="AU123" s="1676"/>
      <c r="AV123" s="1676"/>
      <c r="AW123" s="1676"/>
      <c r="AX123" s="1676"/>
      <c r="AY123" s="1676"/>
      <c r="AZ123" s="1676"/>
      <c r="BA123" s="1676"/>
      <c r="BB123" s="1676"/>
      <c r="BC123" s="1676"/>
      <c r="BD123" s="1676"/>
      <c r="BE123" s="1676"/>
      <c r="BF123" s="1676"/>
      <c r="BG123" s="1676"/>
      <c r="BH123" s="1676"/>
      <c r="BI123" s="1676"/>
      <c r="BJ123" s="1676"/>
      <c r="BK123" s="1676"/>
      <c r="BL123" s="1676"/>
      <c r="BM123" s="1676"/>
      <c r="BN123" s="1676"/>
      <c r="BO123" s="1676"/>
      <c r="BP123" s="1676"/>
      <c r="BQ123" s="1676"/>
      <c r="BR123" s="1676"/>
      <c r="BS123" s="1676"/>
      <c r="BT123" s="1676"/>
      <c r="BU123" s="1676"/>
      <c r="BV123" s="1676"/>
      <c r="BW123" s="1676"/>
      <c r="BX123" s="1676"/>
      <c r="BY123" s="1676"/>
      <c r="BZ123" s="1676"/>
      <c r="CA123" s="1676"/>
      <c r="CB123" s="1676"/>
      <c r="CC123" s="1676"/>
      <c r="CD123" s="1676"/>
      <c r="CE123" s="1676"/>
    </row>
    <row s="2666" customFormat="1" customHeight="1" ht="11.25">
      <c r="A124" s="1847"/>
      <c r="B124" s="1168"/>
      <c r="C124" s="418"/>
      <c r="D124" s="2362"/>
      <c r="E124" s="655" t="s">
        <v>24</v>
      </c>
      <c r="F124" s="1176" t="s">
        <v>24</v>
      </c>
      <c r="G124" s="1176" t="s">
        <v>1387</v>
      </c>
      <c r="H124" s="657" t="s">
        <v>24</v>
      </c>
      <c r="I124" s="657"/>
      <c r="J124" s="657"/>
      <c r="K124" s="657"/>
      <c r="L124" s="657"/>
      <c r="M124" s="657"/>
      <c r="N124" s="657"/>
      <c r="O124" s="657"/>
      <c r="P124" s="657"/>
      <c r="Q124" s="657"/>
      <c r="R124" s="658"/>
      <c r="S124" s="659"/>
      <c r="T124" s="724"/>
      <c r="U124" s="2223"/>
      <c r="V124" s="2223"/>
      <c r="W124" s="1168"/>
      <c r="X124" s="1168"/>
      <c r="Y124" s="1168"/>
      <c r="Z124" s="1168"/>
      <c r="AA124" s="1676"/>
      <c r="AB124" s="1168"/>
      <c r="AC124" s="2224"/>
      <c r="AD124" s="635"/>
      <c r="AE124" s="1168"/>
      <c r="AF124" s="1168"/>
      <c r="AG124" s="1676"/>
      <c r="AH124" s="1676"/>
      <c r="AI124" s="1676"/>
      <c r="AJ124" s="1676"/>
      <c r="AK124" s="1676"/>
      <c r="AL124" s="1676"/>
      <c r="AM124" s="1676"/>
      <c r="AN124" s="1676"/>
      <c r="AO124" s="1676"/>
      <c r="AP124" s="1676"/>
      <c r="AQ124" s="1676"/>
      <c r="AR124" s="1676"/>
      <c r="AS124" s="1676"/>
      <c r="AT124" s="1676"/>
      <c r="AU124" s="1676"/>
      <c r="AV124" s="1676"/>
      <c r="AW124" s="1676"/>
      <c r="AX124" s="1676"/>
      <c r="AY124" s="1676"/>
      <c r="AZ124" s="1676"/>
      <c r="BA124" s="1676"/>
      <c r="BB124" s="1676"/>
      <c r="BC124" s="1676"/>
      <c r="BD124" s="1676"/>
      <c r="BE124" s="1676"/>
      <c r="BF124" s="1676"/>
      <c r="BG124" s="1676"/>
      <c r="BH124" s="1676"/>
      <c r="BI124" s="1676"/>
      <c r="BJ124" s="1676"/>
      <c r="BK124" s="1676"/>
      <c r="BL124" s="1676"/>
      <c r="BM124" s="1676"/>
      <c r="BN124" s="1676"/>
      <c r="BO124" s="1676"/>
      <c r="BP124" s="1676"/>
      <c r="BQ124" s="1676"/>
      <c r="BR124" s="1676"/>
      <c r="BS124" s="1676"/>
      <c r="BT124" s="1676"/>
      <c r="BU124" s="1676"/>
      <c r="BV124" s="1168"/>
      <c r="BW124" s="1168"/>
      <c r="BX124" s="1168"/>
      <c r="BY124" s="1168"/>
      <c r="BZ124" s="1168"/>
      <c r="CA124" s="1168"/>
      <c r="CB124" s="1168"/>
      <c r="CC124" s="1168"/>
      <c r="CD124" s="1168"/>
      <c r="CE124" s="1168"/>
    </row>
    <row s="2674" customFormat="1" customHeight="1" ht="5.25" hidden="1">
      <c r="A125" s="1834"/>
      <c r="B125" s="1676"/>
      <c r="C125" s="1676"/>
      <c r="D125" s="2362"/>
      <c r="E125" s="1046"/>
      <c r="F125" s="1046"/>
      <c r="G125" s="1046"/>
      <c r="H125" s="1046"/>
      <c r="I125" s="1046"/>
      <c r="J125" s="1046"/>
      <c r="K125" s="1046"/>
      <c r="L125" s="1046"/>
      <c r="M125" s="1046"/>
      <c r="N125" s="1046"/>
      <c r="O125" s="1046"/>
      <c r="P125" s="1046"/>
      <c r="Q125" s="1047"/>
      <c r="R125" s="1048"/>
      <c r="S125" s="1049"/>
      <c r="T125" s="723" t="s">
        <v>819</v>
      </c>
      <c r="U125" s="2223">
        <v>1</v>
      </c>
      <c r="V125" s="2223" t="s">
        <v>782</v>
      </c>
      <c r="W125" s="1676"/>
      <c r="X125" s="1676"/>
      <c r="Y125" s="1676"/>
      <c r="Z125" s="1676"/>
      <c r="AA125" s="1676"/>
      <c r="AB125" s="1676"/>
      <c r="AC125" s="1044"/>
      <c r="AD125" s="1045"/>
      <c r="AE125" s="1676"/>
      <c r="AF125" s="1676"/>
      <c r="AG125" s="1676"/>
      <c r="AH125" s="1676"/>
      <c r="AI125" s="1676"/>
      <c r="AJ125" s="1676"/>
      <c r="AK125" s="1676"/>
      <c r="AL125" s="1676"/>
      <c r="AM125" s="1676"/>
      <c r="AN125" s="1676"/>
      <c r="AO125" s="1676"/>
      <c r="AP125" s="1676"/>
      <c r="AQ125" s="1676"/>
      <c r="AR125" s="1676"/>
      <c r="AS125" s="1676"/>
      <c r="AT125" s="1676"/>
      <c r="AU125" s="1676"/>
      <c r="AV125" s="1676"/>
      <c r="AW125" s="1676"/>
      <c r="AX125" s="1676"/>
      <c r="AY125" s="1676"/>
      <c r="AZ125" s="1676"/>
      <c r="BA125" s="1676"/>
      <c r="BB125" s="1676"/>
      <c r="BC125" s="1676"/>
      <c r="BD125" s="1676"/>
      <c r="BE125" s="1676"/>
      <c r="BF125" s="1676"/>
      <c r="BG125" s="1676"/>
      <c r="BH125" s="1676"/>
      <c r="BI125" s="1676"/>
      <c r="BJ125" s="1676"/>
      <c r="BK125" s="1676"/>
      <c r="BL125" s="1676"/>
      <c r="BM125" s="1676"/>
      <c r="BN125" s="1676"/>
      <c r="BO125" s="1676"/>
      <c r="BP125" s="1676"/>
      <c r="BQ125" s="1676"/>
      <c r="BR125" s="1676"/>
      <c r="BS125" s="1676"/>
      <c r="BT125" s="1676"/>
      <c r="BU125" s="1676"/>
      <c r="BV125" s="1676"/>
      <c r="BW125" s="1676"/>
      <c r="BX125" s="1676"/>
      <c r="BY125" s="1676"/>
      <c r="BZ125" s="1676"/>
      <c r="CA125" s="1676"/>
      <c r="CB125" s="1676"/>
      <c r="CC125" s="1676"/>
      <c r="CD125" s="1676"/>
      <c r="CE125" s="1676"/>
    </row>
    <row s="2674" customFormat="1" customHeight="1" ht="5.25" hidden="1">
      <c r="A126" s="1834"/>
      <c r="B126" s="1676"/>
      <c r="C126" s="1676"/>
      <c r="D126" s="2362"/>
      <c r="E126" s="641"/>
      <c r="F126" s="641"/>
      <c r="G126" s="641"/>
      <c r="H126" s="641"/>
      <c r="I126" s="641"/>
      <c r="J126" s="641"/>
      <c r="K126" s="641"/>
      <c r="L126" s="641"/>
      <c r="M126" s="641"/>
      <c r="N126" s="641"/>
      <c r="O126" s="641"/>
      <c r="P126" s="641"/>
      <c r="Q126" s="641"/>
      <c r="R126" s="641"/>
      <c r="S126" s="642"/>
      <c r="T126" s="724"/>
      <c r="U126" s="2223"/>
      <c r="V126" s="2223"/>
      <c r="W126" s="1676"/>
      <c r="X126" s="1676"/>
      <c r="Y126" s="1676"/>
      <c r="Z126" s="1676"/>
      <c r="AA126" s="1676"/>
      <c r="AB126" s="1676"/>
      <c r="AC126" s="1044"/>
      <c r="AD126" s="1045"/>
      <c r="AE126" s="1676"/>
      <c r="AF126" s="1676"/>
      <c r="AG126" s="1676"/>
      <c r="AH126" s="1676"/>
      <c r="AI126" s="1676"/>
      <c r="AJ126" s="1676"/>
      <c r="AK126" s="1676"/>
      <c r="AL126" s="1676"/>
      <c r="AM126" s="1676"/>
      <c r="AN126" s="1676"/>
      <c r="AO126" s="1676"/>
      <c r="AP126" s="1676"/>
      <c r="AQ126" s="1676"/>
      <c r="AR126" s="1676"/>
      <c r="AS126" s="1676"/>
      <c r="AT126" s="1676"/>
      <c r="AU126" s="1676"/>
      <c r="AV126" s="1676"/>
      <c r="AW126" s="1676"/>
      <c r="AX126" s="1676"/>
      <c r="AY126" s="1676"/>
      <c r="AZ126" s="1676"/>
      <c r="BA126" s="1676"/>
      <c r="BB126" s="1676"/>
      <c r="BC126" s="1676"/>
      <c r="BD126" s="1676"/>
      <c r="BE126" s="1676"/>
      <c r="BF126" s="1676"/>
      <c r="BG126" s="1676"/>
      <c r="BH126" s="1676"/>
      <c r="BI126" s="1676"/>
      <c r="BJ126" s="1676"/>
      <c r="BK126" s="1676"/>
      <c r="BL126" s="1676"/>
      <c r="BM126" s="1676"/>
      <c r="BN126" s="1676"/>
      <c r="BO126" s="1676"/>
      <c r="BP126" s="1676"/>
      <c r="BQ126" s="1676"/>
      <c r="BR126" s="1676"/>
      <c r="BS126" s="1676"/>
      <c r="BT126" s="1676"/>
      <c r="BU126" s="1676"/>
      <c r="BV126" s="1676"/>
      <c r="BW126" s="1676"/>
      <c r="BX126" s="1676"/>
      <c r="BY126" s="1676"/>
      <c r="BZ126" s="1676"/>
      <c r="CA126" s="1676"/>
      <c r="CB126" s="1676"/>
      <c r="CC126" s="1676"/>
      <c r="CD126" s="1676"/>
      <c r="CE126" s="1676"/>
    </row>
    <row s="2674" customFormat="1" customHeight="1" ht="5.25" hidden="1">
      <c r="A127" s="1834"/>
      <c r="B127" s="1676"/>
      <c r="C127" s="1676"/>
      <c r="D127" s="2363"/>
      <c r="E127" s="1050"/>
      <c r="F127" s="1051"/>
      <c r="G127" s="1051"/>
      <c r="H127" s="1052"/>
      <c r="I127" s="1052"/>
      <c r="J127" s="1052"/>
      <c r="K127" s="1052"/>
      <c r="L127" s="1052"/>
      <c r="M127" s="1052"/>
      <c r="N127" s="1052"/>
      <c r="O127" s="1052"/>
      <c r="P127" s="1052"/>
      <c r="Q127" s="1052"/>
      <c r="R127" s="953"/>
      <c r="S127" s="1053"/>
      <c r="T127" s="724"/>
      <c r="U127" s="2223"/>
      <c r="V127" s="2223"/>
      <c r="W127" s="1676"/>
      <c r="X127" s="1676"/>
      <c r="Y127" s="1676"/>
      <c r="Z127" s="1676"/>
      <c r="AA127" s="1676"/>
      <c r="AB127" s="1676"/>
      <c r="AC127" s="1044"/>
      <c r="AD127" s="1045"/>
      <c r="AE127" s="1676"/>
      <c r="AF127" s="1676"/>
      <c r="AG127" s="1676"/>
      <c r="AH127" s="1676"/>
      <c r="AI127" s="1676"/>
      <c r="AJ127" s="1676"/>
      <c r="AK127" s="1676"/>
      <c r="AL127" s="1676"/>
      <c r="AM127" s="1676"/>
      <c r="AN127" s="1676"/>
      <c r="AO127" s="1676"/>
      <c r="AP127" s="1676"/>
      <c r="AQ127" s="1676"/>
      <c r="AR127" s="1676"/>
      <c r="AS127" s="1676"/>
      <c r="AT127" s="1676"/>
      <c r="AU127" s="1676"/>
      <c r="AV127" s="1676"/>
      <c r="AW127" s="1676"/>
      <c r="AX127" s="1676"/>
      <c r="AY127" s="1676"/>
      <c r="AZ127" s="1676"/>
      <c r="BA127" s="1676"/>
      <c r="BB127" s="1676"/>
      <c r="BC127" s="1676"/>
      <c r="BD127" s="1676"/>
      <c r="BE127" s="1676"/>
      <c r="BF127" s="1676"/>
      <c r="BG127" s="1676"/>
      <c r="BH127" s="1676"/>
      <c r="BI127" s="1676"/>
      <c r="BJ127" s="1676"/>
      <c r="BK127" s="1676"/>
      <c r="BL127" s="1676"/>
      <c r="BM127" s="1676"/>
      <c r="BN127" s="1676"/>
      <c r="BO127" s="1676"/>
      <c r="BP127" s="1676"/>
      <c r="BQ127" s="1676"/>
      <c r="BR127" s="1676"/>
      <c r="BS127" s="1676"/>
      <c r="BT127" s="1676"/>
      <c r="BU127" s="1676"/>
      <c r="BV127" s="1676"/>
      <c r="BW127" s="1676"/>
      <c r="BX127" s="1676"/>
      <c r="BY127" s="1676"/>
      <c r="BZ127" s="1676"/>
      <c r="CA127" s="1676"/>
      <c r="CB127" s="1676"/>
      <c r="CC127" s="1676"/>
      <c r="CD127" s="1676"/>
      <c r="CE127" s="1676"/>
    </row>
    <row customHeight="1" ht="17.25">
      <c r="D128" s="1877"/>
    </row>
    <row s="13133" customFormat="1" customHeight="1" ht="11.25">
      <c r="A129" s="1856" t="s">
        <v>1389</v>
      </c>
    </row>
    <row r="131" s="2666" customFormat="1" customHeight="1" ht="45">
      <c r="A131" s="1847"/>
      <c r="B131" s="1168"/>
      <c r="C131" s="418"/>
      <c r="D131" s="74"/>
      <c r="E131" s="2373"/>
      <c r="F131" s="1982" t="s">
        <v>193</v>
      </c>
      <c r="G131" s="2376" t="s">
        <v>24</v>
      </c>
      <c r="H131" s="277"/>
      <c r="I131" s="643" t="s">
        <v>193</v>
      </c>
      <c r="J131" s="1848" t="s">
        <v>1390</v>
      </c>
      <c r="K131" s="644" t="s">
        <v>753</v>
      </c>
      <c r="L131" s="2073" t="s">
        <v>753</v>
      </c>
      <c r="M131" s="2378"/>
      <c r="N131" s="644" t="s">
        <v>753</v>
      </c>
      <c r="O131" s="644" t="s">
        <v>753</v>
      </c>
      <c r="P131" s="644" t="s">
        <v>753</v>
      </c>
      <c r="Q131" s="645">
        <f>SUM(Q132:Q134)</f>
        <v>0</v>
      </c>
      <c r="R131" s="645">
        <f>IF(R128=0,0,(Q128/R128)*100)</f>
        <v>0</v>
      </c>
      <c r="S131" s="2041"/>
      <c r="T131" s="723" t="s">
        <v>819</v>
      </c>
      <c r="U131" s="74"/>
      <c r="V131" s="74"/>
      <c r="AC131" s="74"/>
    </row>
    <row s="2666" customFormat="1" customHeight="1" ht="11.25">
      <c r="A132" s="1847"/>
      <c r="B132" s="1168"/>
      <c r="C132" s="418"/>
      <c r="D132" s="74"/>
      <c r="E132" s="2374"/>
      <c r="F132" s="1982"/>
      <c r="G132" s="2376"/>
      <c r="H132" s="1971"/>
      <c r="I132" s="2356" t="s">
        <v>1143</v>
      </c>
      <c r="J132" s="2370"/>
      <c r="K132" s="2371"/>
      <c r="L132" s="646"/>
      <c r="M132" s="647" t="s">
        <v>193</v>
      </c>
      <c r="N132" s="1836"/>
      <c r="O132" s="648"/>
      <c r="P132" s="649"/>
      <c r="Q132" s="648"/>
      <c r="R132" s="650">
        <v>0</v>
      </c>
      <c r="S132" s="2041"/>
      <c r="T132" s="723"/>
      <c r="U132" s="74"/>
      <c r="V132" s="74"/>
      <c r="AC132" s="74"/>
    </row>
    <row s="2666" customFormat="1" customHeight="1" ht="11.25">
      <c r="A133" s="1847"/>
      <c r="B133" s="1168"/>
      <c r="C133" s="418"/>
      <c r="D133" s="74"/>
      <c r="E133" s="2374"/>
      <c r="F133" s="1982"/>
      <c r="G133" s="2376"/>
      <c r="H133" s="1971"/>
      <c r="I133" s="2356"/>
      <c r="J133" s="2370"/>
      <c r="K133" s="2372"/>
      <c r="L133" s="651"/>
      <c r="M133" s="652"/>
      <c r="N133" s="653" t="s">
        <v>1391</v>
      </c>
      <c r="O133" s="653"/>
      <c r="P133" s="653"/>
      <c r="Q133" s="653"/>
      <c r="R133" s="654"/>
      <c r="S133" s="2041"/>
      <c r="T133" s="723"/>
      <c r="U133" s="74"/>
      <c r="V133" s="74"/>
      <c r="AC133" s="74"/>
    </row>
    <row s="2666" customFormat="1" customHeight="1" ht="11.25">
      <c r="A134" s="1847"/>
      <c r="B134" s="1168"/>
      <c r="C134" s="418"/>
      <c r="D134" s="74"/>
      <c r="E134" s="2375"/>
      <c r="F134" s="1982"/>
      <c r="G134" s="2377"/>
      <c r="H134" s="651" t="s">
        <v>24</v>
      </c>
      <c r="I134" s="652"/>
      <c r="J134" s="653" t="s">
        <v>1392</v>
      </c>
      <c r="K134" s="653"/>
      <c r="L134" s="653"/>
      <c r="M134" s="653"/>
      <c r="N134" s="653"/>
      <c r="O134" s="653"/>
      <c r="P134" s="653"/>
      <c r="Q134" s="653"/>
      <c r="R134" s="654"/>
      <c r="S134" s="2041"/>
      <c r="T134" s="723"/>
      <c r="U134" s="74"/>
      <c r="V134" s="74"/>
      <c r="AC134" s="74"/>
    </row>
    <row r="139" s="2666" customFormat="1" customHeight="1" ht="11.25">
      <c r="A139" s="1847"/>
      <c r="B139" s="1168"/>
      <c r="C139" s="418"/>
      <c r="D139" s="74"/>
      <c r="E139" s="1871"/>
      <c r="F139" s="1871"/>
      <c r="G139" s="1871"/>
      <c r="H139" s="1971"/>
      <c r="I139" s="2356" t="s">
        <v>1143</v>
      </c>
      <c r="J139" s="2370"/>
      <c r="K139" s="2371"/>
      <c r="L139" s="646"/>
      <c r="M139" s="647" t="s">
        <v>193</v>
      </c>
      <c r="N139" s="1836"/>
      <c r="O139" s="648"/>
      <c r="P139" s="649"/>
      <c r="Q139" s="648"/>
      <c r="R139" s="650">
        <v>0</v>
      </c>
      <c r="S139" s="74"/>
      <c r="T139" s="723"/>
      <c r="U139" s="74"/>
      <c r="V139" s="74"/>
      <c r="AC139" s="74"/>
    </row>
    <row s="2666" customFormat="1" customHeight="1" ht="11.25">
      <c r="A140" s="1847"/>
      <c r="B140" s="1168"/>
      <c r="C140" s="418"/>
      <c r="D140" s="74"/>
      <c r="E140" s="1871"/>
      <c r="F140" s="1871"/>
      <c r="G140" s="1871"/>
      <c r="H140" s="1971"/>
      <c r="I140" s="2356"/>
      <c r="J140" s="2370"/>
      <c r="K140" s="2372"/>
      <c r="L140" s="651"/>
      <c r="M140" s="652"/>
      <c r="N140" s="653" t="s">
        <v>1391</v>
      </c>
      <c r="O140" s="653"/>
      <c r="P140" s="653"/>
      <c r="Q140" s="653"/>
      <c r="R140" s="654"/>
      <c r="S140" s="74"/>
      <c r="T140" s="723"/>
      <c r="U140" s="74"/>
      <c r="V140" s="74"/>
      <c r="AC140" s="74"/>
    </row>
    <row r="142" s="2666" customFormat="1" customHeight="1" ht="11.25">
      <c r="A142" s="1847"/>
      <c r="B142" s="1168"/>
      <c r="C142" s="418"/>
      <c r="D142" s="74"/>
      <c r="E142" s="1878"/>
      <c r="F142" s="1876"/>
      <c r="G142" s="1876"/>
      <c r="H142" s="1879"/>
      <c r="I142" s="1871"/>
      <c r="J142" s="1872"/>
      <c r="K142" s="1872"/>
      <c r="L142" s="646"/>
      <c r="M142" s="647" t="s">
        <v>193</v>
      </c>
      <c r="N142" s="1836"/>
      <c r="O142" s="648"/>
      <c r="P142" s="649"/>
      <c r="Q142" s="648"/>
      <c r="R142" s="650">
        <v>0</v>
      </c>
      <c r="S142" s="74"/>
      <c r="T142" s="723"/>
      <c r="U142" s="74"/>
      <c r="V142" s="74"/>
      <c r="AC142" s="74"/>
    </row>
    <row r="144" s="13133" customFormat="1" customHeight="1" ht="17.25">
      <c r="A144" s="1856" t="s">
        <v>1393</v>
      </c>
    </row>
    <row customHeight="1" ht="17.25">
      <c r="G145" s="1880"/>
      <c r="H145" s="1880"/>
      <c r="I145" s="1880"/>
      <c r="M145" s="1876"/>
    </row>
    <row s="13319" customFormat="1" customHeight="1" ht="17.25">
      <c r="A146" s="1881"/>
      <c r="C146" s="1883"/>
      <c r="D146" s="2353"/>
      <c r="E146" s="1993"/>
      <c r="F146" s="1995"/>
      <c r="G146" s="2359"/>
      <c r="H146" s="2353"/>
      <c r="I146" s="2353">
        <v>1</v>
      </c>
      <c r="J146" s="2389"/>
      <c r="K146" s="2044" t="s">
        <v>63</v>
      </c>
      <c r="L146" s="1982"/>
      <c r="M146" s="1982" t="s">
        <v>193</v>
      </c>
      <c r="N146" s="2387" t="str">
        <f>IF(Z146="","",INDEX(TERRITORY_MR_LIST,MATCH(Z146,TERRITORY_LIST_ID,0)))</f>
        <v/>
      </c>
      <c r="O146" s="2044" t="s">
        <v>63</v>
      </c>
      <c r="P146" s="1982"/>
      <c r="Q146" s="1982" t="s">
        <v>193</v>
      </c>
      <c r="R146" s="2358" t="s">
        <v>24</v>
      </c>
      <c r="S146" s="1981" t="s">
        <v>63</v>
      </c>
      <c r="T146" s="1852"/>
      <c r="U146" s="1852" t="s">
        <v>193</v>
      </c>
      <c r="V146" s="1884" t="s">
        <v>24</v>
      </c>
      <c r="W146" s="1842"/>
      <c r="Y146" s="1296"/>
      <c r="Z146" s="1296"/>
      <c r="AA146" s="1296"/>
      <c r="AB146" s="1296"/>
      <c r="AC146" s="1296"/>
      <c r="AD146" s="1296"/>
      <c r="AE146" s="1296"/>
      <c r="AF146" s="1296"/>
      <c r="AG146" s="1296"/>
      <c r="AH146" s="1296"/>
      <c r="AI146" s="1296"/>
      <c r="AJ146" s="1296"/>
      <c r="AK146" s="1296"/>
      <c r="AL146" s="1885"/>
      <c r="AM146" s="1885"/>
      <c r="AN146" s="1296"/>
      <c r="AO146" s="1296"/>
      <c r="AP146" s="1296"/>
      <c r="AQ146" s="1296"/>
    </row>
    <row s="13319" customFormat="1" customHeight="1" ht="17.25">
      <c r="A147" s="1881"/>
      <c r="C147" s="1886"/>
      <c r="D147" s="2353"/>
      <c r="E147" s="1993"/>
      <c r="F147" s="1996"/>
      <c r="G147" s="2359"/>
      <c r="H147" s="2353"/>
      <c r="I147" s="2353"/>
      <c r="J147" s="2389"/>
      <c r="K147" s="2045"/>
      <c r="L147" s="1982"/>
      <c r="M147" s="1982"/>
      <c r="N147" s="2387"/>
      <c r="O147" s="2045"/>
      <c r="P147" s="1982"/>
      <c r="Q147" s="1982"/>
      <c r="R147" s="2358"/>
      <c r="S147" s="1981"/>
      <c r="T147" s="310"/>
      <c r="U147" s="311"/>
      <c r="V147" s="311" t="s">
        <v>254</v>
      </c>
      <c r="W147" s="312"/>
      <c r="Y147" s="1288"/>
      <c r="Z147" s="1288"/>
      <c r="AA147" s="1288"/>
      <c r="AB147" s="1288"/>
      <c r="AC147" s="1288"/>
      <c r="AD147" s="1288"/>
      <c r="AE147" s="1288"/>
      <c r="AF147" s="1288"/>
      <c r="AG147" s="1288"/>
      <c r="AH147" s="1288"/>
      <c r="AI147" s="1288"/>
      <c r="AJ147" s="1288"/>
      <c r="AK147" s="1288"/>
    </row>
    <row s="13319" customFormat="1" customHeight="1" ht="17.25">
      <c r="A148" s="1881"/>
      <c r="C148" s="1886"/>
      <c r="D148" s="2354"/>
      <c r="E148" s="2386"/>
      <c r="F148" s="1996"/>
      <c r="G148" s="2360"/>
      <c r="H148" s="2354"/>
      <c r="I148" s="2354"/>
      <c r="J148" s="2390"/>
      <c r="K148" s="2045"/>
      <c r="L148" s="2354"/>
      <c r="M148" s="2354"/>
      <c r="N148" s="2388"/>
      <c r="O148" s="1986"/>
      <c r="P148" s="310"/>
      <c r="Q148" s="311"/>
      <c r="R148" s="311" t="s">
        <v>255</v>
      </c>
      <c r="S148" s="1887"/>
      <c r="T148" s="1887"/>
      <c r="U148" s="1887"/>
      <c r="V148" s="1887"/>
      <c r="W148" s="312"/>
      <c r="Y148" s="1288"/>
      <c r="Z148" s="1288"/>
      <c r="AA148" s="1288"/>
      <c r="AB148" s="1288"/>
      <c r="AC148" s="1288"/>
      <c r="AD148" s="1288"/>
      <c r="AE148" s="1288"/>
      <c r="AF148" s="1288"/>
      <c r="AG148" s="1288"/>
      <c r="AH148" s="1288"/>
      <c r="AI148" s="1288"/>
      <c r="AJ148" s="1288"/>
      <c r="AK148" s="1288"/>
    </row>
    <row s="13319" customFormat="1" customHeight="1" ht="17.25">
      <c r="A149" s="1881"/>
      <c r="C149" s="1886"/>
      <c r="D149" s="2354"/>
      <c r="E149" s="2386"/>
      <c r="F149" s="1996"/>
      <c r="G149" s="2360"/>
      <c r="H149" s="2354"/>
      <c r="I149" s="2354"/>
      <c r="J149" s="2390"/>
      <c r="K149" s="1986"/>
      <c r="L149" s="310"/>
      <c r="M149" s="311"/>
      <c r="N149" s="311" t="s">
        <v>329</v>
      </c>
      <c r="O149" s="311"/>
      <c r="P149" s="311"/>
      <c r="Q149" s="311"/>
      <c r="R149" s="311"/>
      <c r="S149" s="1887"/>
      <c r="T149" s="1887"/>
      <c r="U149" s="1887"/>
      <c r="V149" s="1887"/>
      <c r="W149" s="312"/>
      <c r="Y149" s="1288"/>
      <c r="Z149" s="1288"/>
      <c r="AA149" s="1288"/>
      <c r="AB149" s="1288"/>
      <c r="AC149" s="1288"/>
      <c r="AD149" s="1288"/>
      <c r="AE149" s="1288"/>
      <c r="AF149" s="1288"/>
      <c r="AG149" s="1288"/>
      <c r="AH149" s="1288"/>
      <c r="AI149" s="1288"/>
      <c r="AJ149" s="1288"/>
      <c r="AK149" s="1288"/>
    </row>
    <row s="13319" customFormat="1" customHeight="1" ht="17.25">
      <c r="A150" s="1881"/>
      <c r="C150" s="1886"/>
      <c r="D150" s="2354"/>
      <c r="E150" s="2386"/>
      <c r="F150" s="1997"/>
      <c r="G150" s="2360"/>
      <c r="H150" s="310"/>
      <c r="I150" s="311"/>
      <c r="J150" s="311" t="s">
        <v>398</v>
      </c>
      <c r="K150" s="311"/>
      <c r="L150" s="311"/>
      <c r="M150" s="311"/>
      <c r="N150" s="311"/>
      <c r="O150" s="311"/>
      <c r="P150" s="311"/>
      <c r="Q150" s="311"/>
      <c r="R150" s="311"/>
      <c r="S150" s="1887"/>
      <c r="T150" s="1887"/>
      <c r="U150" s="1887"/>
      <c r="V150" s="1887"/>
      <c r="W150" s="312"/>
      <c r="Y150" s="1288"/>
      <c r="Z150" s="1288"/>
      <c r="AA150" s="1288"/>
      <c r="AB150" s="1288"/>
      <c r="AC150" s="1288"/>
      <c r="AD150" s="1288"/>
      <c r="AE150" s="1288"/>
      <c r="AF150" s="1288"/>
      <c r="AG150" s="1288"/>
      <c r="AH150" s="1288"/>
      <c r="AI150" s="1288"/>
      <c r="AJ150" s="1288"/>
      <c r="AK150" s="1288"/>
    </row>
    <row customHeight="1" ht="17.25">
      <c r="G151" s="1880"/>
      <c r="H151" s="1880"/>
      <c r="I151" s="1880"/>
      <c r="M151" s="1876"/>
    </row>
    <row s="13319" customFormat="1" customHeight="1" ht="17.25">
      <c r="A152" s="1881"/>
      <c r="C152" s="1883"/>
      <c r="D152" s="1871"/>
      <c r="E152" s="1888"/>
      <c r="F152" s="1825"/>
      <c r="G152" s="1889"/>
      <c r="H152" s="2353"/>
      <c r="I152" s="2353">
        <v>1</v>
      </c>
      <c r="J152" s="2389"/>
      <c r="K152" s="2044" t="s">
        <v>63</v>
      </c>
      <c r="L152" s="1982"/>
      <c r="M152" s="1982" t="s">
        <v>193</v>
      </c>
      <c r="N152" s="2387" t="str">
        <f>IF(Z152="","",INDEX(TERRITORY_MR_LIST,MATCH(Z152,TERRITORY_LIST_ID,0)))</f>
        <v/>
      </c>
      <c r="O152" s="2044" t="s">
        <v>63</v>
      </c>
      <c r="P152" s="1982"/>
      <c r="Q152" s="1982" t="s">
        <v>193</v>
      </c>
      <c r="R152" s="2358" t="s">
        <v>24</v>
      </c>
      <c r="S152" s="1981" t="s">
        <v>63</v>
      </c>
      <c r="T152" s="1852"/>
      <c r="U152" s="1852" t="s">
        <v>193</v>
      </c>
      <c r="V152" s="1884" t="s">
        <v>24</v>
      </c>
      <c r="W152" s="1842"/>
      <c r="Y152" s="1296"/>
      <c r="Z152" s="1296"/>
      <c r="AA152" s="1296"/>
      <c r="AB152" s="1296"/>
      <c r="AC152" s="1296"/>
      <c r="AD152" s="1296"/>
      <c r="AE152" s="1296"/>
      <c r="AF152" s="1296"/>
      <c r="AG152" s="1296"/>
      <c r="AH152" s="1296"/>
      <c r="AI152" s="1296"/>
      <c r="AJ152" s="1296"/>
      <c r="AK152" s="1296"/>
      <c r="AL152" s="1885"/>
      <c r="AM152" s="1885"/>
      <c r="AN152" s="1296"/>
      <c r="AO152" s="1296"/>
      <c r="AP152" s="1296"/>
      <c r="AQ152" s="1296"/>
    </row>
    <row s="13319" customFormat="1" customHeight="1" ht="17.25">
      <c r="A153" s="1881"/>
      <c r="C153" s="1886"/>
      <c r="D153" s="1871"/>
      <c r="E153" s="1888"/>
      <c r="F153" s="1825"/>
      <c r="G153" s="1889"/>
      <c r="H153" s="2353"/>
      <c r="I153" s="2353"/>
      <c r="J153" s="2389"/>
      <c r="K153" s="2045"/>
      <c r="L153" s="1982"/>
      <c r="M153" s="1982"/>
      <c r="N153" s="2387"/>
      <c r="O153" s="2045"/>
      <c r="P153" s="1982"/>
      <c r="Q153" s="1982"/>
      <c r="R153" s="2358"/>
      <c r="S153" s="1981"/>
      <c r="T153" s="310"/>
      <c r="U153" s="311"/>
      <c r="V153" s="311" t="s">
        <v>254</v>
      </c>
      <c r="W153" s="312"/>
      <c r="Y153" s="1288"/>
      <c r="Z153" s="1288"/>
      <c r="AA153" s="1288"/>
      <c r="AB153" s="1288"/>
      <c r="AC153" s="1288"/>
      <c r="AD153" s="1288"/>
      <c r="AE153" s="1288"/>
      <c r="AF153" s="1288"/>
      <c r="AG153" s="1288"/>
      <c r="AH153" s="1288"/>
      <c r="AI153" s="1288"/>
      <c r="AJ153" s="1288"/>
      <c r="AK153" s="1288"/>
    </row>
    <row s="13319" customFormat="1" customHeight="1" ht="17.25">
      <c r="A154" s="1881"/>
      <c r="C154" s="1886"/>
      <c r="D154" s="1871"/>
      <c r="E154" s="1888"/>
      <c r="F154" s="1825"/>
      <c r="G154" s="1889"/>
      <c r="H154" s="2354"/>
      <c r="I154" s="2354"/>
      <c r="J154" s="2390"/>
      <c r="K154" s="2045"/>
      <c r="L154" s="2354"/>
      <c r="M154" s="2354"/>
      <c r="N154" s="2388"/>
      <c r="O154" s="1986"/>
      <c r="P154" s="310"/>
      <c r="Q154" s="311"/>
      <c r="R154" s="311" t="s">
        <v>255</v>
      </c>
      <c r="S154" s="1887"/>
      <c r="T154" s="1887"/>
      <c r="U154" s="1887"/>
      <c r="V154" s="1887"/>
      <c r="W154" s="312"/>
      <c r="Y154" s="1288"/>
      <c r="Z154" s="1288"/>
      <c r="AA154" s="1288"/>
      <c r="AB154" s="1288"/>
      <c r="AC154" s="1288"/>
      <c r="AD154" s="1288"/>
      <c r="AE154" s="1288"/>
      <c r="AF154" s="1288"/>
      <c r="AG154" s="1288"/>
      <c r="AH154" s="1288"/>
      <c r="AI154" s="1288"/>
      <c r="AJ154" s="1288"/>
      <c r="AK154" s="1288"/>
    </row>
    <row s="13319" customFormat="1" customHeight="1" ht="17.25">
      <c r="A155" s="1881"/>
      <c r="C155" s="1886"/>
      <c r="D155" s="1871"/>
      <c r="E155" s="1888"/>
      <c r="F155" s="1825"/>
      <c r="G155" s="1889"/>
      <c r="H155" s="2354"/>
      <c r="I155" s="2354"/>
      <c r="J155" s="2390"/>
      <c r="K155" s="1986"/>
      <c r="L155" s="310"/>
      <c r="M155" s="311"/>
      <c r="N155" s="311" t="s">
        <v>329</v>
      </c>
      <c r="O155" s="311"/>
      <c r="P155" s="311"/>
      <c r="Q155" s="311"/>
      <c r="R155" s="311"/>
      <c r="S155" s="1887"/>
      <c r="T155" s="1887"/>
      <c r="U155" s="1887"/>
      <c r="V155" s="1887"/>
      <c r="W155" s="312"/>
      <c r="Y155" s="1288"/>
      <c r="Z155" s="1288"/>
      <c r="AA155" s="1288"/>
      <c r="AB155" s="1288"/>
      <c r="AC155" s="1288"/>
      <c r="AD155" s="1288"/>
      <c r="AE155" s="1288"/>
      <c r="AF155" s="1288"/>
      <c r="AG155" s="1288"/>
      <c r="AH155" s="1288"/>
      <c r="AI155" s="1288"/>
      <c r="AJ155" s="1288"/>
      <c r="AK155" s="1288"/>
    </row>
    <row customHeight="1" ht="17.25">
      <c r="G156" s="1880"/>
      <c r="H156" s="1880"/>
      <c r="I156" s="1880"/>
      <c r="M156" s="1876"/>
    </row>
    <row s="13319" customFormat="1" customHeight="1" ht="17.25">
      <c r="A157" s="1881"/>
      <c r="C157" s="1883"/>
      <c r="D157" s="1871"/>
      <c r="E157" s="1888"/>
      <c r="F157" s="1825"/>
      <c r="G157" s="1889"/>
      <c r="H157" s="1871"/>
      <c r="I157" s="1871"/>
      <c r="J157" s="1890"/>
      <c r="K157" s="1800"/>
      <c r="L157" s="1982"/>
      <c r="M157" s="1982" t="s">
        <v>193</v>
      </c>
      <c r="N157" s="2387" t="str">
        <f>IF(Z157="","",INDEX(TERRITORY_MR_LIST,MATCH(Z157,TERRITORY_LIST_ID,0)))</f>
        <v/>
      </c>
      <c r="O157" s="2044" t="s">
        <v>63</v>
      </c>
      <c r="P157" s="1982"/>
      <c r="Q157" s="1982" t="s">
        <v>193</v>
      </c>
      <c r="R157" s="2358" t="s">
        <v>24</v>
      </c>
      <c r="S157" s="1981" t="s">
        <v>63</v>
      </c>
      <c r="T157" s="1852"/>
      <c r="U157" s="1852" t="s">
        <v>193</v>
      </c>
      <c r="V157" s="1884" t="s">
        <v>24</v>
      </c>
      <c r="W157" s="1842"/>
      <c r="Y157" s="1296"/>
      <c r="Z157" s="1296"/>
      <c r="AA157" s="1296"/>
      <c r="AB157" s="1296"/>
      <c r="AC157" s="1296"/>
      <c r="AD157" s="1296"/>
      <c r="AE157" s="1296"/>
      <c r="AF157" s="1296"/>
      <c r="AG157" s="1296"/>
      <c r="AH157" s="1296"/>
      <c r="AI157" s="1296"/>
      <c r="AJ157" s="1296"/>
      <c r="AK157" s="1296"/>
      <c r="AL157" s="1885"/>
      <c r="AM157" s="1885"/>
      <c r="AN157" s="1296"/>
      <c r="AO157" s="1296"/>
      <c r="AP157" s="1296"/>
      <c r="AQ157" s="1296"/>
    </row>
    <row s="13319" customFormat="1" customHeight="1" ht="17.25">
      <c r="A158" s="1881"/>
      <c r="C158" s="1886"/>
      <c r="D158" s="1871"/>
      <c r="E158" s="1888"/>
      <c r="F158" s="1825"/>
      <c r="G158" s="1889"/>
      <c r="H158" s="1871"/>
      <c r="I158" s="1871"/>
      <c r="J158" s="1890"/>
      <c r="K158" s="1800"/>
      <c r="L158" s="1982"/>
      <c r="M158" s="1982"/>
      <c r="N158" s="2387"/>
      <c r="O158" s="2045"/>
      <c r="P158" s="1982"/>
      <c r="Q158" s="1982"/>
      <c r="R158" s="2358"/>
      <c r="S158" s="1981"/>
      <c r="T158" s="310"/>
      <c r="U158" s="311"/>
      <c r="V158" s="311" t="s">
        <v>254</v>
      </c>
      <c r="W158" s="312"/>
      <c r="Y158" s="1288"/>
      <c r="Z158" s="1288"/>
      <c r="AA158" s="1288"/>
      <c r="AB158" s="1288"/>
      <c r="AC158" s="1288"/>
      <c r="AD158" s="1288"/>
      <c r="AE158" s="1288"/>
      <c r="AF158" s="1288"/>
      <c r="AG158" s="1288"/>
      <c r="AH158" s="1288"/>
      <c r="AI158" s="1288"/>
      <c r="AJ158" s="1288"/>
      <c r="AK158" s="1288"/>
    </row>
    <row s="13319" customFormat="1" customHeight="1" ht="17.25">
      <c r="A159" s="1881"/>
      <c r="C159" s="1886"/>
      <c r="D159" s="1871"/>
      <c r="E159" s="1888"/>
      <c r="F159" s="1825"/>
      <c r="G159" s="1889"/>
      <c r="H159" s="1871"/>
      <c r="I159" s="1871"/>
      <c r="J159" s="1890"/>
      <c r="K159" s="1800"/>
      <c r="L159" s="2354"/>
      <c r="M159" s="2354"/>
      <c r="N159" s="2388"/>
      <c r="O159" s="1986"/>
      <c r="P159" s="310"/>
      <c r="Q159" s="311"/>
      <c r="R159" s="311" t="s">
        <v>255</v>
      </c>
      <c r="S159" s="1887"/>
      <c r="T159" s="1887"/>
      <c r="U159" s="1887"/>
      <c r="V159" s="1887"/>
      <c r="W159" s="312"/>
      <c r="Y159" s="1288"/>
      <c r="Z159" s="1288"/>
      <c r="AA159" s="1288"/>
      <c r="AB159" s="1288"/>
      <c r="AC159" s="1288"/>
      <c r="AD159" s="1288"/>
      <c r="AE159" s="1288"/>
      <c r="AF159" s="1288"/>
      <c r="AG159" s="1288"/>
      <c r="AH159" s="1288"/>
      <c r="AI159" s="1288"/>
      <c r="AJ159" s="1288"/>
      <c r="AK159" s="1288"/>
    </row>
    <row customHeight="1" ht="17.25">
      <c r="G160" s="1880"/>
      <c r="H160" s="1880"/>
      <c r="I160" s="1880"/>
      <c r="M160" s="1876"/>
    </row>
    <row s="13319" customFormat="1" customHeight="1" ht="17.25">
      <c r="A161" s="1881"/>
      <c r="C161" s="1883"/>
      <c r="D161" s="1871"/>
      <c r="E161" s="1888"/>
      <c r="F161" s="1825"/>
      <c r="G161" s="1889"/>
      <c r="H161" s="1871"/>
      <c r="I161" s="1871"/>
      <c r="J161" s="1890"/>
      <c r="K161" s="1800"/>
      <c r="L161" s="1796"/>
      <c r="M161" s="1796"/>
      <c r="N161" s="1891"/>
      <c r="O161" s="1828"/>
      <c r="P161" s="1982"/>
      <c r="Q161" s="1982" t="s">
        <v>193</v>
      </c>
      <c r="R161" s="2358" t="s">
        <v>24</v>
      </c>
      <c r="S161" s="1981" t="s">
        <v>63</v>
      </c>
      <c r="T161" s="1852"/>
      <c r="U161" s="1852" t="s">
        <v>193</v>
      </c>
      <c r="V161" s="1884" t="s">
        <v>24</v>
      </c>
      <c r="W161" s="1842"/>
      <c r="Y161" s="1296"/>
      <c r="Z161" s="1296"/>
      <c r="AA161" s="1296"/>
      <c r="AB161" s="1296"/>
      <c r="AC161" s="1296"/>
      <c r="AD161" s="1296"/>
      <c r="AE161" s="1296"/>
      <c r="AF161" s="1296"/>
      <c r="AG161" s="1296"/>
      <c r="AH161" s="1296"/>
      <c r="AI161" s="1296"/>
      <c r="AJ161" s="1296"/>
      <c r="AK161" s="1296"/>
      <c r="AL161" s="1885"/>
      <c r="AM161" s="1885"/>
      <c r="AN161" s="1296"/>
      <c r="AO161" s="1296"/>
      <c r="AP161" s="1296"/>
      <c r="AQ161" s="1296"/>
    </row>
    <row s="13319" customFormat="1" customHeight="1" ht="17.25">
      <c r="A162" s="1881"/>
      <c r="C162" s="1886"/>
      <c r="D162" s="1871"/>
      <c r="E162" s="1888"/>
      <c r="F162" s="1825"/>
      <c r="G162" s="1889"/>
      <c r="H162" s="1871"/>
      <c r="I162" s="1871"/>
      <c r="J162" s="1890"/>
      <c r="K162" s="1800"/>
      <c r="L162" s="1796"/>
      <c r="M162" s="1796"/>
      <c r="N162" s="1891"/>
      <c r="O162" s="1828"/>
      <c r="P162" s="1982"/>
      <c r="Q162" s="1982"/>
      <c r="R162" s="2358"/>
      <c r="S162" s="1981"/>
      <c r="T162" s="310"/>
      <c r="U162" s="311"/>
      <c r="V162" s="311" t="s">
        <v>254</v>
      </c>
      <c r="W162" s="312"/>
      <c r="Y162" s="1288"/>
      <c r="Z162" s="1288"/>
      <c r="AA162" s="1288"/>
      <c r="AB162" s="1288"/>
      <c r="AC162" s="1288"/>
      <c r="AD162" s="1288"/>
      <c r="AE162" s="1288"/>
      <c r="AF162" s="1288"/>
      <c r="AG162" s="1288"/>
      <c r="AH162" s="1288"/>
      <c r="AI162" s="1288"/>
      <c r="AJ162" s="1288"/>
      <c r="AK162" s="1288"/>
    </row>
    <row customHeight="1" ht="17.25">
      <c r="G163" s="1880"/>
      <c r="H163" s="1880"/>
      <c r="I163" s="1880"/>
      <c r="M163" s="1876"/>
    </row>
    <row s="13319" customFormat="1" customHeight="1" ht="17.25">
      <c r="A164" s="1881"/>
      <c r="C164" s="1883"/>
      <c r="D164" s="1871"/>
      <c r="E164" s="1888"/>
      <c r="F164" s="1825"/>
      <c r="G164" s="1889"/>
      <c r="H164" s="1796"/>
      <c r="I164" s="1796"/>
      <c r="J164" s="1797"/>
      <c r="K164" s="1889"/>
      <c r="L164" s="1796"/>
      <c r="M164" s="1796"/>
      <c r="N164" s="1889"/>
      <c r="O164" s="1889"/>
      <c r="P164" s="1796"/>
      <c r="Q164" s="1796"/>
      <c r="R164" s="1798"/>
      <c r="S164" s="1889"/>
      <c r="T164" s="1852"/>
      <c r="U164" s="1852" t="s">
        <v>193</v>
      </c>
      <c r="V164" s="1884" t="s">
        <v>24</v>
      </c>
      <c r="W164" s="1842"/>
      <c r="Y164" s="1296"/>
      <c r="Z164" s="1296"/>
      <c r="AA164" s="1296"/>
      <c r="AB164" s="1296"/>
      <c r="AC164" s="1296"/>
      <c r="AD164" s="1296"/>
      <c r="AE164" s="1296"/>
      <c r="AF164" s="1296"/>
      <c r="AG164" s="1296"/>
      <c r="AH164" s="1296"/>
      <c r="AI164" s="1296"/>
      <c r="AJ164" s="1296"/>
      <c r="AK164" s="1296"/>
      <c r="AL164" s="1885"/>
      <c r="AM164" s="1885"/>
      <c r="AN164" s="1296"/>
      <c r="AO164" s="1296"/>
      <c r="AP164" s="1296"/>
      <c r="AQ164" s="1296"/>
    </row>
    <row r="166" s="13133" customFormat="1" customHeight="1" ht="17.25">
      <c r="A166" s="1856" t="s">
        <v>1394</v>
      </c>
    </row>
    <row customHeight="1" ht="17.25">
      <c r="G167" s="1880"/>
      <c r="H167" s="1880"/>
      <c r="I167" s="1880"/>
      <c r="M167" s="1876"/>
    </row>
    <row s="13319" customFormat="1" customHeight="1" ht="17.25">
      <c r="A168" s="1881"/>
      <c r="C168" s="1883"/>
      <c r="D168" s="2353"/>
      <c r="E168" s="1993"/>
      <c r="F168" s="1995"/>
      <c r="G168" s="2359"/>
      <c r="H168" s="2353"/>
      <c r="I168" s="2353">
        <v>1</v>
      </c>
      <c r="J168" s="2389"/>
      <c r="K168" s="2044" t="s">
        <v>63</v>
      </c>
      <c r="L168" s="1982"/>
      <c r="M168" s="1982" t="s">
        <v>193</v>
      </c>
      <c r="N168" s="2387" t="str">
        <f>IF(Z168="","",INDEX(TERRITORY_MR_LIST,MATCH(Z168,TERRITORY_LIST_ID,0)))</f>
        <v/>
      </c>
      <c r="O168" s="2044" t="s">
        <v>63</v>
      </c>
      <c r="P168" s="1982"/>
      <c r="Q168" s="1982" t="s">
        <v>193</v>
      </c>
      <c r="R168" s="2358" t="s">
        <v>24</v>
      </c>
      <c r="S168" s="2240" t="s">
        <v>58</v>
      </c>
      <c r="T168" s="1843"/>
      <c r="U168" s="1843" t="s">
        <v>193</v>
      </c>
      <c r="V168" s="1464"/>
      <c r="W168" s="2389"/>
      <c r="Y168" s="1296"/>
      <c r="Z168" s="1296"/>
      <c r="AA168" s="1296"/>
      <c r="AB168" s="1296"/>
      <c r="AC168" s="1296"/>
      <c r="AD168" s="1296"/>
      <c r="AE168" s="1296"/>
      <c r="AF168" s="1296"/>
      <c r="AG168" s="1296"/>
      <c r="AH168" s="1296"/>
      <c r="AI168" s="1296"/>
      <c r="AJ168" s="1296"/>
      <c r="AK168" s="1296"/>
      <c r="AL168" s="1885"/>
      <c r="AM168" s="1885"/>
      <c r="AN168" s="1296"/>
      <c r="AO168" s="1296"/>
      <c r="AP168" s="1296"/>
      <c r="AQ168" s="1296"/>
    </row>
    <row s="13319" customFormat="1" customHeight="1" ht="17.25">
      <c r="A169" s="1881"/>
      <c r="C169" s="1886"/>
      <c r="D169" s="2353"/>
      <c r="E169" s="1993"/>
      <c r="F169" s="1996"/>
      <c r="G169" s="2359"/>
      <c r="H169" s="2353"/>
      <c r="I169" s="2353"/>
      <c r="J169" s="2389"/>
      <c r="K169" s="2045"/>
      <c r="L169" s="1982"/>
      <c r="M169" s="1982"/>
      <c r="N169" s="2387"/>
      <c r="O169" s="2045"/>
      <c r="P169" s="1982"/>
      <c r="Q169" s="1982"/>
      <c r="R169" s="2358"/>
      <c r="S169" s="2240"/>
      <c r="T169" s="1465"/>
      <c r="U169" s="1466"/>
      <c r="V169" s="1466"/>
      <c r="W169" s="2389"/>
      <c r="Y169" s="1288"/>
      <c r="Z169" s="1288"/>
      <c r="AA169" s="1288"/>
      <c r="AB169" s="1288"/>
      <c r="AC169" s="1288"/>
      <c r="AD169" s="1288"/>
      <c r="AE169" s="1288"/>
      <c r="AF169" s="1288"/>
      <c r="AG169" s="1288"/>
      <c r="AH169" s="1288"/>
      <c r="AI169" s="1288"/>
      <c r="AJ169" s="1288"/>
      <c r="AK169" s="1288"/>
    </row>
    <row s="13319" customFormat="1" customHeight="1" ht="17.25">
      <c r="A170" s="1881"/>
      <c r="C170" s="1886"/>
      <c r="D170" s="2354"/>
      <c r="E170" s="2386"/>
      <c r="F170" s="1996"/>
      <c r="G170" s="2360"/>
      <c r="H170" s="2354"/>
      <c r="I170" s="2354"/>
      <c r="J170" s="2390"/>
      <c r="K170" s="2045"/>
      <c r="L170" s="2354"/>
      <c r="M170" s="2354"/>
      <c r="N170" s="2388"/>
      <c r="O170" s="1986"/>
      <c r="P170" s="310"/>
      <c r="Q170" s="311"/>
      <c r="R170" s="311" t="s">
        <v>255</v>
      </c>
      <c r="S170" s="1887"/>
      <c r="T170" s="1887"/>
      <c r="U170" s="1887"/>
      <c r="V170" s="1887"/>
      <c r="W170" s="1463"/>
      <c r="Y170" s="1288"/>
      <c r="Z170" s="1288"/>
      <c r="AA170" s="1288"/>
      <c r="AB170" s="1288"/>
      <c r="AC170" s="1288"/>
      <c r="AD170" s="1288"/>
      <c r="AE170" s="1288"/>
      <c r="AF170" s="1288"/>
      <c r="AG170" s="1288"/>
      <c r="AH170" s="1288"/>
      <c r="AI170" s="1288"/>
      <c r="AJ170" s="1288"/>
      <c r="AK170" s="1288"/>
    </row>
    <row s="13319" customFormat="1" customHeight="1" ht="17.25">
      <c r="A171" s="1881"/>
      <c r="C171" s="1886"/>
      <c r="D171" s="2354"/>
      <c r="E171" s="2386"/>
      <c r="F171" s="1996"/>
      <c r="G171" s="2360"/>
      <c r="H171" s="2354"/>
      <c r="I171" s="2354"/>
      <c r="J171" s="2390"/>
      <c r="K171" s="1986"/>
      <c r="L171" s="310"/>
      <c r="M171" s="311"/>
      <c r="N171" s="311" t="s">
        <v>329</v>
      </c>
      <c r="O171" s="311"/>
      <c r="P171" s="311"/>
      <c r="Q171" s="311"/>
      <c r="R171" s="311"/>
      <c r="S171" s="1887"/>
      <c r="T171" s="1887"/>
      <c r="U171" s="1887"/>
      <c r="V171" s="1887"/>
      <c r="W171" s="312"/>
      <c r="Y171" s="1288"/>
      <c r="Z171" s="1288"/>
      <c r="AA171" s="1288"/>
      <c r="AB171" s="1288"/>
      <c r="AC171" s="1288"/>
      <c r="AD171" s="1288"/>
      <c r="AE171" s="1288"/>
      <c r="AF171" s="1288"/>
      <c r="AG171" s="1288"/>
      <c r="AH171" s="1288"/>
      <c r="AI171" s="1288"/>
      <c r="AJ171" s="1288"/>
      <c r="AK171" s="1288"/>
    </row>
    <row s="13319" customFormat="1" customHeight="1" ht="17.25">
      <c r="A172" s="1881"/>
      <c r="C172" s="1886"/>
      <c r="D172" s="2354"/>
      <c r="E172" s="2386"/>
      <c r="F172" s="1997"/>
      <c r="G172" s="2360"/>
      <c r="H172" s="310"/>
      <c r="I172" s="311"/>
      <c r="J172" s="311" t="s">
        <v>398</v>
      </c>
      <c r="K172" s="311"/>
      <c r="L172" s="311"/>
      <c r="M172" s="311"/>
      <c r="N172" s="311"/>
      <c r="O172" s="311"/>
      <c r="P172" s="311"/>
      <c r="Q172" s="311"/>
      <c r="R172" s="311"/>
      <c r="S172" s="1887"/>
      <c r="T172" s="1887"/>
      <c r="U172" s="1887"/>
      <c r="V172" s="1887"/>
      <c r="W172" s="312"/>
      <c r="Y172" s="1288"/>
      <c r="Z172" s="1288"/>
      <c r="AA172" s="1288"/>
      <c r="AB172" s="1288"/>
      <c r="AC172" s="1288"/>
      <c r="AD172" s="1288"/>
      <c r="AE172" s="1288"/>
      <c r="AF172" s="1288"/>
      <c r="AG172" s="1288"/>
      <c r="AH172" s="1288"/>
      <c r="AI172" s="1288"/>
      <c r="AJ172" s="1288"/>
      <c r="AK172" s="1288"/>
    </row>
    <row customHeight="1" ht="17.25">
      <c r="A173" s="1892"/>
    </row>
    <row s="13319" customFormat="1" customHeight="1" ht="17.25">
      <c r="A174" s="1881"/>
      <c r="C174" s="1883"/>
      <c r="D174" s="1871"/>
      <c r="E174" s="1888"/>
      <c r="F174" s="1825"/>
      <c r="G174" s="1889"/>
      <c r="H174" s="2353"/>
      <c r="I174" s="2353">
        <v>1</v>
      </c>
      <c r="J174" s="2389"/>
      <c r="K174" s="2044" t="s">
        <v>63</v>
      </c>
      <c r="L174" s="1982"/>
      <c r="M174" s="1982" t="s">
        <v>193</v>
      </c>
      <c r="N174" s="2387" t="str">
        <f>IF(Z174="","",INDEX(TERRITORY_MR_LIST,MATCH(Z174,TERRITORY_LIST_ID,0)))</f>
        <v/>
      </c>
      <c r="O174" s="2044" t="s">
        <v>63</v>
      </c>
      <c r="P174" s="1982"/>
      <c r="Q174" s="1982" t="s">
        <v>193</v>
      </c>
      <c r="R174" s="2358" t="s">
        <v>24</v>
      </c>
      <c r="S174" s="2240" t="s">
        <v>58</v>
      </c>
      <c r="T174" s="1843"/>
      <c r="U174" s="1843" t="s">
        <v>193</v>
      </c>
      <c r="V174" s="1464"/>
      <c r="W174" s="2389"/>
      <c r="Y174" s="1296"/>
      <c r="Z174" s="1296"/>
      <c r="AA174" s="1296"/>
      <c r="AB174" s="1296"/>
      <c r="AC174" s="1296"/>
      <c r="AD174" s="1296"/>
      <c r="AE174" s="1296"/>
      <c r="AF174" s="1296"/>
      <c r="AG174" s="1296"/>
      <c r="AH174" s="1296"/>
      <c r="AI174" s="1296"/>
      <c r="AJ174" s="1296"/>
      <c r="AK174" s="1296"/>
      <c r="AL174" s="1885"/>
      <c r="AM174" s="1885"/>
      <c r="AN174" s="1296"/>
      <c r="AO174" s="1296"/>
      <c r="AP174" s="1296"/>
      <c r="AQ174" s="1296"/>
    </row>
    <row s="13319" customFormat="1" customHeight="1" ht="17.25">
      <c r="A175" s="1881"/>
      <c r="C175" s="1886"/>
      <c r="D175" s="1871"/>
      <c r="E175" s="1888"/>
      <c r="F175" s="1825"/>
      <c r="G175" s="1889"/>
      <c r="H175" s="2353"/>
      <c r="I175" s="2353"/>
      <c r="J175" s="2389"/>
      <c r="K175" s="2045"/>
      <c r="L175" s="1982"/>
      <c r="M175" s="1982"/>
      <c r="N175" s="2387"/>
      <c r="O175" s="2045"/>
      <c r="P175" s="1982"/>
      <c r="Q175" s="1982"/>
      <c r="R175" s="2358"/>
      <c r="S175" s="2240"/>
      <c r="T175" s="1465"/>
      <c r="U175" s="1466"/>
      <c r="V175" s="1466"/>
      <c r="W175" s="2389"/>
      <c r="Y175" s="1288"/>
      <c r="Z175" s="1288"/>
      <c r="AA175" s="1288"/>
      <c r="AB175" s="1288"/>
      <c r="AC175" s="1288"/>
      <c r="AD175" s="1288"/>
      <c r="AE175" s="1288"/>
      <c r="AF175" s="1288"/>
      <c r="AG175" s="1288"/>
      <c r="AH175" s="1288"/>
      <c r="AI175" s="1288"/>
      <c r="AJ175" s="1288"/>
      <c r="AK175" s="1288"/>
    </row>
    <row s="13319" customFormat="1" customHeight="1" ht="17.25">
      <c r="A176" s="1881"/>
      <c r="C176" s="1886"/>
      <c r="D176" s="1871"/>
      <c r="E176" s="1888"/>
      <c r="F176" s="1825"/>
      <c r="G176" s="1889"/>
      <c r="H176" s="2354"/>
      <c r="I176" s="2354"/>
      <c r="J176" s="2390"/>
      <c r="K176" s="2045"/>
      <c r="L176" s="2354"/>
      <c r="M176" s="2354"/>
      <c r="N176" s="2388"/>
      <c r="O176" s="1986"/>
      <c r="P176" s="310"/>
      <c r="Q176" s="311"/>
      <c r="R176" s="311" t="s">
        <v>255</v>
      </c>
      <c r="S176" s="1887"/>
      <c r="T176" s="1887"/>
      <c r="U176" s="1887"/>
      <c r="V176" s="1887"/>
      <c r="W176" s="1463"/>
      <c r="Y176" s="1288"/>
      <c r="Z176" s="1288"/>
      <c r="AA176" s="1288"/>
      <c r="AB176" s="1288"/>
      <c r="AC176" s="1288"/>
      <c r="AD176" s="1288"/>
      <c r="AE176" s="1288"/>
      <c r="AF176" s="1288"/>
      <c r="AG176" s="1288"/>
      <c r="AH176" s="1288"/>
      <c r="AI176" s="1288"/>
      <c r="AJ176" s="1288"/>
      <c r="AK176" s="1288"/>
    </row>
    <row s="13319" customFormat="1" customHeight="1" ht="17.25">
      <c r="A177" s="1881"/>
      <c r="C177" s="1886"/>
      <c r="D177" s="1871"/>
      <c r="E177" s="1888"/>
      <c r="F177" s="1825"/>
      <c r="G177" s="1889"/>
      <c r="H177" s="2354"/>
      <c r="I177" s="2354"/>
      <c r="J177" s="2390"/>
      <c r="K177" s="1986"/>
      <c r="L177" s="310"/>
      <c r="M177" s="311"/>
      <c r="N177" s="311" t="s">
        <v>329</v>
      </c>
      <c r="O177" s="311"/>
      <c r="P177" s="311"/>
      <c r="Q177" s="311"/>
      <c r="R177" s="311"/>
      <c r="S177" s="1887"/>
      <c r="T177" s="1887"/>
      <c r="U177" s="1887"/>
      <c r="V177" s="1887"/>
      <c r="W177" s="312"/>
      <c r="Y177" s="1288"/>
      <c r="Z177" s="1288"/>
      <c r="AA177" s="1288"/>
      <c r="AB177" s="1288"/>
      <c r="AC177" s="1288"/>
      <c r="AD177" s="1288"/>
      <c r="AE177" s="1288"/>
      <c r="AF177" s="1288"/>
      <c r="AG177" s="1288"/>
      <c r="AH177" s="1288"/>
      <c r="AI177" s="1288"/>
      <c r="AJ177" s="1288"/>
      <c r="AK177" s="1288"/>
    </row>
    <row customHeight="1" ht="17.25">
      <c r="A178" s="1892"/>
    </row>
    <row s="13319" customFormat="1" customHeight="1" ht="17.25">
      <c r="A179" s="1881"/>
      <c r="C179" s="1883"/>
      <c r="D179" s="1871"/>
      <c r="E179" s="1888"/>
      <c r="F179" s="1825"/>
      <c r="G179" s="1889"/>
      <c r="H179" s="1871"/>
      <c r="I179" s="1871"/>
      <c r="J179" s="1893"/>
      <c r="K179" s="1889"/>
      <c r="L179" s="1982"/>
      <c r="M179" s="1982" t="s">
        <v>193</v>
      </c>
      <c r="N179" s="2387" t="str">
        <f>IF(Z179="","",INDEX(TERRITORY_MR_LIST,MATCH(Z179,TERRITORY_LIST_ID,0)))</f>
        <v/>
      </c>
      <c r="O179" s="2044" t="s">
        <v>63</v>
      </c>
      <c r="P179" s="1982"/>
      <c r="Q179" s="1982" t="s">
        <v>193</v>
      </c>
      <c r="R179" s="2358" t="s">
        <v>24</v>
      </c>
      <c r="S179" s="2240" t="s">
        <v>58</v>
      </c>
      <c r="T179" s="1843"/>
      <c r="U179" s="1843" t="s">
        <v>193</v>
      </c>
      <c r="V179" s="1464"/>
      <c r="W179" s="2389"/>
      <c r="Y179" s="1296"/>
      <c r="Z179" s="1296"/>
      <c r="AA179" s="1296"/>
      <c r="AB179" s="1296"/>
      <c r="AC179" s="1296"/>
      <c r="AD179" s="1296"/>
      <c r="AE179" s="1296"/>
      <c r="AF179" s="1296"/>
      <c r="AG179" s="1296"/>
      <c r="AH179" s="1296"/>
      <c r="AI179" s="1296"/>
      <c r="AJ179" s="1296"/>
      <c r="AK179" s="1296"/>
      <c r="AL179" s="1885"/>
      <c r="AM179" s="1885"/>
      <c r="AN179" s="1296"/>
      <c r="AO179" s="1296"/>
      <c r="AP179" s="1296"/>
      <c r="AQ179" s="1296"/>
    </row>
    <row s="13319" customFormat="1" customHeight="1" ht="17.25">
      <c r="A180" s="1881"/>
      <c r="C180" s="1886"/>
      <c r="D180" s="1871"/>
      <c r="E180" s="1888"/>
      <c r="F180" s="1825"/>
      <c r="G180" s="1889"/>
      <c r="H180" s="1871"/>
      <c r="I180" s="1871"/>
      <c r="J180" s="1893"/>
      <c r="K180" s="1889"/>
      <c r="L180" s="1982"/>
      <c r="M180" s="1982"/>
      <c r="N180" s="2387"/>
      <c r="O180" s="2045"/>
      <c r="P180" s="1982"/>
      <c r="Q180" s="1982"/>
      <c r="R180" s="2358"/>
      <c r="S180" s="2240"/>
      <c r="T180" s="1465"/>
      <c r="U180" s="1466"/>
      <c r="V180" s="1466"/>
      <c r="W180" s="2389"/>
      <c r="Y180" s="1288"/>
      <c r="Z180" s="1288"/>
      <c r="AA180" s="1288"/>
      <c r="AB180" s="1288"/>
      <c r="AC180" s="1288"/>
      <c r="AD180" s="1288"/>
      <c r="AE180" s="1288"/>
      <c r="AF180" s="1288"/>
      <c r="AG180" s="1288"/>
      <c r="AH180" s="1288"/>
      <c r="AI180" s="1288"/>
      <c r="AJ180" s="1288"/>
      <c r="AK180" s="1288"/>
    </row>
    <row s="13319" customFormat="1" customHeight="1" ht="17.25">
      <c r="A181" s="1881"/>
      <c r="C181" s="1886"/>
      <c r="D181" s="1871"/>
      <c r="E181" s="1888"/>
      <c r="F181" s="1825"/>
      <c r="G181" s="1889"/>
      <c r="H181" s="1871"/>
      <c r="I181" s="1871"/>
      <c r="J181" s="1893"/>
      <c r="K181" s="1889"/>
      <c r="L181" s="2354"/>
      <c r="M181" s="2354"/>
      <c r="N181" s="2388"/>
      <c r="O181" s="1986"/>
      <c r="P181" s="310"/>
      <c r="Q181" s="311"/>
      <c r="R181" s="311" t="s">
        <v>255</v>
      </c>
      <c r="S181" s="1887"/>
      <c r="T181" s="1887"/>
      <c r="U181" s="1887"/>
      <c r="V181" s="1887"/>
      <c r="W181" s="1463"/>
      <c r="Y181" s="1288"/>
      <c r="Z181" s="1288"/>
      <c r="AA181" s="1288"/>
      <c r="AB181" s="1288"/>
      <c r="AC181" s="1288"/>
      <c r="AD181" s="1288"/>
      <c r="AE181" s="1288"/>
      <c r="AF181" s="1288"/>
      <c r="AG181" s="1288"/>
      <c r="AH181" s="1288"/>
      <c r="AI181" s="1288"/>
      <c r="AJ181" s="1288"/>
      <c r="AK181" s="1288"/>
    </row>
    <row customHeight="1" ht="17.25">
      <c r="A182" s="1892"/>
    </row>
    <row s="13319" customFormat="1" customHeight="1" ht="17.25">
      <c r="A183" s="1881"/>
      <c r="C183" s="1883"/>
      <c r="D183" s="1871"/>
      <c r="E183" s="1888"/>
      <c r="F183" s="1825"/>
      <c r="G183" s="1889"/>
      <c r="H183" s="1871"/>
      <c r="I183" s="1871"/>
      <c r="J183" s="1893"/>
      <c r="K183" s="1889"/>
      <c r="L183" s="1871"/>
      <c r="M183" s="1871"/>
      <c r="N183" s="1891"/>
      <c r="O183" s="1828"/>
      <c r="P183" s="1982"/>
      <c r="Q183" s="1982" t="s">
        <v>193</v>
      </c>
      <c r="R183" s="2358" t="s">
        <v>24</v>
      </c>
      <c r="S183" s="2240" t="s">
        <v>58</v>
      </c>
      <c r="T183" s="1843"/>
      <c r="U183" s="1843" t="s">
        <v>193</v>
      </c>
      <c r="V183" s="1464"/>
      <c r="W183" s="2389"/>
      <c r="Y183" s="1296"/>
      <c r="Z183" s="1296"/>
      <c r="AA183" s="1296"/>
      <c r="AB183" s="1296"/>
      <c r="AC183" s="1296"/>
      <c r="AD183" s="1296"/>
      <c r="AE183" s="1296"/>
      <c r="AF183" s="1296"/>
      <c r="AG183" s="1296"/>
      <c r="AH183" s="1296"/>
      <c r="AI183" s="1296"/>
      <c r="AJ183" s="1296"/>
      <c r="AK183" s="1296"/>
      <c r="AL183" s="1885"/>
      <c r="AM183" s="1885"/>
      <c r="AN183" s="1296"/>
      <c r="AO183" s="1296"/>
      <c r="AP183" s="1296"/>
      <c r="AQ183" s="1296"/>
    </row>
    <row s="13319" customFormat="1" customHeight="1" ht="17.25">
      <c r="A184" s="1881"/>
      <c r="C184" s="1886"/>
      <c r="D184" s="1871"/>
      <c r="E184" s="1888"/>
      <c r="F184" s="1825"/>
      <c r="G184" s="1889"/>
      <c r="H184" s="1871"/>
      <c r="I184" s="1871"/>
      <c r="J184" s="1893"/>
      <c r="K184" s="1889"/>
      <c r="L184" s="1871"/>
      <c r="M184" s="1871"/>
      <c r="N184" s="1891"/>
      <c r="O184" s="1828"/>
      <c r="P184" s="1982"/>
      <c r="Q184" s="1982"/>
      <c r="R184" s="2358"/>
      <c r="S184" s="2240"/>
      <c r="T184" s="1465"/>
      <c r="U184" s="1466"/>
      <c r="V184" s="1466"/>
      <c r="W184" s="2389"/>
      <c r="Y184" s="1288"/>
      <c r="Z184" s="1288"/>
      <c r="AA184" s="1288"/>
      <c r="AB184" s="1288"/>
      <c r="AC184" s="1288"/>
      <c r="AD184" s="1288"/>
      <c r="AE184" s="1288"/>
      <c r="AF184" s="1288"/>
      <c r="AG184" s="1288"/>
      <c r="AH184" s="1288"/>
      <c r="AI184" s="1288"/>
      <c r="AJ184" s="1288"/>
      <c r="AK184" s="1288"/>
    </row>
    <row customHeight="1" ht="17.25">
      <c r="A185" s="1892"/>
    </row>
    <row customHeight="1" ht="16.5">
      <c r="A186" s="1881"/>
      <c r="B186" s="1882"/>
      <c r="C186" s="1886"/>
      <c r="D186" s="2379"/>
      <c r="E186" s="2041"/>
      <c r="F186" s="2041"/>
      <c r="G186" s="1971"/>
      <c r="H186" s="2380"/>
      <c r="I186" s="2392"/>
      <c r="J186" s="2002"/>
      <c r="K186" s="1989"/>
      <c r="L186" s="1989"/>
      <c r="M186" s="1989"/>
      <c r="N186" s="2383"/>
      <c r="O186" s="1989"/>
      <c r="P186" s="1989"/>
      <c r="Q186" s="1989"/>
      <c r="R186" s="2391"/>
      <c r="S186" s="1989"/>
      <c r="T186" s="1824"/>
      <c r="U186" s="1824"/>
      <c r="V186" s="1894"/>
      <c r="W186" s="1326"/>
    </row>
    <row customHeight="1" ht="16.5">
      <c r="A187" s="1881"/>
      <c r="B187" s="1882"/>
      <c r="C187" s="1886"/>
      <c r="D187" s="2379"/>
      <c r="E187" s="2041"/>
      <c r="F187" s="2041"/>
      <c r="G187" s="1971"/>
      <c r="H187" s="2381"/>
      <c r="I187" s="2393"/>
      <c r="J187" s="2003"/>
      <c r="K187" s="1990"/>
      <c r="L187" s="1990"/>
      <c r="M187" s="1990"/>
      <c r="N187" s="2384"/>
      <c r="O187" s="1990"/>
      <c r="P187" s="1990"/>
      <c r="Q187" s="1990"/>
      <c r="R187" s="2385"/>
      <c r="S187" s="1990"/>
      <c r="T187" s="1327"/>
      <c r="U187" s="1327"/>
      <c r="V187" s="1327"/>
      <c r="W187" s="1328"/>
    </row>
    <row customHeight="1" ht="17.25">
      <c r="A188" s="1881"/>
      <c r="B188" s="1882"/>
      <c r="C188" s="1886"/>
      <c r="D188" s="2379"/>
      <c r="E188" s="2041"/>
      <c r="F188" s="2041"/>
      <c r="G188" s="1971"/>
      <c r="H188" s="2381"/>
      <c r="I188" s="2393"/>
      <c r="J188" s="2382"/>
      <c r="K188" s="1990"/>
      <c r="L188" s="1990"/>
      <c r="M188" s="1990"/>
      <c r="N188" s="2385"/>
      <c r="O188" s="1990"/>
      <c r="P188" s="1827"/>
      <c r="Q188" s="1327"/>
      <c r="R188" s="1327"/>
      <c r="S188" s="1895"/>
      <c r="T188" s="1895"/>
      <c r="U188" s="1895"/>
      <c r="V188" s="1895"/>
      <c r="W188" s="1328"/>
    </row>
    <row customHeight="1" ht="17.25">
      <c r="A189" s="1881"/>
      <c r="B189" s="1882"/>
      <c r="C189" s="1886"/>
      <c r="D189" s="2379"/>
      <c r="E189" s="2041"/>
      <c r="F189" s="2041"/>
      <c r="G189" s="1971"/>
      <c r="H189" s="2381"/>
      <c r="I189" s="2393"/>
      <c r="J189" s="2382"/>
      <c r="K189" s="1990"/>
      <c r="L189" s="1327"/>
      <c r="M189" s="1327"/>
      <c r="N189" s="1327"/>
      <c r="O189" s="1327"/>
      <c r="P189" s="1327"/>
      <c r="Q189" s="1327"/>
      <c r="R189" s="1327"/>
      <c r="S189" s="1895"/>
      <c r="T189" s="1895"/>
      <c r="U189" s="1895"/>
      <c r="V189" s="1895"/>
      <c r="W189" s="1328"/>
    </row>
    <row customHeight="1" ht="17.25">
      <c r="A190" s="1881"/>
      <c r="B190" s="1882"/>
      <c r="C190" s="1886"/>
      <c r="D190" s="2379"/>
      <c r="E190" s="2041"/>
      <c r="F190" s="2041"/>
      <c r="G190" s="1971"/>
      <c r="H190" s="1329"/>
      <c r="I190" s="1330"/>
      <c r="J190" s="1330"/>
      <c r="K190" s="1330"/>
      <c r="L190" s="1330"/>
      <c r="M190" s="1330"/>
      <c r="N190" s="1330"/>
      <c r="O190" s="1330"/>
      <c r="P190" s="1330"/>
      <c r="Q190" s="1330"/>
      <c r="R190" s="1330"/>
      <c r="S190" s="1896"/>
      <c r="T190" s="1896"/>
      <c r="U190" s="1896"/>
      <c r="V190" s="1896"/>
      <c r="W190" s="1332"/>
    </row>
    <row r="192" s="13133" customFormat="1" customHeight="1" ht="17.25">
      <c r="A192" s="1856" t="s">
        <v>1395</v>
      </c>
    </row>
    <row customHeight="1" ht="17.25">
      <c r="G193" s="1880"/>
      <c r="H193" s="1880"/>
      <c r="I193" s="1880"/>
      <c r="M193" s="1876"/>
    </row>
    <row s="2666" customFormat="1" customHeight="1" ht="15">
      <c r="D194" s="2416"/>
      <c r="E194" s="2036"/>
      <c r="F194" s="2036"/>
      <c r="G194" s="2044"/>
      <c r="H194" s="1604"/>
      <c r="I194" s="2417">
        <v>1</v>
      </c>
      <c r="J194" s="2389"/>
      <c r="K194" s="1619"/>
      <c r="L194" s="2044" t="s">
        <v>63</v>
      </c>
      <c r="M194" s="2044" t="s">
        <v>63</v>
      </c>
      <c r="N194" s="1604"/>
      <c r="O194" s="1982" t="s">
        <v>193</v>
      </c>
      <c r="P194" s="2411"/>
      <c r="Q194" s="1620"/>
      <c r="R194" s="2044" t="s">
        <v>63</v>
      </c>
      <c r="S194" s="2044" t="s">
        <v>63</v>
      </c>
      <c r="T194" s="1897"/>
      <c r="U194" s="1982" t="s">
        <v>193</v>
      </c>
      <c r="V194" s="2413" t="str">
        <f>IF(AK194="","",INDEX(TERRITORY_MR_LIST,MATCH(AK194,TERRITORY_LIST_ID,0)))</f>
        <v/>
      </c>
      <c r="W194" s="1621"/>
      <c r="X194" s="2044" t="s">
        <v>63</v>
      </c>
      <c r="Y194" s="2044" t="s">
        <v>58</v>
      </c>
      <c r="Z194" s="1604"/>
      <c r="AA194" s="1982" t="s">
        <v>193</v>
      </c>
      <c r="AB194" s="2415"/>
      <c r="AC194" s="1622"/>
      <c r="AD194" s="2044" t="s">
        <v>63</v>
      </c>
      <c r="AE194" s="2044" t="s">
        <v>58</v>
      </c>
      <c r="AF194" s="1602"/>
      <c r="AG194" s="1852" t="s">
        <v>193</v>
      </c>
      <c r="AH194" s="1612"/>
      <c r="AI194" s="1842"/>
    </row>
    <row s="2666" customFormat="1" customHeight="1" ht="15">
      <c r="D195" s="2416"/>
      <c r="E195" s="2036"/>
      <c r="F195" s="2036"/>
      <c r="G195" s="2045"/>
      <c r="H195" s="1604"/>
      <c r="I195" s="2417"/>
      <c r="J195" s="2389"/>
      <c r="K195" s="1603"/>
      <c r="L195" s="2045"/>
      <c r="M195" s="2045"/>
      <c r="N195" s="1604"/>
      <c r="O195" s="1982"/>
      <c r="P195" s="2411"/>
      <c r="Q195" s="1600"/>
      <c r="R195" s="2045"/>
      <c r="S195" s="2045"/>
      <c r="T195" s="1897"/>
      <c r="U195" s="1982"/>
      <c r="V195" s="2414"/>
      <c r="W195" s="1601"/>
      <c r="X195" s="2045"/>
      <c r="Y195" s="2045"/>
      <c r="Z195" s="1604"/>
      <c r="AA195" s="1982"/>
      <c r="AB195" s="2342"/>
      <c r="AC195" s="1605"/>
      <c r="AD195" s="1986"/>
      <c r="AE195" s="1986"/>
      <c r="AF195" s="1606"/>
      <c r="AG195" s="1607"/>
      <c r="AH195" s="2419" t="s">
        <v>1396</v>
      </c>
      <c r="AI195" s="2420"/>
    </row>
    <row s="2666" customFormat="1" customHeight="1" ht="15">
      <c r="D196" s="2416"/>
      <c r="E196" s="2036"/>
      <c r="F196" s="2036"/>
      <c r="G196" s="2045"/>
      <c r="H196" s="1604"/>
      <c r="I196" s="2417"/>
      <c r="J196" s="2389"/>
      <c r="K196" s="1603"/>
      <c r="L196" s="2045"/>
      <c r="M196" s="2045"/>
      <c r="N196" s="1604"/>
      <c r="O196" s="1982"/>
      <c r="P196" s="2411"/>
      <c r="Q196" s="1600"/>
      <c r="R196" s="2045"/>
      <c r="S196" s="2045"/>
      <c r="T196" s="1897"/>
      <c r="U196" s="1982"/>
      <c r="V196" s="2414"/>
      <c r="W196" s="1601"/>
      <c r="X196" s="2045"/>
      <c r="Y196" s="2045"/>
      <c r="Z196" s="1643"/>
      <c r="AA196" s="1609"/>
      <c r="AB196" s="2421" t="s">
        <v>1397</v>
      </c>
      <c r="AC196" s="2421"/>
      <c r="AD196" s="2421"/>
      <c r="AE196" s="2421"/>
      <c r="AF196" s="2421"/>
      <c r="AG196" s="2421"/>
      <c r="AH196" s="2421"/>
      <c r="AI196" s="2422"/>
    </row>
    <row s="2666" customFormat="1" customHeight="1" ht="15">
      <c r="D197" s="2416"/>
      <c r="E197" s="2036"/>
      <c r="F197" s="2036"/>
      <c r="G197" s="2045"/>
      <c r="H197" s="1604"/>
      <c r="I197" s="2417"/>
      <c r="J197" s="2389"/>
      <c r="K197" s="1603"/>
      <c r="L197" s="2045"/>
      <c r="M197" s="2045"/>
      <c r="N197" s="1604"/>
      <c r="O197" s="1982"/>
      <c r="P197" s="2423"/>
      <c r="Q197" s="1600"/>
      <c r="R197" s="2045"/>
      <c r="S197" s="2045"/>
      <c r="T197" s="1898"/>
      <c r="U197" s="1644"/>
      <c r="V197" s="2419" t="s">
        <v>187</v>
      </c>
      <c r="W197" s="2419"/>
      <c r="X197" s="2419"/>
      <c r="Y197" s="2419"/>
      <c r="Z197" s="2419"/>
      <c r="AA197" s="2419"/>
      <c r="AB197" s="2419"/>
      <c r="AC197" s="2419"/>
      <c r="AD197" s="2419"/>
      <c r="AE197" s="2419"/>
      <c r="AF197" s="2419"/>
      <c r="AG197" s="2419"/>
      <c r="AH197" s="2419"/>
      <c r="AI197" s="2420"/>
    </row>
    <row s="2666" customFormat="1" customHeight="1" ht="11.25">
      <c r="D198" s="2416"/>
      <c r="E198" s="2036"/>
      <c r="F198" s="2036"/>
      <c r="G198" s="2045"/>
      <c r="H198" s="1608"/>
      <c r="I198" s="2417"/>
      <c r="J198" s="2418"/>
      <c r="K198" s="1603"/>
      <c r="L198" s="2045"/>
      <c r="M198" s="2045"/>
      <c r="N198" s="1608"/>
      <c r="O198" s="1609"/>
      <c r="P198" s="2419" t="s">
        <v>1398</v>
      </c>
      <c r="Q198" s="2419"/>
      <c r="R198" s="2419"/>
      <c r="S198" s="2419"/>
      <c r="T198" s="2419"/>
      <c r="U198" s="2419"/>
      <c r="V198" s="2419"/>
      <c r="W198" s="2419"/>
      <c r="X198" s="2419"/>
      <c r="Y198" s="2419"/>
      <c r="Z198" s="2419"/>
      <c r="AA198" s="2419"/>
      <c r="AB198" s="2419"/>
      <c r="AC198" s="2419"/>
      <c r="AD198" s="2419"/>
      <c r="AE198" s="2419"/>
      <c r="AF198" s="2419"/>
      <c r="AG198" s="2419"/>
      <c r="AH198" s="2419"/>
      <c r="AI198" s="2420"/>
    </row>
    <row s="2980" customFormat="1" customHeight="1" ht="11.25">
      <c r="D199" s="2416"/>
      <c r="E199" s="2036"/>
      <c r="F199" s="2036"/>
      <c r="G199" s="1986"/>
      <c r="H199" s="1610"/>
      <c r="I199" s="1611"/>
      <c r="J199" s="2419" t="s">
        <v>398</v>
      </c>
      <c r="K199" s="2419"/>
      <c r="L199" s="2419"/>
      <c r="M199" s="2419"/>
      <c r="N199" s="2419"/>
      <c r="O199" s="2419"/>
      <c r="P199" s="2419"/>
      <c r="Q199" s="2419"/>
      <c r="R199" s="2419"/>
      <c r="S199" s="2419"/>
      <c r="T199" s="2419"/>
      <c r="U199" s="2419"/>
      <c r="V199" s="2419"/>
      <c r="W199" s="2419"/>
      <c r="X199" s="2419"/>
      <c r="Y199" s="2419"/>
      <c r="Z199" s="2419"/>
      <c r="AA199" s="2419"/>
      <c r="AB199" s="2419"/>
      <c r="AC199" s="2419"/>
      <c r="AD199" s="2419"/>
      <c r="AE199" s="2419"/>
      <c r="AF199" s="2419"/>
      <c r="AG199" s="2419"/>
      <c r="AH199" s="2419"/>
      <c r="AI199" s="2420"/>
      <c r="BK199" s="1614"/>
    </row>
    <row customHeight="1" ht="17.25">
      <c r="G200" s="1880"/>
      <c r="I200" s="1880"/>
      <c r="J200" s="1880"/>
      <c r="N200" s="1876"/>
    </row>
    <row s="2666" customFormat="1" customHeight="1" ht="15">
      <c r="D201" s="2416"/>
      <c r="E201" s="2036"/>
      <c r="F201" s="2036"/>
      <c r="G201" s="2041"/>
      <c r="H201" s="1639"/>
      <c r="I201" s="2046"/>
      <c r="J201" s="2002"/>
      <c r="K201" s="1826"/>
      <c r="L201" s="1989"/>
      <c r="M201" s="1989"/>
      <c r="N201" s="1624"/>
      <c r="O201" s="1989"/>
      <c r="P201" s="2002"/>
      <c r="Q201" s="1830"/>
      <c r="R201" s="1989"/>
      <c r="S201" s="1989"/>
      <c r="T201" s="1899"/>
      <c r="U201" s="1989"/>
      <c r="V201" s="2002"/>
      <c r="W201" s="1627"/>
      <c r="X201" s="1989"/>
      <c r="Y201" s="1989"/>
      <c r="Z201" s="1624"/>
      <c r="AA201" s="1989"/>
      <c r="AB201" s="2002"/>
      <c r="AC201" s="1628"/>
      <c r="AD201" s="1989"/>
      <c r="AE201" s="1989"/>
      <c r="AF201" s="1824"/>
      <c r="AG201" s="1824"/>
      <c r="AH201" s="1629"/>
      <c r="AI201" s="1326"/>
    </row>
    <row s="2666" customFormat="1" customHeight="1" ht="15">
      <c r="D202" s="2416"/>
      <c r="E202" s="2036"/>
      <c r="F202" s="2036"/>
      <c r="G202" s="2041"/>
      <c r="H202" s="1640"/>
      <c r="I202" s="2047"/>
      <c r="J202" s="2003"/>
      <c r="K202" s="1650"/>
      <c r="L202" s="1990"/>
      <c r="M202" s="1990"/>
      <c r="N202" s="1630"/>
      <c r="O202" s="1990"/>
      <c r="P202" s="2003"/>
      <c r="Q202" s="1831"/>
      <c r="R202" s="1990"/>
      <c r="S202" s="1990"/>
      <c r="T202" s="1900"/>
      <c r="U202" s="1990"/>
      <c r="V202" s="2003"/>
      <c r="W202" s="1633"/>
      <c r="X202" s="1990"/>
      <c r="Y202" s="1990"/>
      <c r="Z202" s="1630"/>
      <c r="AA202" s="1990"/>
      <c r="AB202" s="2003"/>
      <c r="AC202" s="1634"/>
      <c r="AD202" s="1990"/>
      <c r="AE202" s="1990"/>
      <c r="AF202" s="1829"/>
      <c r="AG202" s="1829"/>
      <c r="AH202" s="2050"/>
      <c r="AI202" s="2051"/>
    </row>
    <row s="2666" customFormat="1" customHeight="1" ht="15">
      <c r="D203" s="2416"/>
      <c r="E203" s="2036"/>
      <c r="F203" s="2036"/>
      <c r="G203" s="2041"/>
      <c r="H203" s="1640"/>
      <c r="I203" s="2047"/>
      <c r="J203" s="2003"/>
      <c r="K203" s="1650"/>
      <c r="L203" s="1990"/>
      <c r="M203" s="1990"/>
      <c r="N203" s="1630"/>
      <c r="O203" s="1990"/>
      <c r="P203" s="2003"/>
      <c r="Q203" s="1831"/>
      <c r="R203" s="1990"/>
      <c r="S203" s="1990"/>
      <c r="T203" s="1900"/>
      <c r="U203" s="1990"/>
      <c r="V203" s="2003"/>
      <c r="W203" s="1633"/>
      <c r="X203" s="1990"/>
      <c r="Y203" s="1990"/>
      <c r="Z203" s="1827"/>
      <c r="AA203" s="1829"/>
      <c r="AB203" s="2050"/>
      <c r="AC203" s="2050"/>
      <c r="AD203" s="2050"/>
      <c r="AE203" s="2050"/>
      <c r="AF203" s="2050"/>
      <c r="AG203" s="2050"/>
      <c r="AH203" s="2050"/>
      <c r="AI203" s="2051"/>
    </row>
    <row s="2666" customFormat="1" customHeight="1" ht="15">
      <c r="D204" s="2416"/>
      <c r="E204" s="2036"/>
      <c r="F204" s="2036"/>
      <c r="G204" s="2041"/>
      <c r="H204" s="1640"/>
      <c r="I204" s="2047"/>
      <c r="J204" s="2003"/>
      <c r="K204" s="1650"/>
      <c r="L204" s="1990"/>
      <c r="M204" s="1990"/>
      <c r="N204" s="1630"/>
      <c r="O204" s="1990"/>
      <c r="P204" s="2003"/>
      <c r="Q204" s="1831"/>
      <c r="R204" s="1990"/>
      <c r="S204" s="1990"/>
      <c r="T204" s="1901"/>
      <c r="U204" s="1637"/>
      <c r="V204" s="2050"/>
      <c r="W204" s="2050"/>
      <c r="X204" s="2050"/>
      <c r="Y204" s="2050"/>
      <c r="Z204" s="2050"/>
      <c r="AA204" s="2050"/>
      <c r="AB204" s="2050"/>
      <c r="AC204" s="2050"/>
      <c r="AD204" s="2050"/>
      <c r="AE204" s="2050"/>
      <c r="AF204" s="2050"/>
      <c r="AG204" s="2050"/>
      <c r="AH204" s="2050"/>
      <c r="AI204" s="2051"/>
    </row>
    <row s="2666" customFormat="1" customHeight="1" ht="11.25">
      <c r="D205" s="2416"/>
      <c r="E205" s="2036"/>
      <c r="F205" s="2036"/>
      <c r="G205" s="2041"/>
      <c r="H205" s="1641"/>
      <c r="I205" s="2047"/>
      <c r="J205" s="2003"/>
      <c r="K205" s="1650"/>
      <c r="L205" s="1990"/>
      <c r="M205" s="1990"/>
      <c r="N205" s="1829"/>
      <c r="O205" s="1829"/>
      <c r="P205" s="2050"/>
      <c r="Q205" s="2050"/>
      <c r="R205" s="2050"/>
      <c r="S205" s="2050"/>
      <c r="T205" s="2050"/>
      <c r="U205" s="2050"/>
      <c r="V205" s="2050"/>
      <c r="W205" s="2050"/>
      <c r="X205" s="2050"/>
      <c r="Y205" s="2050"/>
      <c r="Z205" s="2050"/>
      <c r="AA205" s="2050"/>
      <c r="AB205" s="2050"/>
      <c r="AC205" s="2050"/>
      <c r="AD205" s="2050"/>
      <c r="AE205" s="2050"/>
      <c r="AF205" s="2050"/>
      <c r="AG205" s="2050"/>
      <c r="AH205" s="2050"/>
      <c r="AI205" s="2051"/>
    </row>
    <row s="2980" customFormat="1" customHeight="1" ht="11.25">
      <c r="D206" s="2416"/>
      <c r="E206" s="2036"/>
      <c r="F206" s="2036"/>
      <c r="G206" s="2052"/>
      <c r="H206" s="1638"/>
      <c r="I206" s="1642"/>
      <c r="J206" s="2048"/>
      <c r="K206" s="2048"/>
      <c r="L206" s="2048"/>
      <c r="M206" s="2048"/>
      <c r="N206" s="2048"/>
      <c r="O206" s="2048"/>
      <c r="P206" s="2048"/>
      <c r="Q206" s="2048"/>
      <c r="R206" s="2048"/>
      <c r="S206" s="2048"/>
      <c r="T206" s="2048"/>
      <c r="U206" s="2048"/>
      <c r="V206" s="2048"/>
      <c r="W206" s="2048"/>
      <c r="X206" s="2048"/>
      <c r="Y206" s="2048"/>
      <c r="Z206" s="2048"/>
      <c r="AA206" s="2048"/>
      <c r="AB206" s="2048"/>
      <c r="AC206" s="2048"/>
      <c r="AD206" s="2048"/>
      <c r="AE206" s="2048"/>
      <c r="AF206" s="2048"/>
      <c r="AG206" s="2048"/>
      <c r="AH206" s="2048"/>
      <c r="AI206" s="2049"/>
      <c r="BK206" s="1614"/>
    </row>
    <row customHeight="1" ht="17.25">
      <c r="A207" s="1892"/>
    </row>
  </sheetData>
  <sheetProtection formatColumns="0" formatRows="0" sort="0" autoFilter="0" insertRows="0" insertColumns="1" deleteRows="0" deleteColumns="0"/>
  <mergeCells count="285">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S83:S85"/>
    <mergeCell ref="T83:T85"/>
    <mergeCell ref="U83:U85"/>
    <mergeCell ref="V83:V85"/>
    <mergeCell ref="W83:W85"/>
    <mergeCell ref="X83:X85"/>
    <mergeCell ref="Y83:Y85"/>
    <mergeCell ref="H93:H97"/>
    <mergeCell ref="I93:I97"/>
    <mergeCell ref="J93:J97"/>
    <mergeCell ref="K93:K97"/>
    <mergeCell ref="L93:L97"/>
    <mergeCell ref="M93:M97"/>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D201:D206"/>
    <mergeCell ref="E201:E206"/>
    <mergeCell ref="F201:F206"/>
    <mergeCell ref="G201:G206"/>
    <mergeCell ref="I201:I205"/>
    <mergeCell ref="J201:J205"/>
    <mergeCell ref="L201:L205"/>
    <mergeCell ref="M201:M205"/>
    <mergeCell ref="O201:O204"/>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W168:W169"/>
    <mergeCell ref="D168:D172"/>
    <mergeCell ref="E168:E172"/>
    <mergeCell ref="F168:F172"/>
    <mergeCell ref="G168:G172"/>
    <mergeCell ref="H168:H171"/>
    <mergeCell ref="I168:I171"/>
    <mergeCell ref="J168:J171"/>
    <mergeCell ref="K168:K171"/>
    <mergeCell ref="L168:L170"/>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Y64:Y65"/>
    <mergeCell ref="S64:S65"/>
    <mergeCell ref="T64:T65"/>
    <mergeCell ref="M64:M65"/>
    <mergeCell ref="N64:N65"/>
    <mergeCell ref="O64:O65"/>
    <mergeCell ref="Q64:Q65"/>
    <mergeCell ref="R64:R65"/>
    <mergeCell ref="W64:W65"/>
    <mergeCell ref="X64:X65"/>
    <mergeCell ref="P64:P65"/>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56FAFBEA-C335-EB9B-8529-6D64C1BCF19A}" mc:Ignorable="x14ac xr xr2 xr3">
  <sheetPr>
    <tabColor rgb="FFFFCC99"/>
  </sheetPr>
  <dimension ref="A1:CD118"/>
  <sheetViews>
    <sheetView topLeftCell="A1" showGridLines="0" workbookViewId="0">
      <selection activeCell="A1" sqref="A1"/>
    </sheetView>
  </sheetViews>
  <sheetFormatPr defaultColWidth="9.140625" customHeight="1" defaultRowHeight="11.25"/>
  <cols>
    <col min="1" max="1" style="13482" width="32.57421875" customWidth="1"/>
    <col min="2" max="2" style="13483" width="11.00390625" customWidth="1"/>
    <col min="3" max="3" style="13483" width="9.140625"/>
    <col min="4" max="4" style="13483" width="26.57421875" customWidth="1"/>
    <col min="5" max="5" style="13397" width="27.7109375" customWidth="1"/>
    <col min="6" max="6" style="13397" width="23.57421875" customWidth="1"/>
    <col min="7" max="7" style="13397" width="31.421875" customWidth="1"/>
    <col min="8" max="8" style="13397" width="40.8515625" customWidth="1"/>
    <col min="9" max="9" style="13397" width="14.57421875" customWidth="1"/>
    <col min="10" max="10" style="13397" width="26.8515625" customWidth="1"/>
    <col min="11" max="11" style="13397" width="50.00390625" customWidth="1"/>
    <col min="12" max="12" style="13397" width="52.421875" customWidth="1"/>
    <col min="13" max="13" style="13397" width="10.7109375" customWidth="1"/>
    <col min="14" max="14" style="13397" width="55.140625" customWidth="1"/>
    <col min="15" max="15" style="13397" width="31.8515625" customWidth="1"/>
    <col min="16" max="16" style="13397" width="23.8515625" customWidth="1"/>
    <col min="17" max="17" style="13397" width="46.57421875" customWidth="1"/>
    <col min="18" max="18" style="13397" width="24.00390625" customWidth="1"/>
    <col min="19" max="19" style="13397" width="20.57421875" customWidth="1"/>
    <col min="20" max="20" style="13397" width="22.00390625" customWidth="1"/>
    <col min="21" max="22" style="13397" width="26.421875" customWidth="1"/>
    <col min="23" max="23" style="13397" width="8.28125" hidden="1" customWidth="1"/>
    <col min="24" max="24" style="13397" width="59.7109375" customWidth="1"/>
    <col min="25" max="25" style="13397" width="49.140625" customWidth="1"/>
    <col min="26" max="26" style="13397" width="11.140625" customWidth="1"/>
    <col min="27" max="30" style="13397" width="29.00390625" customWidth="1"/>
    <col min="31" max="31" style="13397" width="9.140625"/>
    <col min="32" max="32" style="13397" width="34.7109375" customWidth="1"/>
    <col min="33" max="33" style="13397" width="9.140625"/>
    <col min="34" max="35" style="13397" width="34.421875" customWidth="1"/>
    <col min="36" max="36" style="13397" width="9.140625"/>
    <col min="37" max="37" style="13397" width="24.57421875" customWidth="1"/>
    <col min="38" max="38" style="13397" width="9.140625"/>
    <col min="39" max="39" style="13397" width="26.140625" customWidth="1"/>
    <col min="40" max="40" style="13397" width="1.7109375" customWidth="1"/>
    <col min="41" max="41" style="13397" width="9.140625"/>
    <col min="42" max="43" style="13397" width="47.8515625" customWidth="1"/>
    <col min="44" max="44" style="13397" width="1.7109375" customWidth="1"/>
    <col min="45" max="45" style="13397" width="21.421875" customWidth="1"/>
    <col min="46" max="46" style="13397" width="1.7109375" customWidth="1"/>
    <col min="47" max="47" style="13397" width="31.28125" customWidth="1"/>
    <col min="48" max="48" style="13397" width="1.7109375" customWidth="1"/>
    <col min="49" max="50" style="13484" width="9.140625"/>
    <col min="51" max="51" style="13397" width="3.7109375" customWidth="1"/>
    <col min="52" max="52" style="13397" width="55.00390625" customWidth="1"/>
    <col min="53" max="53" style="13397" width="9.140625"/>
    <col min="54" max="54" style="13397" width="35.140625" customWidth="1"/>
    <col min="55" max="55" style="13397" width="9.140625"/>
    <col min="56" max="56" style="13397" width="1.7109375" customWidth="1"/>
    <col min="57" max="57" style="13485" width="12.57421875" customWidth="1"/>
    <col min="58" max="58" style="13485" width="14.28125" customWidth="1"/>
    <col min="59" max="59" style="13397" width="30.7109375" customWidth="1"/>
    <col min="60" max="60" style="13392" width="40.7109375" customWidth="1"/>
    <col min="61" max="61" style="13392" width="15.00390625" customWidth="1"/>
    <col min="62" max="62" style="13392" width="40.7109375" customWidth="1"/>
    <col min="63" max="63" style="13392" width="2.7109375" customWidth="1"/>
    <col min="64" max="64" style="13392" width="44.7109375" customWidth="1"/>
    <col min="65" max="65" style="13392" width="2.7109375" customWidth="1"/>
    <col min="66" max="66" style="13392" width="40.7109375" customWidth="1"/>
    <col min="67" max="68" style="13397" width="9.140625"/>
    <col min="69" max="69" style="13397" width="18.140625" customWidth="1"/>
    <col min="70" max="70" style="13397" width="57.8515625" customWidth="1"/>
    <col min="71" max="71" style="13452" width="1.7109375" customWidth="1"/>
    <col min="72" max="72" style="13397" width="22.57421875" customWidth="1"/>
    <col min="73" max="73" style="13397" width="57.8515625" customWidth="1"/>
    <col min="74" max="74" style="13397" width="1.7109375" customWidth="1"/>
    <col min="75" max="75" style="13397" width="22.57421875" customWidth="1"/>
    <col min="76" max="76" style="13397" width="57.8515625" customWidth="1"/>
    <col min="77" max="77" style="13397" width="1.7109375" customWidth="1"/>
    <col min="78" max="78" style="13397" width="22.57421875" customWidth="1"/>
    <col min="79" max="79" style="13397" width="57.8515625" customWidth="1"/>
    <col min="80" max="81" style="13397" width="9.140625"/>
    <col min="82" max="82" style="13397" width="49.57421875" customWidth="1"/>
  </cols>
  <sheetData>
    <row s="13387" customFormat="1" customHeight="1" ht="11.25">
      <c r="A1" s="1074" t="s">
        <v>1399</v>
      </c>
      <c r="B1" s="1074" t="s">
        <v>1400</v>
      </c>
      <c r="C1" s="1074" t="s">
        <v>1401</v>
      </c>
      <c r="D1" s="1074" t="s">
        <v>1402</v>
      </c>
      <c r="E1" s="1074" t="s">
        <v>1403</v>
      </c>
      <c r="F1" s="1074" t="s">
        <v>1404</v>
      </c>
      <c r="G1" s="1074" t="s">
        <v>1405</v>
      </c>
      <c r="H1" s="1074" t="s">
        <v>1406</v>
      </c>
      <c r="I1" s="1074" t="s">
        <v>1407</v>
      </c>
      <c r="J1" s="1074" t="s">
        <v>1408</v>
      </c>
      <c r="K1" s="1074" t="s">
        <v>1409</v>
      </c>
      <c r="L1" s="1074" t="s">
        <v>1410</v>
      </c>
      <c r="M1" s="1074"/>
      <c r="N1" s="1074" t="s">
        <v>1411</v>
      </c>
      <c r="O1" s="1074" t="s">
        <v>1412</v>
      </c>
      <c r="P1" s="1074" t="s">
        <v>1413</v>
      </c>
      <c r="Q1" s="1074" t="s">
        <v>1414</v>
      </c>
      <c r="R1" s="1074" t="s">
        <v>1415</v>
      </c>
      <c r="S1" s="1074" t="s">
        <v>1416</v>
      </c>
      <c r="T1" s="1074" t="s">
        <v>1417</v>
      </c>
      <c r="U1" s="1074" t="s">
        <v>1418</v>
      </c>
      <c r="V1" s="1074"/>
      <c r="W1" s="803" t="s">
        <v>1419</v>
      </c>
      <c r="X1" s="1074" t="s">
        <v>1420</v>
      </c>
      <c r="Y1" s="1074" t="s">
        <v>1421</v>
      </c>
      <c r="Z1" s="1074"/>
      <c r="AA1" s="1074" t="s">
        <v>1422</v>
      </c>
      <c r="AB1" s="1074"/>
      <c r="AC1" s="1074" t="s">
        <v>1423</v>
      </c>
      <c r="AD1" s="1074"/>
      <c r="AF1" s="1074" t="s">
        <v>1424</v>
      </c>
      <c r="AH1" s="1074" t="s">
        <v>1425</v>
      </c>
      <c r="AI1" s="1074" t="s">
        <v>1426</v>
      </c>
      <c r="AK1" s="1074" t="s">
        <v>1427</v>
      </c>
      <c r="AM1" s="1074" t="s">
        <v>1428</v>
      </c>
      <c r="AP1" s="1074" t="s">
        <v>1429</v>
      </c>
      <c r="AQ1" s="1074" t="s">
        <v>1430</v>
      </c>
      <c r="AS1" s="1074" t="s">
        <v>1431</v>
      </c>
      <c r="AU1" s="1074" t="s">
        <v>1432</v>
      </c>
      <c r="AW1" s="1074" t="s">
        <v>1433</v>
      </c>
      <c r="AX1" s="1074" t="s">
        <v>1434</v>
      </c>
      <c r="AZ1" s="1160" t="s">
        <v>1435</v>
      </c>
      <c r="BB1" s="1074" t="s">
        <v>1436</v>
      </c>
      <c r="BC1" s="1074"/>
      <c r="BE1" s="1074" t="s">
        <v>1437</v>
      </c>
      <c r="BF1" s="1074" t="s">
        <v>1438</v>
      </c>
      <c r="BH1" s="1076" t="s">
        <v>929</v>
      </c>
      <c r="BI1" s="1077"/>
      <c r="BJ1" s="1078" t="s">
        <v>1439</v>
      </c>
      <c r="BK1" s="1077"/>
      <c r="BL1" s="1079" t="s">
        <v>1027</v>
      </c>
      <c r="BM1" s="1077"/>
      <c r="BN1" s="1080" t="s">
        <v>1440</v>
      </c>
      <c r="BS1" s="1457"/>
    </row>
    <row customHeight="1" ht="11.25">
      <c r="A2" s="1081" t="s">
        <v>1441</v>
      </c>
      <c r="B2" s="1082">
        <v>2000</v>
      </c>
      <c r="C2" s="1082">
        <v>2022</v>
      </c>
      <c r="D2" s="1082" t="s">
        <v>63</v>
      </c>
      <c r="E2" s="1083" t="s">
        <v>1442</v>
      </c>
      <c r="F2" s="1083" t="s">
        <v>1443</v>
      </c>
      <c r="G2" s="1083" t="s">
        <v>1444</v>
      </c>
      <c r="H2" s="1084" t="s">
        <v>56</v>
      </c>
      <c r="I2" s="1083" t="s">
        <v>193</v>
      </c>
      <c r="J2" s="1083" t="s">
        <v>1445</v>
      </c>
      <c r="K2" s="1085" t="s">
        <v>1446</v>
      </c>
      <c r="L2" s="1086"/>
      <c r="M2" s="1085">
        <v>1</v>
      </c>
      <c r="N2" s="1170" t="s">
        <v>1447</v>
      </c>
      <c r="O2" s="1084" t="s">
        <v>663</v>
      </c>
      <c r="P2" s="1087" t="s">
        <v>1448</v>
      </c>
      <c r="Q2" s="1088" t="s">
        <v>1449</v>
      </c>
      <c r="R2" s="129" t="s">
        <v>1450</v>
      </c>
      <c r="S2" s="129" t="s">
        <v>1451</v>
      </c>
      <c r="T2" s="1089" t="s">
        <v>1452</v>
      </c>
      <c r="U2" s="1086" t="s">
        <v>1453</v>
      </c>
      <c r="V2" s="1090">
        <v>1</v>
      </c>
      <c r="W2" s="1091"/>
      <c r="X2" s="1091" t="s">
        <v>1454</v>
      </c>
      <c r="Y2" s="1082" t="s">
        <v>1455</v>
      </c>
      <c r="Z2" s="1092"/>
      <c r="AA2" s="1082" t="s">
        <v>242</v>
      </c>
      <c r="AB2" s="1093" t="s">
        <v>242</v>
      </c>
      <c r="AC2" s="1082" t="s">
        <v>1456</v>
      </c>
      <c r="AD2" s="1093" t="s">
        <v>1456</v>
      </c>
      <c r="AF2" s="1084" t="s">
        <v>1453</v>
      </c>
      <c r="AH2" s="1083" t="s">
        <v>1457</v>
      </c>
      <c r="AI2" s="1083" t="s">
        <v>1457</v>
      </c>
      <c r="AK2" s="1083" t="s">
        <v>1458</v>
      </c>
      <c r="AM2" s="1083" t="s">
        <v>1459</v>
      </c>
      <c r="AP2" s="1094" t="s">
        <v>1454</v>
      </c>
      <c r="AQ2" s="1095" t="s">
        <v>1454</v>
      </c>
      <c r="AS2" s="1082" t="s">
        <v>1460</v>
      </c>
      <c r="AU2" s="1128" t="s">
        <v>1461</v>
      </c>
      <c r="AW2" s="1128" t="s">
        <v>1462</v>
      </c>
      <c r="AX2" s="1128" t="s">
        <v>1462</v>
      </c>
      <c r="AZ2" s="1128" t="s">
        <v>54</v>
      </c>
      <c r="BB2" s="1128" t="s">
        <v>1463</v>
      </c>
      <c r="BC2" s="1128" t="s">
        <v>1464</v>
      </c>
      <c r="BE2" s="1128">
        <v>2000</v>
      </c>
      <c r="BF2" s="1128" t="s">
        <v>1465</v>
      </c>
    </row>
    <row customHeight="1" ht="11.25">
      <c r="A3" s="1081" t="s">
        <v>1466</v>
      </c>
      <c r="B3" s="1082">
        <v>2001</v>
      </c>
      <c r="C3" s="1082">
        <v>2023</v>
      </c>
      <c r="D3" s="1082" t="s">
        <v>58</v>
      </c>
      <c r="E3" s="1083" t="s">
        <v>1467</v>
      </c>
      <c r="F3" s="1083" t="s">
        <v>1468</v>
      </c>
      <c r="G3" s="1083" t="s">
        <v>1469</v>
      </c>
      <c r="H3" s="1084" t="s">
        <v>1470</v>
      </c>
      <c r="I3" s="1083" t="s">
        <v>104</v>
      </c>
      <c r="J3" s="1083" t="s">
        <v>763</v>
      </c>
      <c r="K3" s="1085" t="s">
        <v>1471</v>
      </c>
      <c r="L3" s="1086">
        <f>_xlfn.IFERROR(MATCH(K3,OFFER_METHOD,0),0)</f>
        <v>0</v>
      </c>
      <c r="M3" s="1085">
        <v>2</v>
      </c>
      <c r="N3" s="1170" t="s">
        <v>1472</v>
      </c>
      <c r="O3" s="1084" t="s">
        <v>1473</v>
      </c>
      <c r="P3" s="1087" t="s">
        <v>33</v>
      </c>
      <c r="Q3" s="1088" t="s">
        <v>1474</v>
      </c>
      <c r="R3" s="129" t="s">
        <v>1475</v>
      </c>
      <c r="S3" s="129" t="s">
        <v>1476</v>
      </c>
      <c r="T3" s="1089" t="s">
        <v>1477</v>
      </c>
      <c r="U3" s="1086" t="s">
        <v>1478</v>
      </c>
      <c r="V3" s="1090">
        <v>2</v>
      </c>
      <c r="W3" s="1091"/>
      <c r="X3" s="1091" t="s">
        <v>1479</v>
      </c>
      <c r="Y3" s="1082" t="s">
        <v>1455</v>
      </c>
      <c r="Z3" s="1092"/>
      <c r="AA3" s="1082" t="s">
        <v>1480</v>
      </c>
      <c r="AB3" s="1093" t="s">
        <v>1480</v>
      </c>
      <c r="AC3" s="1082" t="s">
        <v>1481</v>
      </c>
      <c r="AD3" s="1093" t="s">
        <v>1481</v>
      </c>
      <c r="AF3" s="1084" t="s">
        <v>1478</v>
      </c>
      <c r="AH3" s="1083" t="s">
        <v>1482</v>
      </c>
      <c r="AI3" s="1083" t="s">
        <v>1483</v>
      </c>
      <c r="AK3" s="1083" t="s">
        <v>1484</v>
      </c>
      <c r="AM3" s="1083" t="s">
        <v>1485</v>
      </c>
      <c r="AP3" s="1094" t="s">
        <v>1486</v>
      </c>
      <c r="AQ3" s="1095" t="s">
        <v>1486</v>
      </c>
      <c r="AS3" s="1082" t="s">
        <v>1487</v>
      </c>
      <c r="AU3" s="1128" t="s">
        <v>1488</v>
      </c>
      <c r="AW3" s="1128" t="s">
        <v>1489</v>
      </c>
      <c r="AX3" s="1128" t="s">
        <v>1489</v>
      </c>
      <c r="AZ3" s="1128" t="s">
        <v>1490</v>
      </c>
      <c r="BB3" s="1128" t="s">
        <v>1491</v>
      </c>
      <c r="BC3" s="1128" t="s">
        <v>1464</v>
      </c>
      <c r="BE3" s="1128">
        <v>2001</v>
      </c>
      <c r="BF3" s="1128" t="s">
        <v>1492</v>
      </c>
      <c r="BH3" s="1074" t="s">
        <v>1493</v>
      </c>
      <c r="BJ3" s="1074" t="s">
        <v>1494</v>
      </c>
      <c r="BL3" s="1074" t="s">
        <v>1495</v>
      </c>
      <c r="BN3" s="1074" t="s">
        <v>1496</v>
      </c>
      <c r="BR3" s="1074" t="s">
        <v>1497</v>
      </c>
      <c r="BS3" s="1458"/>
      <c r="BT3" s="1077"/>
      <c r="BU3" s="1074" t="s">
        <v>1498</v>
      </c>
      <c r="BV3" s="1077"/>
      <c r="BW3" s="1730"/>
      <c r="BX3" s="1732" t="s">
        <v>1499</v>
      </c>
      <c r="CA3" s="1074" t="s">
        <v>1500</v>
      </c>
    </row>
    <row customHeight="1" ht="11.25">
      <c r="A4" s="1081" t="s">
        <v>1501</v>
      </c>
      <c r="B4" s="1082">
        <v>2002</v>
      </c>
      <c r="C4" s="1082">
        <v>2024</v>
      </c>
      <c r="E4" s="1083" t="s">
        <v>1502</v>
      </c>
      <c r="F4" s="1083" t="s">
        <v>1503</v>
      </c>
      <c r="H4" s="1084" t="s">
        <v>1504</v>
      </c>
      <c r="I4" s="1083" t="s">
        <v>91</v>
      </c>
      <c r="J4" s="1083" t="s">
        <v>1505</v>
      </c>
      <c r="K4" s="1085" t="s">
        <v>1506</v>
      </c>
      <c r="L4" s="1086">
        <f>_xlfn.IFERROR(MATCH(K4,OFFER_METHOD,0),0)</f>
        <v>0</v>
      </c>
      <c r="M4" s="1085">
        <v>3</v>
      </c>
      <c r="N4" s="1170" t="s">
        <v>1507</v>
      </c>
      <c r="O4" s="1083" t="s">
        <v>1508</v>
      </c>
      <c r="Q4" s="1088" t="s">
        <v>1509</v>
      </c>
      <c r="R4" s="129" t="s">
        <v>1510</v>
      </c>
      <c r="S4" s="129" t="s">
        <v>1511</v>
      </c>
      <c r="T4" s="1089" t="s">
        <v>1512</v>
      </c>
      <c r="U4" s="1086" t="s">
        <v>1513</v>
      </c>
      <c r="V4" s="1090">
        <v>3</v>
      </c>
      <c r="W4" s="1091"/>
      <c r="X4" s="1091" t="s">
        <v>1514</v>
      </c>
      <c r="Y4" s="1082" t="s">
        <v>1455</v>
      </c>
      <c r="Z4" s="1098"/>
      <c r="AC4" s="1082" t="s">
        <v>1515</v>
      </c>
      <c r="AD4" s="1093" t="s">
        <v>1515</v>
      </c>
      <c r="AF4" s="1084" t="s">
        <v>1513</v>
      </c>
      <c r="AH4" s="1084" t="s">
        <v>1516</v>
      </c>
      <c r="AK4" s="1083" t="s">
        <v>1517</v>
      </c>
      <c r="AM4" s="1083" t="s">
        <v>1518</v>
      </c>
      <c r="AP4" s="1094" t="s">
        <v>1479</v>
      </c>
      <c r="AQ4" s="1095" t="s">
        <v>1479</v>
      </c>
      <c r="AS4" s="1082" t="s">
        <v>1519</v>
      </c>
      <c r="AU4" s="1128" t="s">
        <v>1520</v>
      </c>
      <c r="AW4" s="1128" t="s">
        <v>1521</v>
      </c>
      <c r="AX4" s="1128" t="s">
        <v>1521</v>
      </c>
      <c r="AZ4" s="1128" t="s">
        <v>1522</v>
      </c>
      <c r="BB4" s="1128" t="s">
        <v>1523</v>
      </c>
      <c r="BC4" s="1128" t="s">
        <v>1524</v>
      </c>
      <c r="BE4" s="1128">
        <v>2002</v>
      </c>
      <c r="BF4" s="1128" t="s">
        <v>1525</v>
      </c>
      <c r="BH4" s="1075" t="s">
        <v>1526</v>
      </c>
      <c r="BJ4" s="1075" t="s">
        <v>1526</v>
      </c>
      <c r="BL4" s="1075" t="s">
        <v>1526</v>
      </c>
      <c r="BN4" s="1075" t="s">
        <v>1526</v>
      </c>
      <c r="BQ4" s="1462" t="s">
        <v>1527</v>
      </c>
      <c r="BR4" s="1167" t="s">
        <v>1528</v>
      </c>
      <c r="BS4" s="260"/>
      <c r="BT4" s="1462" t="s">
        <v>1529</v>
      </c>
      <c r="BU4" s="1167" t="s">
        <v>1530</v>
      </c>
      <c r="BV4" s="1077"/>
      <c r="BW4" s="1737" t="s">
        <v>1531</v>
      </c>
      <c r="BX4" s="1731" t="s">
        <v>1532</v>
      </c>
      <c r="BZ4" s="1462" t="s">
        <v>1533</v>
      </c>
      <c r="CA4" s="1167" t="s">
        <v>1534</v>
      </c>
    </row>
    <row customHeight="1" ht="11.25">
      <c r="A5" s="1081" t="s">
        <v>1535</v>
      </c>
      <c r="B5" s="1082">
        <v>2003</v>
      </c>
      <c r="C5" s="1082">
        <v>2025</v>
      </c>
      <c r="E5" s="1083" t="s">
        <v>1536</v>
      </c>
      <c r="F5" s="1083" t="s">
        <v>1537</v>
      </c>
      <c r="H5" s="1084" t="s">
        <v>1538</v>
      </c>
      <c r="I5" s="1083" t="s">
        <v>92</v>
      </c>
      <c r="K5" s="1085" t="s">
        <v>1539</v>
      </c>
      <c r="L5" s="1086">
        <f>_xlfn.IFERROR(MATCH(K5,OFFER_METHOD,0),0)</f>
        <v>0</v>
      </c>
      <c r="M5" s="1085">
        <v>4</v>
      </c>
      <c r="N5" s="1099" t="s">
        <v>1540</v>
      </c>
      <c r="O5" s="1083" t="s">
        <v>1541</v>
      </c>
      <c r="Q5" s="1088" t="s">
        <v>1542</v>
      </c>
      <c r="R5" s="129" t="s">
        <v>662</v>
      </c>
      <c r="T5" s="1084" t="s">
        <v>1543</v>
      </c>
      <c r="U5" s="1086" t="s">
        <v>1544</v>
      </c>
      <c r="V5" s="1090">
        <v>4</v>
      </c>
      <c r="W5" s="1091"/>
      <c r="X5" s="1091" t="s">
        <v>241</v>
      </c>
      <c r="Y5" s="1082" t="s">
        <v>1545</v>
      </c>
      <c r="Z5" s="1098">
        <v>1</v>
      </c>
      <c r="AF5" s="1084" t="s">
        <v>1546</v>
      </c>
      <c r="AH5" s="1083" t="s">
        <v>1547</v>
      </c>
      <c r="AK5" s="1083" t="s">
        <v>1548</v>
      </c>
      <c r="AM5" s="1083" t="s">
        <v>1549</v>
      </c>
      <c r="AP5" s="1094" t="s">
        <v>241</v>
      </c>
      <c r="AQ5" s="1095" t="s">
        <v>241</v>
      </c>
      <c r="AU5" s="1128" t="s">
        <v>1550</v>
      </c>
      <c r="AW5" s="1128" t="s">
        <v>1551</v>
      </c>
      <c r="AX5" s="1128" t="s">
        <v>1551</v>
      </c>
      <c r="AZ5" s="1128" t="s">
        <v>1552</v>
      </c>
      <c r="BB5" s="1128" t="s">
        <v>1553</v>
      </c>
      <c r="BC5" s="1128" t="s">
        <v>1554</v>
      </c>
      <c r="BE5" s="1128">
        <v>2003</v>
      </c>
      <c r="BF5" s="1128" t="s">
        <v>1555</v>
      </c>
      <c r="BH5" s="1075" t="s">
        <v>1556</v>
      </c>
      <c r="BJ5" s="1075" t="s">
        <v>1556</v>
      </c>
      <c r="BL5" s="1075" t="s">
        <v>1556</v>
      </c>
      <c r="BN5" s="1075" t="s">
        <v>1557</v>
      </c>
      <c r="BQ5" s="1311">
        <v>4213775</v>
      </c>
      <c r="BR5" s="1075" t="s">
        <v>1454</v>
      </c>
      <c r="BS5" s="1459"/>
      <c r="BT5" s="1311">
        <v>64236871</v>
      </c>
      <c r="BU5" s="1075" t="s">
        <v>442</v>
      </c>
      <c r="BV5" s="1077"/>
      <c r="BW5" s="1735">
        <v>4213767</v>
      </c>
      <c r="BX5" s="1733" t="s">
        <v>1558</v>
      </c>
      <c r="BZ5" s="1311">
        <v>64237509</v>
      </c>
      <c r="CA5" s="1325" t="s">
        <v>1559</v>
      </c>
    </row>
    <row customHeight="1" ht="11.25">
      <c r="A6" s="1081" t="s">
        <v>1560</v>
      </c>
      <c r="B6" s="1082">
        <v>2004</v>
      </c>
      <c r="C6" s="1082">
        <v>2026</v>
      </c>
      <c r="E6" s="1083" t="s">
        <v>1561</v>
      </c>
      <c r="F6" s="1100"/>
      <c r="H6" s="1084" t="s">
        <v>1562</v>
      </c>
      <c r="I6" s="1083" t="s">
        <v>116</v>
      </c>
      <c r="J6" s="1074" t="s">
        <v>1563</v>
      </c>
      <c r="L6" s="1086">
        <f>SUM(kind_of_control_method_filter)</f>
        <v>0</v>
      </c>
      <c r="N6" s="1099" t="s">
        <v>1564</v>
      </c>
      <c r="O6" s="1083" t="s">
        <v>1565</v>
      </c>
      <c r="R6" s="129" t="s">
        <v>1449</v>
      </c>
      <c r="T6" s="1084" t="s">
        <v>1566</v>
      </c>
      <c r="U6" s="1086" t="s">
        <v>1546</v>
      </c>
      <c r="V6" s="1090">
        <v>5</v>
      </c>
      <c r="W6" s="1091"/>
      <c r="X6" s="1082" t="s">
        <v>399</v>
      </c>
      <c r="Y6" s="1082" t="s">
        <v>1567</v>
      </c>
      <c r="Z6" s="1098"/>
      <c r="AA6" s="1101"/>
      <c r="AH6" s="1083" t="s">
        <v>1568</v>
      </c>
      <c r="AK6" s="1083" t="s">
        <v>1569</v>
      </c>
      <c r="AM6" s="1083" t="s">
        <v>1570</v>
      </c>
      <c r="AP6" s="1094" t="s">
        <v>399</v>
      </c>
      <c r="AQ6" s="1095" t="s">
        <v>399</v>
      </c>
      <c r="AU6" s="1128" t="s">
        <v>1571</v>
      </c>
      <c r="AW6" s="1128" t="s">
        <v>1572</v>
      </c>
      <c r="AX6" s="1128" t="s">
        <v>1572</v>
      </c>
      <c r="BB6" s="1128" t="s">
        <v>1573</v>
      </c>
      <c r="BC6" s="1128" t="s">
        <v>1554</v>
      </c>
      <c r="BE6" s="1128">
        <v>2004</v>
      </c>
      <c r="BF6" s="1128" t="s">
        <v>1574</v>
      </c>
      <c r="BH6" s="1075" t="s">
        <v>1575</v>
      </c>
      <c r="BJ6" s="1075" t="s">
        <v>1576</v>
      </c>
      <c r="BL6" s="1075" t="s">
        <v>1576</v>
      </c>
      <c r="BN6" s="1075" t="s">
        <v>1577</v>
      </c>
      <c r="BQ6" s="1311">
        <v>4213784</v>
      </c>
      <c r="BR6" s="1325" t="s">
        <v>1486</v>
      </c>
      <c r="BS6" s="1460"/>
      <c r="BT6" s="1311">
        <v>64236872</v>
      </c>
      <c r="BU6" s="1075" t="s">
        <v>447</v>
      </c>
      <c r="BV6" s="1077"/>
      <c r="BW6" s="1735">
        <v>4213768</v>
      </c>
      <c r="BX6" s="1733" t="s">
        <v>467</v>
      </c>
      <c r="BZ6" s="1311">
        <v>64237510</v>
      </c>
      <c r="CA6" s="1075" t="s">
        <v>1578</v>
      </c>
    </row>
    <row customHeight="1" ht="11.25">
      <c r="A7" s="1081" t="s">
        <v>1579</v>
      </c>
      <c r="B7" s="1082">
        <v>2005</v>
      </c>
      <c r="E7" s="1083" t="s">
        <v>1580</v>
      </c>
      <c r="F7" s="1100"/>
      <c r="H7" s="1084" t="s">
        <v>1581</v>
      </c>
      <c r="I7" s="1083" t="s">
        <v>93</v>
      </c>
      <c r="J7" s="1083" t="s">
        <v>1582</v>
      </c>
      <c r="N7" s="1103" t="s">
        <v>1583</v>
      </c>
      <c r="O7" s="1083" t="s">
        <v>1584</v>
      </c>
      <c r="U7" s="1086" t="s">
        <v>58</v>
      </c>
      <c r="V7" s="370" t="s">
        <v>93</v>
      </c>
      <c r="W7" s="1091"/>
      <c r="X7" s="1082" t="s">
        <v>405</v>
      </c>
      <c r="Y7" s="1082" t="s">
        <v>1545</v>
      </c>
      <c r="Z7" s="1098"/>
      <c r="AA7" s="1101"/>
      <c r="AH7" s="1083" t="s">
        <v>1585</v>
      </c>
      <c r="AK7" s="1083" t="s">
        <v>1586</v>
      </c>
      <c r="AM7" s="1083" t="s">
        <v>1587</v>
      </c>
      <c r="AP7" s="1094" t="s">
        <v>405</v>
      </c>
      <c r="AQ7" s="1095" t="s">
        <v>405</v>
      </c>
      <c r="AU7" s="1128" t="s">
        <v>1588</v>
      </c>
      <c r="AW7" s="1128" t="s">
        <v>1589</v>
      </c>
      <c r="AX7" s="1128" t="s">
        <v>1589</v>
      </c>
      <c r="AZ7" s="1074" t="s">
        <v>1590</v>
      </c>
      <c r="BB7" s="1128" t="s">
        <v>1591</v>
      </c>
      <c r="BC7" s="1128" t="s">
        <v>1554</v>
      </c>
      <c r="BE7" s="1128">
        <v>2005</v>
      </c>
      <c r="BF7" s="1128" t="s">
        <v>1592</v>
      </c>
      <c r="BH7" s="1075" t="s">
        <v>1593</v>
      </c>
      <c r="BJ7" s="1075" t="s">
        <v>1575</v>
      </c>
      <c r="BL7" s="1075" t="s">
        <v>1575</v>
      </c>
      <c r="BN7" s="1075" t="s">
        <v>1594</v>
      </c>
      <c r="BQ7" s="1311">
        <v>4213781</v>
      </c>
      <c r="BR7" s="1075" t="s">
        <v>1479</v>
      </c>
      <c r="BS7" s="1459"/>
      <c r="BT7" s="1311">
        <v>64236873</v>
      </c>
      <c r="BU7" s="1075" t="s">
        <v>452</v>
      </c>
      <c r="BV7" s="1077"/>
      <c r="BW7" s="1735">
        <v>4213769</v>
      </c>
      <c r="BX7" s="1733" t="s">
        <v>1595</v>
      </c>
      <c r="BZ7" s="1311">
        <v>64237511</v>
      </c>
      <c r="CA7" s="1075" t="s">
        <v>482</v>
      </c>
    </row>
    <row customHeight="1" ht="11.25">
      <c r="A8" s="1081" t="s">
        <v>1596</v>
      </c>
      <c r="B8" s="1082">
        <v>2006</v>
      </c>
      <c r="E8" s="1083" t="s">
        <v>1597</v>
      </c>
      <c r="F8" s="1100"/>
      <c r="I8" s="1083" t="s">
        <v>94</v>
      </c>
      <c r="J8" s="1083" t="s">
        <v>1598</v>
      </c>
      <c r="N8" s="1171" t="s">
        <v>1599</v>
      </c>
      <c r="O8" s="1083" t="s">
        <v>1600</v>
      </c>
      <c r="V8" s="370" t="s">
        <v>94</v>
      </c>
      <c r="W8" s="1091"/>
      <c r="X8" s="1082" t="s">
        <v>411</v>
      </c>
      <c r="Y8" s="1082" t="s">
        <v>1545</v>
      </c>
      <c r="Z8" s="1098"/>
      <c r="AA8" s="1101"/>
      <c r="AK8" s="1083" t="s">
        <v>1601</v>
      </c>
      <c r="AP8" s="1094" t="s">
        <v>411</v>
      </c>
      <c r="AQ8" s="1095" t="s">
        <v>411</v>
      </c>
      <c r="AU8" s="1128" t="s">
        <v>1602</v>
      </c>
      <c r="AW8" s="1128" t="s">
        <v>1603</v>
      </c>
      <c r="AX8" s="1128" t="s">
        <v>1603</v>
      </c>
      <c r="AZ8" s="1128" t="s">
        <v>1604</v>
      </c>
      <c r="BB8" s="1128" t="s">
        <v>1605</v>
      </c>
      <c r="BC8" s="1128" t="s">
        <v>1554</v>
      </c>
      <c r="BE8" s="1128">
        <v>2006</v>
      </c>
      <c r="BF8" s="1128" t="s">
        <v>1606</v>
      </c>
      <c r="BH8" s="1075" t="s">
        <v>1607</v>
      </c>
      <c r="BJ8" s="1075" t="s">
        <v>1608</v>
      </c>
      <c r="BL8" s="1075" t="s">
        <v>1608</v>
      </c>
      <c r="BN8" s="1075" t="s">
        <v>1609</v>
      </c>
      <c r="BQ8" s="1311">
        <v>4213776</v>
      </c>
      <c r="BR8" s="1075" t="s">
        <v>241</v>
      </c>
      <c r="BS8" s="1459"/>
      <c r="BT8" s="1311">
        <v>64236874</v>
      </c>
      <c r="BU8" s="1325" t="s">
        <v>1610</v>
      </c>
      <c r="BV8" s="1077"/>
      <c r="BW8" s="1735">
        <v>4213770</v>
      </c>
      <c r="BX8" s="1736" t="s">
        <v>1611</v>
      </c>
      <c r="BZ8" s="1311">
        <v>64237512</v>
      </c>
      <c r="CA8" s="1075" t="s">
        <v>477</v>
      </c>
    </row>
    <row customHeight="1" ht="11.25">
      <c r="A9" s="1081" t="s">
        <v>1612</v>
      </c>
      <c r="B9" s="1082">
        <v>2007</v>
      </c>
      <c r="E9" s="1083" t="s">
        <v>1613</v>
      </c>
      <c r="F9" s="1100"/>
      <c r="G9" s="1074" t="s">
        <v>1614</v>
      </c>
      <c r="H9" s="1074" t="s">
        <v>1615</v>
      </c>
      <c r="I9" s="1083" t="s">
        <v>130</v>
      </c>
      <c r="O9" s="1083" t="s">
        <v>1616</v>
      </c>
      <c r="V9" s="370" t="s">
        <v>130</v>
      </c>
      <c r="W9" s="1091"/>
      <c r="X9" s="1082" t="s">
        <v>417</v>
      </c>
      <c r="Y9" s="1082" t="s">
        <v>1455</v>
      </c>
      <c r="Z9" s="1098">
        <v>1</v>
      </c>
      <c r="AA9" s="1101"/>
      <c r="AK9" s="1083" t="s">
        <v>1617</v>
      </c>
      <c r="AP9" s="1094" t="s">
        <v>1618</v>
      </c>
      <c r="AQ9" s="1095" t="s">
        <v>1618</v>
      </c>
      <c r="AW9" s="1128" t="s">
        <v>1619</v>
      </c>
      <c r="AX9" s="1128" t="s">
        <v>1619</v>
      </c>
      <c r="AZ9" s="1128" t="s">
        <v>1620</v>
      </c>
      <c r="BB9" s="1128" t="s">
        <v>1621</v>
      </c>
      <c r="BC9" s="1128" t="s">
        <v>1554</v>
      </c>
      <c r="BE9" s="1128">
        <v>2007</v>
      </c>
      <c r="BF9" s="1128" t="s">
        <v>1622</v>
      </c>
      <c r="BH9" s="1075" t="s">
        <v>1623</v>
      </c>
      <c r="BJ9" s="1075" t="s">
        <v>1624</v>
      </c>
      <c r="BL9" s="1075" t="s">
        <v>1624</v>
      </c>
      <c r="BN9" s="1075" t="s">
        <v>1625</v>
      </c>
      <c r="BQ9" s="1311">
        <v>4213777</v>
      </c>
      <c r="BR9" s="1075" t="s">
        <v>399</v>
      </c>
      <c r="BS9" s="1459"/>
      <c r="BT9" s="1311">
        <v>64236875</v>
      </c>
      <c r="BU9" s="1075" t="s">
        <v>457</v>
      </c>
      <c r="BV9" s="1077"/>
      <c r="BW9" s="1730"/>
      <c r="BX9" s="1730"/>
    </row>
    <row customHeight="1" ht="11.25">
      <c r="A10" s="1081" t="s">
        <v>1626</v>
      </c>
      <c r="B10" s="1082">
        <v>2008</v>
      </c>
      <c r="E10" s="1083" t="s">
        <v>1627</v>
      </c>
      <c r="F10" s="1100"/>
      <c r="G10" s="1083" t="s">
        <v>1628</v>
      </c>
      <c r="H10" s="1083" t="s">
        <v>1629</v>
      </c>
      <c r="I10" s="1083" t="s">
        <v>135</v>
      </c>
      <c r="J10" s="1074" t="s">
        <v>1630</v>
      </c>
      <c r="K10" s="1074" t="s">
        <v>1631</v>
      </c>
      <c r="O10" s="1083" t="s">
        <v>1632</v>
      </c>
      <c r="V10" s="371" t="s">
        <v>135</v>
      </c>
      <c r="W10" s="1104"/>
      <c r="X10" s="1104" t="s">
        <v>1633</v>
      </c>
      <c r="Y10" s="1105" t="s">
        <v>1634</v>
      </c>
      <c r="Z10" s="1098"/>
      <c r="AP10" s="1094" t="s">
        <v>1633</v>
      </c>
      <c r="AQ10" s="1095" t="s">
        <v>1633</v>
      </c>
      <c r="AW10" s="1128" t="s">
        <v>1635</v>
      </c>
      <c r="AX10" s="1128" t="s">
        <v>1635</v>
      </c>
      <c r="AZ10" s="1128" t="s">
        <v>1636</v>
      </c>
      <c r="BB10" s="1128" t="s">
        <v>1637</v>
      </c>
      <c r="BC10" s="1128" t="s">
        <v>1554</v>
      </c>
      <c r="BE10" s="1128">
        <v>2008</v>
      </c>
      <c r="BF10" s="1128" t="s">
        <v>1638</v>
      </c>
      <c r="BH10" s="1075" t="s">
        <v>1639</v>
      </c>
      <c r="BJ10" s="1075" t="s">
        <v>1640</v>
      </c>
      <c r="BL10" s="1075" t="s">
        <v>1640</v>
      </c>
      <c r="BN10" s="1075" t="s">
        <v>1641</v>
      </c>
      <c r="BQ10" s="1311">
        <v>4213778</v>
      </c>
      <c r="BR10" s="1075" t="s">
        <v>405</v>
      </c>
      <c r="BS10" s="1459"/>
      <c r="BT10" s="1311">
        <v>64236876</v>
      </c>
      <c r="BU10" s="1075" t="s">
        <v>437</v>
      </c>
      <c r="BV10" s="1077"/>
      <c r="BW10" s="1730"/>
      <c r="BX10" s="1730"/>
    </row>
    <row customHeight="1" ht="11.25">
      <c r="A11" s="1081" t="s">
        <v>1642</v>
      </c>
      <c r="B11" s="1082">
        <v>2009</v>
      </c>
      <c r="E11" s="1083" t="s">
        <v>1643</v>
      </c>
      <c r="F11" s="1100"/>
      <c r="G11" s="1083" t="s">
        <v>1644</v>
      </c>
      <c r="H11" s="1083" t="s">
        <v>1645</v>
      </c>
      <c r="I11" s="1083" t="s">
        <v>139</v>
      </c>
      <c r="J11" s="1084" t="s">
        <v>1646</v>
      </c>
      <c r="K11" s="1106" t="s">
        <v>1647</v>
      </c>
      <c r="O11" s="1084" t="s">
        <v>1648</v>
      </c>
      <c r="V11" s="370" t="s">
        <v>139</v>
      </c>
      <c r="W11" s="261"/>
      <c r="X11" s="1091" t="s">
        <v>1618</v>
      </c>
      <c r="Y11" s="1082" t="s">
        <v>1649</v>
      </c>
      <c r="Z11" s="1098"/>
      <c r="AP11" s="1094" t="s">
        <v>417</v>
      </c>
      <c r="AQ11" s="1096" t="s">
        <v>417</v>
      </c>
      <c r="AW11" s="1128" t="s">
        <v>1650</v>
      </c>
      <c r="AX11" s="1128" t="s">
        <v>1650</v>
      </c>
      <c r="AZ11" s="1128" t="s">
        <v>1651</v>
      </c>
      <c r="BB11" s="1128" t="s">
        <v>1652</v>
      </c>
      <c r="BC11" s="1128" t="s">
        <v>1554</v>
      </c>
      <c r="BE11" s="1128">
        <v>2009</v>
      </c>
      <c r="BF11" s="1128" t="s">
        <v>1653</v>
      </c>
      <c r="BH11" s="1075" t="s">
        <v>1654</v>
      </c>
      <c r="BJ11" s="1075" t="s">
        <v>1623</v>
      </c>
      <c r="BL11" s="1075" t="s">
        <v>1623</v>
      </c>
      <c r="BN11" s="1075" t="s">
        <v>1655</v>
      </c>
      <c r="BQ11" s="1311">
        <v>4213780</v>
      </c>
      <c r="BR11" s="1075" t="s">
        <v>411</v>
      </c>
      <c r="BS11" s="1459"/>
      <c r="BW11" s="1730"/>
      <c r="BX11" s="1730"/>
    </row>
    <row customHeight="1" ht="11.25">
      <c r="A12" s="1081" t="s">
        <v>1656</v>
      </c>
      <c r="B12" s="1082">
        <v>2010</v>
      </c>
      <c r="E12" s="1083" t="s">
        <v>1657</v>
      </c>
      <c r="F12" s="1100"/>
      <c r="G12" s="1083" t="s">
        <v>1645</v>
      </c>
      <c r="I12" s="1083" t="s">
        <v>143</v>
      </c>
      <c r="J12" s="1084" t="s">
        <v>1658</v>
      </c>
      <c r="K12" s="1106" t="s">
        <v>1659</v>
      </c>
      <c r="O12" s="1084" t="s">
        <v>1449</v>
      </c>
      <c r="V12" s="370" t="s">
        <v>143</v>
      </c>
      <c r="W12" s="1096"/>
      <c r="X12" s="1091" t="s">
        <v>1660</v>
      </c>
      <c r="Y12" s="1082" t="s">
        <v>1455</v>
      </c>
      <c r="AP12" s="1094"/>
      <c r="AW12" s="1128" t="s">
        <v>139</v>
      </c>
      <c r="AX12" s="1128" t="s">
        <v>139</v>
      </c>
      <c r="AZ12" s="1128" t="s">
        <v>1661</v>
      </c>
      <c r="BB12" s="1128" t="s">
        <v>1662</v>
      </c>
      <c r="BC12" s="1128" t="s">
        <v>1554</v>
      </c>
      <c r="BE12" s="1128">
        <v>2010</v>
      </c>
      <c r="BF12" s="1128" t="s">
        <v>1663</v>
      </c>
      <c r="BH12" s="1075" t="s">
        <v>1664</v>
      </c>
      <c r="BJ12" s="1075" t="s">
        <v>1665</v>
      </c>
      <c r="BL12" s="1075" t="s">
        <v>1665</v>
      </c>
      <c r="BN12" s="1075" t="s">
        <v>1666</v>
      </c>
      <c r="BQ12" s="1311">
        <v>4213779</v>
      </c>
      <c r="BR12" s="1075" t="s">
        <v>1618</v>
      </c>
      <c r="BS12" s="1459"/>
      <c r="BT12" s="1077"/>
      <c r="BU12" s="1077"/>
      <c r="BV12" s="1077"/>
      <c r="BW12" s="1730"/>
      <c r="BX12" s="1730"/>
    </row>
    <row customHeight="1" ht="11.25">
      <c r="A13" s="1081" t="s">
        <v>1667</v>
      </c>
      <c r="B13" s="1082">
        <v>2011</v>
      </c>
      <c r="E13" s="1083" t="s">
        <v>1668</v>
      </c>
      <c r="F13" s="1100"/>
      <c r="I13" s="1083" t="s">
        <v>148</v>
      </c>
      <c r="K13" s="1106" t="s">
        <v>1617</v>
      </c>
      <c r="V13" s="370" t="s">
        <v>148</v>
      </c>
      <c r="W13" s="1096"/>
      <c r="X13" s="1096"/>
      <c r="Y13" s="1096"/>
      <c r="AW13" s="1128" t="s">
        <v>143</v>
      </c>
      <c r="AX13" s="1128" t="s">
        <v>143</v>
      </c>
      <c r="BB13" s="1128" t="s">
        <v>1669</v>
      </c>
      <c r="BC13" s="1128" t="s">
        <v>1670</v>
      </c>
      <c r="BE13" s="1128">
        <v>2011</v>
      </c>
      <c r="BF13" s="1128" t="s">
        <v>1671</v>
      </c>
      <c r="BH13" s="1075" t="s">
        <v>1672</v>
      </c>
      <c r="BJ13" s="1075" t="s">
        <v>1654</v>
      </c>
      <c r="BL13" s="1075" t="s">
        <v>1654</v>
      </c>
      <c r="BN13" s="1075" t="s">
        <v>1673</v>
      </c>
      <c r="BQ13" s="1311">
        <v>4213783</v>
      </c>
      <c r="BR13" s="1075" t="s">
        <v>1633</v>
      </c>
      <c r="BS13" s="1459"/>
      <c r="BT13" s="1077"/>
      <c r="BU13" s="1077"/>
      <c r="BV13" s="1077"/>
      <c r="BW13" s="1734"/>
      <c r="BX13" s="1730"/>
    </row>
    <row customHeight="1" ht="11.25">
      <c r="A14" s="1081" t="s">
        <v>1674</v>
      </c>
      <c r="B14" s="1082">
        <v>2012</v>
      </c>
      <c r="I14" s="1083" t="s">
        <v>152</v>
      </c>
      <c r="J14" s="1074" t="s">
        <v>1675</v>
      </c>
      <c r="N14" s="1074" t="s">
        <v>1676</v>
      </c>
      <c r="V14" s="1090">
        <v>13</v>
      </c>
      <c r="W14" s="1091"/>
      <c r="X14" s="1091" t="s">
        <v>1486</v>
      </c>
      <c r="Y14" s="1082" t="s">
        <v>1455</v>
      </c>
      <c r="AW14" s="1128" t="s">
        <v>148</v>
      </c>
      <c r="AX14" s="1128" t="s">
        <v>148</v>
      </c>
      <c r="AZ14" s="1074" t="s">
        <v>1677</v>
      </c>
      <c r="BB14" s="1128" t="s">
        <v>1678</v>
      </c>
      <c r="BC14" s="1128" t="s">
        <v>1670</v>
      </c>
      <c r="BE14" s="1128">
        <v>2012</v>
      </c>
      <c r="BH14" s="1075" t="s">
        <v>1594</v>
      </c>
      <c r="BJ14" s="1229" t="s">
        <v>1679</v>
      </c>
      <c r="BL14" s="1229" t="s">
        <v>1679</v>
      </c>
      <c r="BN14" s="1075" t="s">
        <v>1680</v>
      </c>
      <c r="BQ14" s="1311">
        <v>4213782</v>
      </c>
      <c r="BR14" s="1075" t="s">
        <v>417</v>
      </c>
      <c r="BS14" s="1459"/>
      <c r="BT14" s="1077"/>
      <c r="BU14" s="1077"/>
      <c r="BV14" s="1077"/>
      <c r="BW14" s="1734"/>
      <c r="BX14" s="1730"/>
    </row>
    <row customHeight="1" ht="19.5">
      <c r="A15" s="1081" t="s">
        <v>1681</v>
      </c>
      <c r="B15" s="1082">
        <v>2013</v>
      </c>
      <c r="E15" s="1738" t="s">
        <v>1682</v>
      </c>
      <c r="G15" s="1074" t="s">
        <v>1683</v>
      </c>
      <c r="H15" s="1074" t="s">
        <v>1684</v>
      </c>
      <c r="I15" s="1085" t="s">
        <v>157</v>
      </c>
      <c r="J15" s="1096" t="s">
        <v>790</v>
      </c>
      <c r="N15" s="1166" t="s">
        <v>1685</v>
      </c>
      <c r="X15" s="1094"/>
      <c r="AW15" s="1128" t="s">
        <v>152</v>
      </c>
      <c r="AX15" s="1128" t="s">
        <v>152</v>
      </c>
      <c r="AZ15" s="1128" t="s">
        <v>1604</v>
      </c>
      <c r="BB15" s="1128" t="s">
        <v>1686</v>
      </c>
      <c r="BC15" s="1128" t="s">
        <v>1670</v>
      </c>
      <c r="BE15" s="1128">
        <v>2013</v>
      </c>
      <c r="BH15" s="1075" t="s">
        <v>1609</v>
      </c>
      <c r="BJ15" s="1229" t="s">
        <v>1687</v>
      </c>
      <c r="BL15" s="1229" t="s">
        <v>1687</v>
      </c>
      <c r="BN15" s="1075" t="s">
        <v>1688</v>
      </c>
      <c r="BR15" s="1077"/>
      <c r="BS15" s="1461"/>
      <c r="BT15" s="1077"/>
      <c r="BU15" s="1077"/>
      <c r="BV15" s="1077"/>
      <c r="BW15" s="1734"/>
      <c r="BX15" s="1730"/>
    </row>
    <row customHeight="1" ht="21">
      <c r="A16" s="1913" t="s">
        <v>1689</v>
      </c>
      <c r="B16" s="1082">
        <v>2014</v>
      </c>
      <c r="E16" s="1739" t="s">
        <v>1690</v>
      </c>
      <c r="G16" s="1083" t="s">
        <v>1691</v>
      </c>
      <c r="H16" s="1083" t="s">
        <v>1692</v>
      </c>
      <c r="I16" s="1085" t="s">
        <v>159</v>
      </c>
      <c r="J16" s="1096" t="s">
        <v>763</v>
      </c>
      <c r="N16" s="1166" t="s">
        <v>1693</v>
      </c>
      <c r="AW16" s="1128" t="s">
        <v>157</v>
      </c>
      <c r="AX16" s="1128" t="s">
        <v>157</v>
      </c>
      <c r="AZ16" s="1128" t="s">
        <v>1620</v>
      </c>
      <c r="BB16" s="1128" t="s">
        <v>1694</v>
      </c>
      <c r="BC16" s="1128" t="s">
        <v>1670</v>
      </c>
      <c r="BE16" s="1128">
        <v>2014</v>
      </c>
      <c r="BH16" s="1075" t="s">
        <v>1625</v>
      </c>
      <c r="BJ16" s="1229" t="s">
        <v>1695</v>
      </c>
      <c r="BL16" s="1229" t="s">
        <v>1695</v>
      </c>
      <c r="BN16" s="1075" t="s">
        <v>1696</v>
      </c>
      <c r="BR16" s="1077"/>
      <c r="BS16" s="1461"/>
      <c r="BT16" s="1077"/>
      <c r="BU16" s="1077"/>
      <c r="BV16" s="1077"/>
      <c r="BW16" s="1734"/>
      <c r="BX16" s="1730"/>
    </row>
    <row customHeight="1" ht="21">
      <c r="A17" s="1081" t="s">
        <v>1697</v>
      </c>
      <c r="B17" s="1082">
        <v>2015</v>
      </c>
      <c r="G17" s="1083" t="s">
        <v>1645</v>
      </c>
      <c r="H17" s="1083" t="s">
        <v>1645</v>
      </c>
      <c r="I17" s="1083" t="s">
        <v>166</v>
      </c>
      <c r="N17" s="1166" t="s">
        <v>1698</v>
      </c>
      <c r="X17" s="1094"/>
      <c r="AW17" s="1128" t="s">
        <v>159</v>
      </c>
      <c r="AX17" s="1128" t="s">
        <v>159</v>
      </c>
      <c r="AZ17" s="1128" t="s">
        <v>1699</v>
      </c>
      <c r="BB17" s="1128" t="s">
        <v>1700</v>
      </c>
      <c r="BC17" s="1128" t="s">
        <v>1554</v>
      </c>
      <c r="BE17" s="1128">
        <v>2015</v>
      </c>
      <c r="BH17" s="1075" t="s">
        <v>1641</v>
      </c>
      <c r="BJ17" s="1229" t="s">
        <v>1701</v>
      </c>
      <c r="BL17" s="1229" t="s">
        <v>1701</v>
      </c>
      <c r="BN17" s="1075" t="s">
        <v>1702</v>
      </c>
      <c r="BR17" s="1074" t="s">
        <v>1497</v>
      </c>
      <c r="BS17" s="1458"/>
      <c r="BU17" s="1074" t="s">
        <v>1703</v>
      </c>
      <c r="BV17" s="1077"/>
      <c r="BW17" s="1730"/>
      <c r="BX17" s="1732" t="s">
        <v>1704</v>
      </c>
      <c r="CA17" s="1074" t="s">
        <v>1705</v>
      </c>
      <c r="CD17" s="1074" t="s">
        <v>1706</v>
      </c>
    </row>
    <row customHeight="1" ht="21">
      <c r="A18" s="1081" t="s">
        <v>1707</v>
      </c>
      <c r="B18" s="1082">
        <v>2016</v>
      </c>
      <c r="I18" s="1083" t="s">
        <v>170</v>
      </c>
      <c r="N18" s="1166" t="s">
        <v>1708</v>
      </c>
      <c r="X18" s="1094"/>
      <c r="AW18" s="1128" t="s">
        <v>166</v>
      </c>
      <c r="AX18" s="1128" t="s">
        <v>166</v>
      </c>
      <c r="BB18" s="1128" t="s">
        <v>1709</v>
      </c>
      <c r="BC18" s="1128" t="s">
        <v>1554</v>
      </c>
      <c r="BE18" s="1128">
        <v>2016</v>
      </c>
      <c r="BH18" s="1075" t="s">
        <v>1655</v>
      </c>
      <c r="BJ18" s="1229" t="s">
        <v>1710</v>
      </c>
      <c r="BL18" s="1229" t="s">
        <v>1710</v>
      </c>
      <c r="BN18" s="1075" t="s">
        <v>1711</v>
      </c>
      <c r="BQ18" s="1462" t="s">
        <v>1527</v>
      </c>
      <c r="BR18" s="1167" t="s">
        <v>1528</v>
      </c>
      <c r="BS18" s="260"/>
      <c r="BT18" s="1462" t="s">
        <v>1712</v>
      </c>
      <c r="BU18" s="1167" t="s">
        <v>1713</v>
      </c>
      <c r="BV18" s="1077"/>
      <c r="BW18" s="1737" t="s">
        <v>1714</v>
      </c>
      <c r="BX18" s="1731" t="s">
        <v>1715</v>
      </c>
      <c r="BZ18" s="1462" t="s">
        <v>1716</v>
      </c>
      <c r="CA18" s="1167" t="s">
        <v>1717</v>
      </c>
      <c r="CC18" s="1462" t="s">
        <v>1718</v>
      </c>
      <c r="CD18" s="1167" t="s">
        <v>1719</v>
      </c>
    </row>
    <row customHeight="1" ht="21">
      <c r="A19" s="1913" t="s">
        <v>1720</v>
      </c>
      <c r="B19" s="1082">
        <v>2017</v>
      </c>
      <c r="I19" s="1083" t="s">
        <v>175</v>
      </c>
      <c r="N19" s="1166" t="s">
        <v>1721</v>
      </c>
      <c r="X19" s="1094"/>
      <c r="AW19" s="1128" t="s">
        <v>170</v>
      </c>
      <c r="AX19" s="1128" t="s">
        <v>170</v>
      </c>
      <c r="AZ19" s="1074" t="s">
        <v>1722</v>
      </c>
      <c r="BB19" s="1128" t="s">
        <v>1723</v>
      </c>
      <c r="BC19" s="1128" t="s">
        <v>1554</v>
      </c>
      <c r="BE19" s="1128">
        <v>2017</v>
      </c>
      <c r="BH19" s="1075" t="s">
        <v>1724</v>
      </c>
      <c r="BJ19" s="1229" t="s">
        <v>1725</v>
      </c>
      <c r="BL19" s="1229" t="s">
        <v>1725</v>
      </c>
      <c r="BQ19" s="1311">
        <v>4190064</v>
      </c>
      <c r="BR19" s="1075" t="s">
        <v>1726</v>
      </c>
      <c r="BS19" s="1459"/>
      <c r="BT19" s="1311">
        <v>4189671</v>
      </c>
      <c r="BU19" s="1075" t="s">
        <v>1727</v>
      </c>
      <c r="BV19" s="1077"/>
      <c r="BW19" s="1735">
        <v>4189706</v>
      </c>
      <c r="BX19" s="1733" t="s">
        <v>1728</v>
      </c>
      <c r="BZ19" s="1311">
        <v>4189714</v>
      </c>
      <c r="CA19" s="1075" t="s">
        <v>1729</v>
      </c>
      <c r="CC19" s="1311">
        <v>4189708</v>
      </c>
      <c r="CD19" s="1075" t="s">
        <v>1730</v>
      </c>
    </row>
    <row customHeight="1" ht="21">
      <c r="A20" s="1081" t="s">
        <v>1731</v>
      </c>
      <c r="B20" s="1082">
        <v>2018</v>
      </c>
      <c r="I20" s="1083" t="s">
        <v>180</v>
      </c>
      <c r="N20" s="1166" t="s">
        <v>1732</v>
      </c>
      <c r="AW20" s="1128" t="s">
        <v>175</v>
      </c>
      <c r="AX20" s="1128" t="s">
        <v>175</v>
      </c>
      <c r="AZ20" s="1128" t="s">
        <v>1733</v>
      </c>
      <c r="BB20" s="1128" t="s">
        <v>1734</v>
      </c>
      <c r="BC20" s="1128" t="s">
        <v>1670</v>
      </c>
      <c r="BE20" s="1128">
        <v>2018</v>
      </c>
      <c r="BH20" s="1075" t="s">
        <v>1666</v>
      </c>
      <c r="BJ20" s="1075" t="s">
        <v>1594</v>
      </c>
      <c r="BL20" s="1075" t="s">
        <v>1594</v>
      </c>
      <c r="BQ20" s="1311">
        <v>4190065</v>
      </c>
      <c r="BR20" s="1075" t="s">
        <v>1735</v>
      </c>
      <c r="BS20" s="1459"/>
      <c r="BT20" s="1311">
        <v>4189672</v>
      </c>
      <c r="BU20" s="1075" t="s">
        <v>1736</v>
      </c>
      <c r="BV20" s="1077"/>
      <c r="BW20" s="1735">
        <v>4189705</v>
      </c>
      <c r="BX20" s="1733" t="s">
        <v>1737</v>
      </c>
      <c r="BZ20" s="1311">
        <v>4189713</v>
      </c>
      <c r="CA20" s="1075" t="s">
        <v>1737</v>
      </c>
      <c r="CC20" s="1311">
        <v>4189709</v>
      </c>
      <c r="CD20" s="1075" t="s">
        <v>1738</v>
      </c>
    </row>
    <row customHeight="1" ht="21">
      <c r="A21" s="1081" t="s">
        <v>1739</v>
      </c>
      <c r="B21" s="1082">
        <v>2019</v>
      </c>
      <c r="I21" s="1083" t="s">
        <v>118</v>
      </c>
      <c r="N21" s="1166" t="s">
        <v>1740</v>
      </c>
      <c r="AW21" s="1128" t="s">
        <v>180</v>
      </c>
      <c r="AX21" s="1128" t="s">
        <v>180</v>
      </c>
      <c r="AZ21" s="1128" t="s">
        <v>1741</v>
      </c>
      <c r="BB21" s="1128" t="s">
        <v>1742</v>
      </c>
      <c r="BC21" s="1128" t="s">
        <v>1554</v>
      </c>
      <c r="BE21" s="1128">
        <v>2019</v>
      </c>
      <c r="BH21" s="1075" t="s">
        <v>1673</v>
      </c>
      <c r="BJ21" s="1075" t="s">
        <v>1609</v>
      </c>
      <c r="BL21" s="1075" t="s">
        <v>1609</v>
      </c>
      <c r="BQ21" s="1311">
        <v>4190066</v>
      </c>
      <c r="BR21" s="1075" t="s">
        <v>1743</v>
      </c>
      <c r="BS21" s="1459"/>
      <c r="BT21" s="1311">
        <v>4189673</v>
      </c>
      <c r="BU21" s="1075" t="s">
        <v>1744</v>
      </c>
      <c r="BV21" s="1077"/>
      <c r="BW21" s="1735">
        <v>4189707</v>
      </c>
      <c r="BX21" s="1733" t="s">
        <v>1745</v>
      </c>
      <c r="BZ21" s="1311">
        <v>4189712</v>
      </c>
      <c r="CA21" s="1075" t="s">
        <v>1746</v>
      </c>
      <c r="CC21" s="1311">
        <v>4189710</v>
      </c>
      <c r="CD21" s="1075" t="s">
        <v>1747</v>
      </c>
    </row>
    <row customHeight="1" ht="21">
      <c r="A22" s="1081" t="s">
        <v>1748</v>
      </c>
      <c r="B22" s="1082">
        <v>2020</v>
      </c>
      <c r="N22" s="1166" t="s">
        <v>1749</v>
      </c>
      <c r="AW22" s="1128" t="s">
        <v>118</v>
      </c>
      <c r="AX22" s="1128" t="s">
        <v>118</v>
      </c>
      <c r="AZ22" s="1128" t="s">
        <v>1750</v>
      </c>
      <c r="BB22" s="1128" t="s">
        <v>1751</v>
      </c>
      <c r="BC22" s="1128" t="s">
        <v>1554</v>
      </c>
      <c r="BE22" s="1128">
        <v>2020</v>
      </c>
      <c r="BH22" s="1075" t="s">
        <v>1680</v>
      </c>
      <c r="BJ22" s="1075" t="s">
        <v>1625</v>
      </c>
      <c r="BL22" s="1075" t="s">
        <v>1625</v>
      </c>
      <c r="BQ22" s="1311">
        <v>4190067</v>
      </c>
      <c r="BR22" s="1075" t="s">
        <v>1752</v>
      </c>
      <c r="BS22" s="1459"/>
      <c r="BT22" s="1311">
        <v>4189674</v>
      </c>
      <c r="BU22" s="1075" t="s">
        <v>1753</v>
      </c>
      <c r="BV22" s="1077"/>
      <c r="BW22" s="1077"/>
      <c r="CC22" s="1311">
        <v>4189711</v>
      </c>
      <c r="CD22" s="1075" t="s">
        <v>506</v>
      </c>
    </row>
    <row customHeight="1" ht="21">
      <c r="A23" s="1081" t="s">
        <v>1754</v>
      </c>
      <c r="B23" s="1082">
        <v>2021</v>
      </c>
      <c r="AW23" s="1128" t="s">
        <v>122</v>
      </c>
      <c r="AX23" s="1128" t="s">
        <v>122</v>
      </c>
      <c r="AZ23" s="1128" t="s">
        <v>1755</v>
      </c>
      <c r="BB23" s="1128" t="s">
        <v>1756</v>
      </c>
      <c r="BC23" s="1128" t="s">
        <v>1464</v>
      </c>
      <c r="BE23" s="1128">
        <v>2021</v>
      </c>
      <c r="BH23" s="1075" t="s">
        <v>1688</v>
      </c>
      <c r="BJ23" s="1075" t="s">
        <v>1641</v>
      </c>
      <c r="BL23" s="1075" t="s">
        <v>1641</v>
      </c>
      <c r="BQ23" s="1311">
        <v>4190068</v>
      </c>
      <c r="BR23" s="1075" t="s">
        <v>1757</v>
      </c>
      <c r="BS23" s="1459"/>
      <c r="BT23" s="1311">
        <v>4189675</v>
      </c>
      <c r="BU23" s="1075" t="s">
        <v>1758</v>
      </c>
      <c r="BV23" s="1077"/>
      <c r="BW23" s="1077"/>
      <c r="CC23" s="1311">
        <v>5110778</v>
      </c>
      <c r="CD23" s="1075" t="s">
        <v>1759</v>
      </c>
    </row>
    <row customHeight="1" ht="21">
      <c r="A24" s="1081" t="s">
        <v>1760</v>
      </c>
      <c r="B24" s="1082">
        <v>2022</v>
      </c>
      <c r="AW24" s="1128" t="s">
        <v>107</v>
      </c>
      <c r="AX24" s="1128" t="s">
        <v>107</v>
      </c>
      <c r="AZ24" s="1128" t="s">
        <v>1761</v>
      </c>
      <c r="BB24" s="1128" t="s">
        <v>1762</v>
      </c>
      <c r="BC24" s="1128" t="s">
        <v>1763</v>
      </c>
      <c r="BE24" s="1128">
        <v>2022</v>
      </c>
      <c r="BH24" s="1075" t="s">
        <v>1696</v>
      </c>
      <c r="BJ24" s="1075" t="s">
        <v>1655</v>
      </c>
      <c r="BL24" s="1075" t="s">
        <v>1655</v>
      </c>
      <c r="BQ24" s="1311">
        <v>4190069</v>
      </c>
      <c r="BR24" s="1075" t="s">
        <v>1764</v>
      </c>
      <c r="BS24" s="1459"/>
      <c r="BT24" s="1311">
        <v>4189676</v>
      </c>
      <c r="BU24" s="1075" t="s">
        <v>1765</v>
      </c>
      <c r="BV24" s="1077"/>
      <c r="BW24" s="1077"/>
      <c r="CC24" s="1311">
        <v>25575374</v>
      </c>
      <c r="CD24" s="1075" t="s">
        <v>1766</v>
      </c>
    </row>
    <row customHeight="1" ht="11.25">
      <c r="A25" s="1081" t="s">
        <v>1767</v>
      </c>
      <c r="B25" s="1082">
        <v>2023</v>
      </c>
      <c r="AW25" s="1128" t="s">
        <v>1768</v>
      </c>
      <c r="AX25" s="1128" t="s">
        <v>1768</v>
      </c>
      <c r="AZ25" s="1128" t="s">
        <v>1769</v>
      </c>
      <c r="BB25" s="1128" t="s">
        <v>1770</v>
      </c>
      <c r="BC25" s="1128" t="s">
        <v>1763</v>
      </c>
      <c r="BE25" s="1128">
        <v>2023</v>
      </c>
      <c r="BH25" s="1075" t="s">
        <v>1702</v>
      </c>
      <c r="BJ25" s="1075" t="s">
        <v>1724</v>
      </c>
      <c r="BL25" s="1075" t="s">
        <v>1724</v>
      </c>
      <c r="BQ25" s="1311">
        <v>4190070</v>
      </c>
      <c r="BR25" s="1075" t="s">
        <v>1771</v>
      </c>
      <c r="BS25" s="1459"/>
      <c r="BT25" s="1311">
        <v>4189677</v>
      </c>
      <c r="BU25" s="1075" t="s">
        <v>1772</v>
      </c>
      <c r="BV25" s="1077"/>
      <c r="BW25" s="1077"/>
    </row>
    <row customHeight="1" ht="11.25">
      <c r="A26" s="1081" t="s">
        <v>1773</v>
      </c>
      <c r="B26" s="1082">
        <v>2024</v>
      </c>
      <c r="J26" s="1771" t="s">
        <v>1774</v>
      </c>
      <c r="AX26" s="1128" t="s">
        <v>177</v>
      </c>
      <c r="AZ26" s="1128" t="s">
        <v>1648</v>
      </c>
      <c r="BB26" s="1128" t="s">
        <v>1775</v>
      </c>
      <c r="BC26" s="1128" t="s">
        <v>1763</v>
      </c>
      <c r="BE26" s="1128">
        <v>2024</v>
      </c>
      <c r="BH26" s="1075" t="s">
        <v>1711</v>
      </c>
      <c r="BJ26" s="1075" t="s">
        <v>1666</v>
      </c>
      <c r="BL26" s="1075" t="s">
        <v>1666</v>
      </c>
      <c r="BQ26" s="1311">
        <v>4190071</v>
      </c>
      <c r="BR26" s="1075" t="s">
        <v>1776</v>
      </c>
      <c r="BS26" s="1459"/>
      <c r="BV26" s="1077"/>
      <c r="BW26" s="1077"/>
    </row>
    <row customHeight="1" ht="11.25">
      <c r="A27" s="1081" t="s">
        <v>1777</v>
      </c>
      <c r="B27" s="1082">
        <v>2025</v>
      </c>
      <c r="J27" s="162" t="s">
        <v>105</v>
      </c>
      <c r="AX27" s="1128" t="s">
        <v>163</v>
      </c>
      <c r="BB27" s="1128" t="s">
        <v>1778</v>
      </c>
      <c r="BC27" s="1128" t="s">
        <v>1763</v>
      </c>
      <c r="BE27" s="1128">
        <v>2025</v>
      </c>
      <c r="BH27" s="1077" t="s">
        <v>24</v>
      </c>
      <c r="BJ27" s="1075" t="s">
        <v>1673</v>
      </c>
      <c r="BL27" s="1075" t="s">
        <v>1673</v>
      </c>
      <c r="BN27" s="1077" t="s">
        <v>24</v>
      </c>
      <c r="BQ27" s="1311">
        <v>4190072</v>
      </c>
      <c r="BR27" s="1075" t="s">
        <v>1779</v>
      </c>
      <c r="BS27" s="1459"/>
      <c r="BV27" s="1077"/>
      <c r="BW27" s="1077"/>
    </row>
    <row customHeight="1" ht="11.25">
      <c r="A28" s="1081" t="s">
        <v>1780</v>
      </c>
      <c r="D28" s="1108"/>
      <c r="E28" s="1109"/>
      <c r="F28" s="1109"/>
      <c r="H28" s="1110" t="s">
        <v>1781</v>
      </c>
      <c r="AX28" s="1128" t="s">
        <v>1782</v>
      </c>
      <c r="AZ28" s="1074" t="s">
        <v>1783</v>
      </c>
      <c r="BB28" s="1128" t="s">
        <v>1784</v>
      </c>
      <c r="BC28" s="1128" t="s">
        <v>1785</v>
      </c>
      <c r="BE28" s="1128">
        <v>2026</v>
      </c>
      <c r="BH28" s="1077" t="s">
        <v>24</v>
      </c>
      <c r="BJ28" s="1075" t="s">
        <v>1680</v>
      </c>
      <c r="BL28" s="1075" t="s">
        <v>1680</v>
      </c>
      <c r="BN28" s="1077" t="s">
        <v>24</v>
      </c>
      <c r="BQ28" s="1311">
        <v>4190073</v>
      </c>
      <c r="BR28" s="1075" t="s">
        <v>1786</v>
      </c>
      <c r="BS28" s="1459"/>
      <c r="BV28" s="1077"/>
      <c r="BW28" s="1077"/>
    </row>
    <row customHeight="1" ht="11.25">
      <c r="A29" s="1081" t="s">
        <v>1787</v>
      </c>
      <c r="D29" s="1111" t="s">
        <v>1788</v>
      </c>
      <c r="E29" s="1112" t="str">
        <f>IF(TEMPLATE_GROUP="","",INDEX(StartDateList,MATCH(TEMPLATE_GROUP,CodeTemplateList,0),1))</f>
        <v>44197</v>
      </c>
      <c r="F29" s="1112" t="str">
        <f>IF(TEMPLATE_GROUP="","",INDEX(EndDateList,MATCH(TEMPLATE_GROUP,CodeTemplateList,0),1))</f>
        <v>45291</v>
      </c>
      <c r="H29" s="1113" t="s">
        <v>1789</v>
      </c>
      <c r="AX29" s="1128" t="s">
        <v>1790</v>
      </c>
      <c r="AZ29" s="1128" t="s">
        <v>1450</v>
      </c>
      <c r="BB29" s="1128" t="s">
        <v>1648</v>
      </c>
      <c r="BC29" s="1098"/>
      <c r="BE29" s="1128">
        <v>2027</v>
      </c>
      <c r="BJ29" s="1075" t="s">
        <v>1688</v>
      </c>
      <c r="BL29" s="1075" t="s">
        <v>1688</v>
      </c>
    </row>
    <row customHeight="1" ht="11.25">
      <c r="A30" s="1081" t="s">
        <v>1791</v>
      </c>
      <c r="D30" s="1114"/>
      <c r="E30" s="1115"/>
      <c r="F30" s="1115"/>
      <c r="AX30" s="1128" t="s">
        <v>112</v>
      </c>
      <c r="AZ30" s="1128" t="s">
        <v>1475</v>
      </c>
      <c r="BE30" s="1128">
        <v>2028</v>
      </c>
      <c r="BJ30" s="1075" t="s">
        <v>1792</v>
      </c>
      <c r="BL30" s="1075" t="s">
        <v>1792</v>
      </c>
    </row>
    <row customHeight="1" ht="12.75">
      <c r="A31" s="1081" t="s">
        <v>1793</v>
      </c>
      <c r="D31" s="1108"/>
      <c r="E31" s="1109"/>
      <c r="F31" s="1109"/>
      <c r="H31" s="1116"/>
      <c r="AX31" s="1128" t="s">
        <v>172</v>
      </c>
      <c r="AZ31" s="1128" t="s">
        <v>665</v>
      </c>
      <c r="BE31" s="1128">
        <v>2029</v>
      </c>
      <c r="BJ31" s="1075" t="s">
        <v>1794</v>
      </c>
      <c r="BL31" s="1075" t="s">
        <v>1794</v>
      </c>
    </row>
    <row customHeight="1" ht="11.25">
      <c r="A32" s="1081" t="s">
        <v>1795</v>
      </c>
      <c r="D32" s="1111" t="s">
        <v>1796</v>
      </c>
      <c r="E32" s="1112" t="str">
        <f>IF(TEMPLATE_GROUP="","",INDEX(StartDateList,MATCH(TEMPLATE_GROUP,CodeTemplateList,0),1))</f>
        <v>44197</v>
      </c>
      <c r="F32" s="1112" t="str">
        <f>IF(TEMPLATE_GROUP="","",INDEX(EndDateList,MATCH(TEMPLATE_GROUP,CodeTemplateList,0),1))</f>
        <v>45291</v>
      </c>
      <c r="H32" s="1117" t="s">
        <v>1797</v>
      </c>
      <c r="O32" s="1081" t="s">
        <v>663</v>
      </c>
      <c r="AX32" s="1128" t="s">
        <v>1798</v>
      </c>
      <c r="AZ32" s="1128" t="s">
        <v>662</v>
      </c>
      <c r="BE32" s="1128">
        <v>2030</v>
      </c>
      <c r="BJ32" s="1075" t="s">
        <v>1696</v>
      </c>
      <c r="BL32" s="1075" t="s">
        <v>1696</v>
      </c>
    </row>
    <row customHeight="1" ht="11.25">
      <c r="A33" s="1081" t="s">
        <v>1799</v>
      </c>
      <c r="O33" s="1081" t="s">
        <v>1473</v>
      </c>
      <c r="AX33" s="1128" t="s">
        <v>132</v>
      </c>
      <c r="AZ33" s="1128" t="s">
        <v>1449</v>
      </c>
      <c r="BE33" s="1128">
        <v>2031</v>
      </c>
      <c r="BJ33" s="1075" t="s">
        <v>1702</v>
      </c>
      <c r="BL33" s="1075" t="s">
        <v>1702</v>
      </c>
    </row>
    <row customHeight="1" ht="11.25">
      <c r="A34" s="1081" t="s">
        <v>1800</v>
      </c>
      <c r="O34" s="1081" t="s">
        <v>1508</v>
      </c>
      <c r="AX34" s="1128" t="s">
        <v>126</v>
      </c>
      <c r="BE34" s="1128">
        <v>2032</v>
      </c>
      <c r="BJ34" s="1075" t="s">
        <v>1711</v>
      </c>
      <c r="BL34" s="1075" t="s">
        <v>1711</v>
      </c>
    </row>
    <row customHeight="1" ht="11.25">
      <c r="A35" s="1081" t="s">
        <v>1801</v>
      </c>
      <c r="O35" s="1081" t="s">
        <v>1541</v>
      </c>
      <c r="AX35" s="1128" t="s">
        <v>145</v>
      </c>
      <c r="AZ35" s="1074" t="s">
        <v>1802</v>
      </c>
      <c r="BE35" s="1128">
        <v>2033</v>
      </c>
      <c r="BL35" s="1075" t="s">
        <v>1803</v>
      </c>
    </row>
    <row customHeight="1" ht="11.25">
      <c r="A36" s="1913" t="s">
        <v>1804</v>
      </c>
      <c r="D36" s="1118" t="s">
        <v>1805</v>
      </c>
      <c r="E36" s="1119" t="s">
        <v>929</v>
      </c>
      <c r="F36" s="1120" t="str">
        <f>INDEX(E37:E41,MATCH(TEMPLATE_SPHERE,F37:F41,0))</f>
        <v>теплоснабжения</v>
      </c>
      <c r="G36" s="1120" t="str">
        <f>INDEX(G37:G41,MATCH(TEMPLATE_SPHERE,F37:F41,0))</f>
        <v>теплоснабжение</v>
      </c>
      <c r="O36" s="1081" t="s">
        <v>1565</v>
      </c>
      <c r="AX36" s="1128" t="s">
        <v>1806</v>
      </c>
      <c r="AZ36" s="1128" t="s">
        <v>1449</v>
      </c>
      <c r="BE36" s="1128">
        <v>2034</v>
      </c>
      <c r="BL36" s="1075" t="s">
        <v>1807</v>
      </c>
    </row>
    <row customHeight="1" ht="11.25">
      <c r="A37" s="1081" t="s">
        <v>1808</v>
      </c>
      <c r="E37" s="413" t="s">
        <v>1809</v>
      </c>
      <c r="F37" s="1121" t="s">
        <v>929</v>
      </c>
      <c r="G37" s="413" t="s">
        <v>1810</v>
      </c>
      <c r="O37" s="1081" t="s">
        <v>1584</v>
      </c>
      <c r="AX37" s="1128" t="s">
        <v>1811</v>
      </c>
      <c r="AZ37" s="1128" t="s">
        <v>1474</v>
      </c>
      <c r="BE37" s="1128">
        <v>2035</v>
      </c>
    </row>
    <row customHeight="1" ht="11.25">
      <c r="A38" s="1081" t="s">
        <v>1812</v>
      </c>
      <c r="E38" s="413" t="s">
        <v>1813</v>
      </c>
      <c r="F38" s="1122" t="s">
        <v>975</v>
      </c>
      <c r="G38" s="413" t="s">
        <v>1814</v>
      </c>
      <c r="O38" s="1081" t="s">
        <v>1600</v>
      </c>
      <c r="AX38" s="1128" t="s">
        <v>1815</v>
      </c>
      <c r="AZ38" s="1128" t="s">
        <v>1509</v>
      </c>
      <c r="BE38" s="1128">
        <v>2036</v>
      </c>
      <c r="BH38" s="1074" t="s">
        <v>1816</v>
      </c>
      <c r="BJ38" s="1074" t="s">
        <v>1817</v>
      </c>
      <c r="BL38" s="1074" t="s">
        <v>1818</v>
      </c>
      <c r="BN38" s="1074" t="s">
        <v>1819</v>
      </c>
    </row>
    <row customHeight="1" ht="11.25">
      <c r="A39" s="1081" t="s">
        <v>14</v>
      </c>
      <c r="E39" s="413" t="s">
        <v>1820</v>
      </c>
      <c r="F39" s="1122" t="s">
        <v>1027</v>
      </c>
      <c r="G39" s="413" t="s">
        <v>1821</v>
      </c>
      <c r="O39" s="1081" t="s">
        <v>1616</v>
      </c>
      <c r="AX39" s="1128" t="s">
        <v>1822</v>
      </c>
      <c r="AZ39" s="1128" t="s">
        <v>1542</v>
      </c>
      <c r="BE39" s="1128">
        <v>2037</v>
      </c>
      <c r="BH39" s="1075" t="s">
        <v>1823</v>
      </c>
      <c r="BJ39" s="1229" t="s">
        <v>1823</v>
      </c>
      <c r="BL39" s="1229" t="s">
        <v>1823</v>
      </c>
      <c r="BN39" s="1075" t="s">
        <v>1824</v>
      </c>
    </row>
    <row customHeight="1" ht="11.25">
      <c r="A40" s="1081" t="s">
        <v>1825</v>
      </c>
      <c r="E40" s="413" t="s">
        <v>1826</v>
      </c>
      <c r="F40" s="1122" t="s">
        <v>1013</v>
      </c>
      <c r="G40" s="413" t="s">
        <v>1827</v>
      </c>
      <c r="O40" s="1081" t="s">
        <v>1632</v>
      </c>
      <c r="AX40" s="1128" t="s">
        <v>1828</v>
      </c>
      <c r="BE40" s="1128">
        <v>2038</v>
      </c>
      <c r="BH40" s="1075" t="s">
        <v>1829</v>
      </c>
      <c r="BJ40" s="1229" t="s">
        <v>1148</v>
      </c>
      <c r="BL40" s="1229" t="s">
        <v>1148</v>
      </c>
      <c r="BN40" s="1075" t="s">
        <v>1182</v>
      </c>
    </row>
    <row customHeight="1" ht="11.25">
      <c r="A41" s="1081" t="s">
        <v>1830</v>
      </c>
      <c r="E41" s="413" t="s">
        <v>1831</v>
      </c>
      <c r="F41" s="1122" t="s">
        <v>1832</v>
      </c>
      <c r="G41" s="413" t="s">
        <v>1831</v>
      </c>
      <c r="O41" s="1081" t="s">
        <v>1648</v>
      </c>
      <c r="AX41" s="1128" t="s">
        <v>1833</v>
      </c>
      <c r="AZ41" s="1074" t="s">
        <v>1834</v>
      </c>
      <c r="BE41" s="1128">
        <v>2039</v>
      </c>
      <c r="BH41" s="1075" t="s">
        <v>1835</v>
      </c>
      <c r="BJ41" s="1229" t="s">
        <v>1144</v>
      </c>
      <c r="BL41" s="1229" t="s">
        <v>1144</v>
      </c>
      <c r="BN41" s="1075" t="s">
        <v>1169</v>
      </c>
    </row>
    <row customHeight="1" ht="11.25">
      <c r="A42" s="1081" t="s">
        <v>1836</v>
      </c>
      <c r="AX42" s="1128" t="s">
        <v>1837</v>
      </c>
      <c r="AZ42" s="1128" t="s">
        <v>663</v>
      </c>
      <c r="BE42" s="1128">
        <v>2040</v>
      </c>
      <c r="BH42" s="1075" t="s">
        <v>1166</v>
      </c>
      <c r="BJ42" s="1229" t="s">
        <v>1146</v>
      </c>
      <c r="BL42" s="1229" t="s">
        <v>1146</v>
      </c>
      <c r="BN42" s="1075" t="s">
        <v>1838</v>
      </c>
    </row>
    <row customHeight="1" ht="11.25">
      <c r="A43" s="1081" t="s">
        <v>1839</v>
      </c>
      <c r="AX43" s="1128" t="s">
        <v>1840</v>
      </c>
      <c r="AZ43" s="1128" t="s">
        <v>1473</v>
      </c>
      <c r="BE43" s="1128">
        <v>2041</v>
      </c>
      <c r="BH43" s="1075" t="s">
        <v>1841</v>
      </c>
      <c r="BJ43" s="1229" t="s">
        <v>1835</v>
      </c>
      <c r="BL43" s="1229" t="s">
        <v>1835</v>
      </c>
      <c r="BN43" s="1075" t="s">
        <v>1842</v>
      </c>
    </row>
    <row customHeight="1" ht="11.25">
      <c r="A44" s="1081" t="s">
        <v>1843</v>
      </c>
      <c r="I44" s="805" t="s">
        <v>1844</v>
      </c>
      <c r="J44" s="1096" t="s">
        <v>1845</v>
      </c>
      <c r="K44" s="1096" t="s">
        <v>1846</v>
      </c>
      <c r="AX44" s="1128" t="s">
        <v>1847</v>
      </c>
      <c r="AZ44" s="1128" t="s">
        <v>1508</v>
      </c>
      <c r="BE44" s="1128">
        <v>2042</v>
      </c>
      <c r="BH44" s="1075" t="s">
        <v>1848</v>
      </c>
      <c r="BJ44" s="1229" t="s">
        <v>1166</v>
      </c>
      <c r="BL44" s="1229" t="s">
        <v>1166</v>
      </c>
      <c r="BN44" s="1075" t="s">
        <v>1849</v>
      </c>
    </row>
    <row customHeight="1" ht="11.25">
      <c r="A45" s="1081" t="s">
        <v>1850</v>
      </c>
      <c r="D45" s="1118" t="s">
        <v>1851</v>
      </c>
      <c r="E45" s="1119" t="s">
        <v>1852</v>
      </c>
      <c r="F45" s="803" t="s">
        <v>1853</v>
      </c>
      <c r="G45" s="802" t="s">
        <v>1854</v>
      </c>
      <c r="H45" s="805" t="s">
        <v>1855</v>
      </c>
      <c r="I45" s="1781">
        <f>INDEX(PeriodIsEmptyList,MATCH(TEMPLATE_GROUP,CodeTemplateList,0),1)</f>
        <v>0</v>
      </c>
      <c r="J45" s="1784" t="str">
        <f>INDEX(NameTemplatesInTitleList,MATCH(TEMPLATE_GROUP,CodeTemplateList,0),1)</f>
        <v>Показатели, подлежащие раскрытию в сфере теплоснабжения (цены и тарифы)</v>
      </c>
      <c r="K45" s="178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8" t="s">
        <v>1856</v>
      </c>
      <c r="AZ45" s="1128" t="s">
        <v>1541</v>
      </c>
      <c r="BE45" s="1128">
        <v>2043</v>
      </c>
      <c r="BH45" s="1075" t="s">
        <v>1857</v>
      </c>
      <c r="BJ45" s="1229" t="s">
        <v>1160</v>
      </c>
      <c r="BL45" s="1229" t="s">
        <v>1160</v>
      </c>
      <c r="BN45" s="1075" t="s">
        <v>1858</v>
      </c>
    </row>
    <row customHeight="1" ht="11.25">
      <c r="A46" s="1081" t="s">
        <v>1859</v>
      </c>
      <c r="E46" s="413" t="s">
        <v>22</v>
      </c>
      <c r="F46" s="1121" t="s">
        <v>1860</v>
      </c>
      <c r="G46" s="1123"/>
      <c r="H46" s="1123"/>
      <c r="I46" s="1782">
        <f>IF(TITLE_DATE_FIL="",TRUE,FALSE)</f>
        <v>1</v>
      </c>
      <c r="J46" s="1785" t="str">
        <f>"Общая информация о регулируемой организации ("&amp;TEMPLATE_SPHERE_RUS&amp;")"</f>
        <v>Общая информация о регулируемой организации (теплоснабжения)</v>
      </c>
      <c r="K46" s="1786"/>
      <c r="AX46" s="1128" t="s">
        <v>1861</v>
      </c>
      <c r="AZ46" s="1128" t="s">
        <v>1565</v>
      </c>
      <c r="BE46" s="1128">
        <v>2044</v>
      </c>
      <c r="BH46" s="1075" t="s">
        <v>1169</v>
      </c>
      <c r="BJ46" s="1229" t="s">
        <v>1150</v>
      </c>
      <c r="BL46" s="1229" t="s">
        <v>1150</v>
      </c>
      <c r="BN46" s="1075" t="s">
        <v>1862</v>
      </c>
    </row>
    <row customHeight="1" ht="11.25">
      <c r="A47" s="1081" t="s">
        <v>1863</v>
      </c>
      <c r="E47" s="413" t="s">
        <v>29</v>
      </c>
      <c r="F47" s="1122" t="s">
        <v>1864</v>
      </c>
      <c r="G47" s="1124" t="str">
        <f>IF(f_year="","",IF(LEN(f_quart)=0,"",IF(f_quart="I квартал","01.01."&amp;f_year,IF(f_quart="II квартал","01.04."&amp;f_year,(IF(f_quart="III квартал","01.07."&amp;f_year,"01.10."&amp;f_year))))))</f>
        <v/>
      </c>
      <c r="H47" s="1124" t="str">
        <f>IF(f_year="","",IF(LEN(f_quart)=0,"",IF(f_quart="I квартал","31.03."&amp;f_year,IF(f_quart="II квартал","30.06."&amp;f_year,(IF(f_quart="III квартал","30.09."&amp;f_year,"31.12."&amp;f_year))))))</f>
        <v/>
      </c>
      <c r="I47" s="1783">
        <f>IF(OR(f_year="",f_quart=""),TRUE,FALSE)</f>
        <v>1</v>
      </c>
      <c r="J47" s="178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86"/>
      <c r="AX47" s="1128" t="s">
        <v>1865</v>
      </c>
      <c r="AZ47" s="1128" t="s">
        <v>1584</v>
      </c>
      <c r="BE47" s="1128">
        <v>2045</v>
      </c>
      <c r="BH47" s="1075" t="s">
        <v>1838</v>
      </c>
      <c r="BJ47" s="1229" t="s">
        <v>1152</v>
      </c>
      <c r="BL47" s="1229" t="s">
        <v>1152</v>
      </c>
      <c r="BN47" s="1075" t="s">
        <v>1866</v>
      </c>
    </row>
    <row customHeight="1" ht="11.25">
      <c r="A48" s="1081" t="s">
        <v>1867</v>
      </c>
      <c r="E48" s="413" t="s">
        <v>1868</v>
      </c>
      <c r="F48" s="1122" t="s">
        <v>1869</v>
      </c>
      <c r="G48" s="1124" t="str">
        <f>IF(f_year="","","01.01."&amp;f_year)</f>
        <v/>
      </c>
      <c r="H48" s="1124" t="str">
        <f>IF(f_year="","","31.12."&amp;f_year)</f>
        <v/>
      </c>
      <c r="I48" s="1782">
        <f>IF(f_year="",TRUE,FALSE)</f>
        <v>1</v>
      </c>
      <c r="J48" s="1785" t="s">
        <v>1870</v>
      </c>
      <c r="K48" s="1786"/>
      <c r="AX48" s="1128" t="s">
        <v>1871</v>
      </c>
      <c r="AZ48" s="1128" t="s">
        <v>1600</v>
      </c>
      <c r="BE48" s="1128">
        <v>2046</v>
      </c>
      <c r="BH48" s="1075" t="s">
        <v>1842</v>
      </c>
      <c r="BJ48" s="1229" t="s">
        <v>1154</v>
      </c>
      <c r="BL48" s="1229" t="s">
        <v>1154</v>
      </c>
      <c r="BN48" s="1075" t="s">
        <v>1872</v>
      </c>
    </row>
    <row customHeight="1" ht="11.25">
      <c r="A49" s="1081" t="s">
        <v>1873</v>
      </c>
      <c r="E49" s="413" t="s">
        <v>1874</v>
      </c>
      <c r="F49" s="1122" t="s">
        <v>1875</v>
      </c>
      <c r="G49" s="1124" t="str">
        <f>IF(f_year="","","01.01."&amp;f_year)</f>
        <v/>
      </c>
      <c r="H49" s="1124" t="str">
        <f>IF(f_year="","","31.12."&amp;f_year)</f>
        <v/>
      </c>
      <c r="I49" s="1782">
        <f>IF(f_year="",TRUE,FALSE)</f>
        <v>1</v>
      </c>
      <c r="J49" s="178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86"/>
      <c r="AX49" s="1128" t="s">
        <v>100</v>
      </c>
      <c r="AZ49" s="1128" t="s">
        <v>1616</v>
      </c>
      <c r="BE49" s="1128">
        <v>2047</v>
      </c>
      <c r="BH49" s="1075" t="s">
        <v>1170</v>
      </c>
      <c r="BJ49" s="1229" t="s">
        <v>1156</v>
      </c>
      <c r="BL49" s="1229" t="s">
        <v>1156</v>
      </c>
    </row>
    <row customHeight="1" ht="11.25">
      <c r="A50" s="1081" t="s">
        <v>1876</v>
      </c>
      <c r="E50" s="413" t="s">
        <v>1877</v>
      </c>
      <c r="F50" s="1122" t="s">
        <v>1140</v>
      </c>
      <c r="G50" s="1124" t="str">
        <f>IF(f_year="","","01.01."&amp;f_year)</f>
        <v/>
      </c>
      <c r="H50" s="1124" t="str">
        <f>IF(f_year="","","31.12."&amp;f_year)</f>
        <v/>
      </c>
      <c r="I50" s="1782">
        <f>IF(f_year="",TRUE,FALSE)</f>
        <v>1</v>
      </c>
      <c r="J50" s="178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86"/>
      <c r="AX50" s="1128" t="s">
        <v>1878</v>
      </c>
      <c r="AZ50" s="1128" t="s">
        <v>1632</v>
      </c>
      <c r="BE50" s="1128">
        <v>2048</v>
      </c>
      <c r="BH50" s="1075" t="s">
        <v>1849</v>
      </c>
      <c r="BJ50" s="1229" t="s">
        <v>1158</v>
      </c>
      <c r="BL50" s="1229" t="s">
        <v>1158</v>
      </c>
    </row>
    <row customHeight="1" ht="11.25">
      <c r="A51" s="1081" t="s">
        <v>1879</v>
      </c>
      <c r="E51" s="413" t="s">
        <v>1880</v>
      </c>
      <c r="F51" s="1122" t="s">
        <v>1881</v>
      </c>
      <c r="G51" s="1124" t="str">
        <f>IF(TITLE_PERIOD_START="","",TITLE_PERIOD_START)</f>
        <v>44197</v>
      </c>
      <c r="H51" s="1124" t="str">
        <f>IF(TITLE_PERIOD_END="","",TITLE_PERIOD_END)</f>
        <v>45291</v>
      </c>
      <c r="I51" s="1783">
        <f>IF(OR(TITLE_PERIOD_START="",TITLE_PERIOD_END=""),TRUE,FALSE)</f>
        <v>0</v>
      </c>
      <c r="J51" s="178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86"/>
      <c r="AX51" s="1128" t="s">
        <v>1882</v>
      </c>
      <c r="AZ51" s="1128" t="s">
        <v>1648</v>
      </c>
      <c r="BE51" s="1128">
        <v>2049</v>
      </c>
      <c r="BH51" s="1075" t="s">
        <v>1858</v>
      </c>
      <c r="BJ51" s="1229" t="s">
        <v>1883</v>
      </c>
      <c r="BL51" s="1229" t="s">
        <v>1883</v>
      </c>
    </row>
    <row customHeight="1" ht="11.25">
      <c r="A52" s="1081" t="s">
        <v>1884</v>
      </c>
      <c r="E52" s="413" t="s">
        <v>1885</v>
      </c>
      <c r="F52" s="1122" t="s">
        <v>1852</v>
      </c>
      <c r="G52" s="1124" t="str">
        <f>IF(TITLE_PERIOD_START="","",TITLE_PERIOD_START)</f>
        <v>44197</v>
      </c>
      <c r="H52" s="1124" t="str">
        <f>IF(TITLE_PERIOD_END="","",TITLE_PERIOD_END)</f>
        <v>45291</v>
      </c>
      <c r="I52" s="1783">
        <f>IF(OR(TITLE_PERIOD_START="",TITLE_PERIOD_END=""),TRUE,FALSE)</f>
        <v>0</v>
      </c>
      <c r="J52" s="1785" t="str">
        <f>"Показатели, подлежащие раскрытию в сфере "&amp;TEMPLATE_SPHERE_RUS&amp;" (цены и тарифы)"</f>
        <v>Показатели, подлежащие раскрытию в сфере теплоснабжения (цены и тарифы)</v>
      </c>
      <c r="K52" s="1786"/>
      <c r="AX52" s="1128" t="s">
        <v>1886</v>
      </c>
      <c r="AZ52" s="1128" t="s">
        <v>1449</v>
      </c>
      <c r="BE52" s="1128">
        <v>2050</v>
      </c>
      <c r="BH52" s="1075" t="s">
        <v>1862</v>
      </c>
      <c r="BJ52" s="1229" t="s">
        <v>1169</v>
      </c>
      <c r="BL52" s="1229" t="s">
        <v>1169</v>
      </c>
    </row>
    <row customHeight="1" ht="11.25">
      <c r="A53" s="1081" t="s">
        <v>1887</v>
      </c>
      <c r="E53" s="413" t="s">
        <v>1888</v>
      </c>
      <c r="F53" s="1122" t="s">
        <v>1888</v>
      </c>
      <c r="G53" s="1124" t="str">
        <f>IF(f_year="","","01.01."&amp;f_year)</f>
        <v/>
      </c>
      <c r="H53" s="1124" t="str">
        <f>IF(f_year="","","31.12."&amp;f_year)</f>
        <v/>
      </c>
      <c r="I53" s="1782">
        <f>IF(AND(f_year="",TITLE_DATE_FIL=""),TRUE,FALSE)</f>
        <v>1</v>
      </c>
      <c r="J53" s="1785" t="s">
        <v>1889</v>
      </c>
      <c r="K53" s="1786"/>
      <c r="AX53" s="1128" t="s">
        <v>1890</v>
      </c>
      <c r="BE53" s="1128">
        <v>2051</v>
      </c>
      <c r="BH53" s="1075" t="s">
        <v>1866</v>
      </c>
      <c r="BJ53" s="1229" t="s">
        <v>1838</v>
      </c>
      <c r="BL53" s="1229" t="s">
        <v>1838</v>
      </c>
    </row>
    <row customHeight="1" ht="11.25">
      <c r="A54" s="1081" t="s">
        <v>1891</v>
      </c>
      <c r="AX54" s="1128" t="s">
        <v>1892</v>
      </c>
      <c r="AZ54" s="1074" t="s">
        <v>1893</v>
      </c>
      <c r="BE54" s="1128">
        <v>2052</v>
      </c>
      <c r="BH54" s="1075" t="s">
        <v>1872</v>
      </c>
      <c r="BJ54" s="1229" t="s">
        <v>1842</v>
      </c>
      <c r="BL54" s="1229" t="s">
        <v>1842</v>
      </c>
    </row>
    <row customHeight="1" ht="11.25">
      <c r="A55" s="1081" t="s">
        <v>1894</v>
      </c>
      <c r="AX55" s="1128" t="s">
        <v>1895</v>
      </c>
      <c r="AZ55" s="1128" t="s">
        <v>1451</v>
      </c>
      <c r="BE55" s="1128">
        <v>2053</v>
      </c>
      <c r="BH55" s="1077" t="s">
        <v>24</v>
      </c>
      <c r="BJ55" s="1229" t="s">
        <v>1170</v>
      </c>
      <c r="BL55" s="1229" t="s">
        <v>1170</v>
      </c>
    </row>
    <row customHeight="1" ht="11.25">
      <c r="A56" s="1081" t="s">
        <v>1896</v>
      </c>
      <c r="D56" s="1126" t="s">
        <v>1897</v>
      </c>
      <c r="E56" s="1102">
        <v>74</v>
      </c>
      <c r="F56" s="1081" t="s">
        <v>1898</v>
      </c>
      <c r="AX56" s="1128" t="s">
        <v>1899</v>
      </c>
      <c r="AZ56" s="1128" t="s">
        <v>1476</v>
      </c>
      <c r="BE56" s="1128">
        <v>2054</v>
      </c>
      <c r="BH56" s="1077" t="s">
        <v>24</v>
      </c>
      <c r="BJ56" s="1229" t="s">
        <v>1849</v>
      </c>
      <c r="BL56" s="1229" t="s">
        <v>1849</v>
      </c>
    </row>
    <row customHeight="1" ht="11.25">
      <c r="A57" s="1081" t="s">
        <v>1900</v>
      </c>
      <c r="D57" s="1126" t="s">
        <v>1901</v>
      </c>
      <c r="E57" s="1102">
        <v>66</v>
      </c>
      <c r="F57" s="1081" t="s">
        <v>1898</v>
      </c>
      <c r="AX57" s="1128" t="s">
        <v>1902</v>
      </c>
      <c r="AZ57" s="1128" t="s">
        <v>1511</v>
      </c>
      <c r="BE57" s="1128">
        <v>2055</v>
      </c>
      <c r="BJ57" s="1229" t="s">
        <v>1858</v>
      </c>
      <c r="BL57" s="1229" t="s">
        <v>1858</v>
      </c>
    </row>
    <row customHeight="1" ht="11.25">
      <c r="A58" s="1081" t="s">
        <v>1903</v>
      </c>
      <c r="D58" s="1126" t="s">
        <v>1904</v>
      </c>
      <c r="E58" s="1102">
        <v>44</v>
      </c>
      <c r="F58" s="1081" t="s">
        <v>1898</v>
      </c>
      <c r="AX58" s="1128" t="s">
        <v>1905</v>
      </c>
      <c r="BE58" s="1128">
        <v>2056</v>
      </c>
      <c r="BJ58" s="1229" t="s">
        <v>1862</v>
      </c>
      <c r="BL58" s="1229" t="s">
        <v>1862</v>
      </c>
    </row>
    <row customHeight="1" ht="11.25">
      <c r="A59" s="1081" t="s">
        <v>1906</v>
      </c>
      <c r="D59" s="1126" t="s">
        <v>212</v>
      </c>
      <c r="E59" s="1102" t="s">
        <v>118</v>
      </c>
      <c r="F59" s="1081" t="s">
        <v>1907</v>
      </c>
      <c r="AX59" s="1128" t="s">
        <v>1908</v>
      </c>
      <c r="AZ59" s="1074" t="s">
        <v>1909</v>
      </c>
      <c r="BE59" s="1128">
        <v>2057</v>
      </c>
      <c r="BJ59" s="1229" t="s">
        <v>1866</v>
      </c>
      <c r="BL59" s="1229" t="s">
        <v>1866</v>
      </c>
    </row>
    <row customHeight="1" ht="11.25">
      <c r="A60" s="1081" t="s">
        <v>1910</v>
      </c>
      <c r="D60" s="1126" t="s">
        <v>1911</v>
      </c>
      <c r="E60" s="1102" t="s">
        <v>118</v>
      </c>
      <c r="F60" s="1081" t="s">
        <v>1907</v>
      </c>
      <c r="AX60" s="1128" t="s">
        <v>1912</v>
      </c>
      <c r="AZ60" s="1128" t="s">
        <v>1452</v>
      </c>
      <c r="BE60" s="1128">
        <v>2058</v>
      </c>
      <c r="BJ60" s="1229" t="s">
        <v>1872</v>
      </c>
      <c r="BL60" s="1229" t="s">
        <v>1872</v>
      </c>
    </row>
    <row customHeight="1" ht="11.25">
      <c r="A61" s="1081" t="s">
        <v>1913</v>
      </c>
      <c r="D61" s="1126" t="s">
        <v>1914</v>
      </c>
      <c r="E61" s="1102">
        <v>27</v>
      </c>
      <c r="F61" s="1081" t="s">
        <v>1907</v>
      </c>
      <c r="AX61" s="1128" t="s">
        <v>1915</v>
      </c>
      <c r="AZ61" s="1128" t="s">
        <v>1477</v>
      </c>
      <c r="BE61" s="1128">
        <v>2059</v>
      </c>
      <c r="BL61" s="1229" t="s">
        <v>1162</v>
      </c>
    </row>
    <row customHeight="1" ht="11.25">
      <c r="A62" s="1081" t="s">
        <v>1916</v>
      </c>
      <c r="D62" s="1126" t="s">
        <v>211</v>
      </c>
      <c r="E62" s="1102">
        <v>69</v>
      </c>
      <c r="F62" s="1081" t="s">
        <v>1907</v>
      </c>
      <c r="AZ62" s="1128" t="s">
        <v>1512</v>
      </c>
      <c r="BE62" s="1128">
        <v>2060</v>
      </c>
      <c r="BL62" s="1229" t="s">
        <v>1164</v>
      </c>
    </row>
    <row customHeight="1" ht="11.25">
      <c r="A63" s="1081" t="s">
        <v>1917</v>
      </c>
      <c r="D63" s="1126" t="s">
        <v>1918</v>
      </c>
      <c r="E63" s="1102">
        <v>69</v>
      </c>
      <c r="F63" s="1081" t="s">
        <v>1907</v>
      </c>
      <c r="AZ63" s="1128" t="s">
        <v>1543</v>
      </c>
      <c r="BE63" s="1128">
        <v>2061</v>
      </c>
    </row>
    <row customHeight="1" ht="11.25">
      <c r="A64" s="1081" t="s">
        <v>1919</v>
      </c>
      <c r="D64" s="1126" t="s">
        <v>1920</v>
      </c>
      <c r="E64" s="1102">
        <v>81</v>
      </c>
      <c r="F64" s="1081" t="s">
        <v>1907</v>
      </c>
      <c r="AZ64" s="1128" t="s">
        <v>1566</v>
      </c>
      <c r="BE64" s="1128">
        <v>2062</v>
      </c>
    </row>
    <row customHeight="1" ht="11.25">
      <c r="A65" s="1081" t="s">
        <v>1921</v>
      </c>
      <c r="D65" s="1081"/>
      <c r="BE65" s="1128">
        <v>2063</v>
      </c>
    </row>
    <row customHeight="1" ht="11.25">
      <c r="A66" s="1081" t="s">
        <v>1922</v>
      </c>
      <c r="AZ66" s="1074" t="s">
        <v>1923</v>
      </c>
      <c r="BE66" s="1128">
        <v>2064</v>
      </c>
    </row>
    <row customHeight="1" ht="11.25">
      <c r="A67" s="1081" t="s">
        <v>1924</v>
      </c>
      <c r="AZ67" s="1128" t="s">
        <v>1453</v>
      </c>
      <c r="BE67" s="1128">
        <v>2065</v>
      </c>
    </row>
    <row customHeight="1" ht="11.25">
      <c r="A68" s="1081" t="s">
        <v>1925</v>
      </c>
      <c r="AZ68" s="1128" t="s">
        <v>1478</v>
      </c>
      <c r="BE68" s="1128">
        <v>2066</v>
      </c>
      <c r="BH68" s="1074" t="s">
        <v>1926</v>
      </c>
      <c r="BJ68" s="1074" t="s">
        <v>1927</v>
      </c>
      <c r="BL68" s="1074" t="s">
        <v>1928</v>
      </c>
      <c r="BN68" s="1074" t="s">
        <v>1929</v>
      </c>
    </row>
    <row customHeight="1" ht="11.25">
      <c r="A69" s="1081" t="s">
        <v>1930</v>
      </c>
      <c r="AZ69" s="1128" t="s">
        <v>1513</v>
      </c>
      <c r="BE69" s="1128">
        <v>2067</v>
      </c>
      <c r="BH69" s="1075" t="s">
        <v>1931</v>
      </c>
      <c r="BI69" s="1125" t="s">
        <v>193</v>
      </c>
      <c r="BJ69" s="1075" t="s">
        <v>1932</v>
      </c>
      <c r="BK69" s="1125" t="s">
        <v>193</v>
      </c>
      <c r="BL69" s="1075" t="s">
        <v>1933</v>
      </c>
      <c r="BN69" s="1075" t="s">
        <v>1934</v>
      </c>
    </row>
    <row customHeight="1" ht="11.25">
      <c r="A70" s="1081" t="s">
        <v>1935</v>
      </c>
      <c r="AZ70" s="1128" t="s">
        <v>1544</v>
      </c>
      <c r="BE70" s="1128">
        <v>2068</v>
      </c>
      <c r="BH70" s="1075" t="s">
        <v>1936</v>
      </c>
      <c r="BJ70" s="1075" t="s">
        <v>1937</v>
      </c>
      <c r="BL70" s="1075" t="s">
        <v>1938</v>
      </c>
      <c r="BN70" s="1075" t="s">
        <v>1939</v>
      </c>
    </row>
    <row customHeight="1" ht="11.25">
      <c r="A71" s="1081" t="s">
        <v>1940</v>
      </c>
      <c r="AZ71" s="1128" t="s">
        <v>1546</v>
      </c>
      <c r="BE71" s="1128">
        <v>2069</v>
      </c>
      <c r="BH71" s="1075" t="s">
        <v>1941</v>
      </c>
      <c r="BI71" s="1125" t="s">
        <v>91</v>
      </c>
      <c r="BJ71" s="1075" t="s">
        <v>1942</v>
      </c>
      <c r="BK71" s="1125" t="s">
        <v>91</v>
      </c>
      <c r="BL71" s="1075" t="s">
        <v>1943</v>
      </c>
      <c r="BN71" s="1075" t="s">
        <v>1944</v>
      </c>
    </row>
    <row customHeight="1" ht="11.25">
      <c r="A72" s="1081" t="s">
        <v>1945</v>
      </c>
      <c r="AZ72" s="1128" t="s">
        <v>58</v>
      </c>
      <c r="BE72" s="1128">
        <v>2070</v>
      </c>
      <c r="BH72" s="1075" t="s">
        <v>1946</v>
      </c>
      <c r="BJ72" s="1075" t="s">
        <v>1946</v>
      </c>
      <c r="BL72" s="1075" t="s">
        <v>1946</v>
      </c>
      <c r="BN72" s="1075" t="s">
        <v>1947</v>
      </c>
    </row>
    <row customHeight="1" ht="11.25">
      <c r="A73" s="1081" t="s">
        <v>1948</v>
      </c>
      <c r="BH73" s="1075" t="s">
        <v>1949</v>
      </c>
      <c r="BI73" s="1125" t="s">
        <v>116</v>
      </c>
      <c r="BJ73" s="1075" t="s">
        <v>1950</v>
      </c>
      <c r="BK73" s="1125" t="s">
        <v>116</v>
      </c>
      <c r="BL73" s="1075" t="s">
        <v>1951</v>
      </c>
      <c r="BN73" s="1075" t="s">
        <v>1952</v>
      </c>
    </row>
    <row customHeight="1" ht="11.25">
      <c r="A74" s="1081" t="s">
        <v>1953</v>
      </c>
      <c r="BH74" s="1075" t="s">
        <v>1954</v>
      </c>
      <c r="BJ74" s="1075" t="s">
        <v>1955</v>
      </c>
      <c r="BL74" s="1075" t="s">
        <v>1956</v>
      </c>
      <c r="BN74" s="1075" t="s">
        <v>1957</v>
      </c>
    </row>
    <row customHeight="1" ht="11.25">
      <c r="A75" s="1081" t="s">
        <v>1958</v>
      </c>
      <c r="AZ75" s="1074" t="s">
        <v>1959</v>
      </c>
      <c r="BH75" s="1075" t="s">
        <v>1960</v>
      </c>
      <c r="BJ75" s="1075" t="s">
        <v>1960</v>
      </c>
      <c r="BL75" s="1075" t="s">
        <v>1960</v>
      </c>
    </row>
    <row customHeight="1" ht="11.25">
      <c r="A76" s="1081" t="s">
        <v>1961</v>
      </c>
      <c r="AZ76" s="1128" t="s">
        <v>1461</v>
      </c>
      <c r="BH76" s="1075" t="s">
        <v>1962</v>
      </c>
      <c r="BJ76" s="1075" t="s">
        <v>1963</v>
      </c>
      <c r="BL76" s="1075" t="s">
        <v>1964</v>
      </c>
    </row>
    <row customHeight="1" ht="11.25">
      <c r="A77" s="1081" t="s">
        <v>1965</v>
      </c>
      <c r="AZ77" s="1128" t="s">
        <v>1488</v>
      </c>
    </row>
    <row customHeight="1" ht="11.25">
      <c r="A78" s="1081" t="s">
        <v>1966</v>
      </c>
      <c r="AZ78" s="1128" t="s">
        <v>1520</v>
      </c>
    </row>
    <row customHeight="1" ht="11.25">
      <c r="A79" s="1081" t="s">
        <v>1967</v>
      </c>
      <c r="AZ79" s="1128" t="s">
        <v>1550</v>
      </c>
      <c r="BH79" s="1074" t="s">
        <v>1968</v>
      </c>
      <c r="BJ79" s="1074" t="s">
        <v>1969</v>
      </c>
      <c r="BL79" s="1074" t="s">
        <v>1970</v>
      </c>
    </row>
    <row customHeight="1" ht="11.25">
      <c r="A80" s="1081" t="s">
        <v>1971</v>
      </c>
      <c r="AZ80" s="1128" t="s">
        <v>1571</v>
      </c>
      <c r="BH80" s="1075" t="s">
        <v>1972</v>
      </c>
      <c r="BJ80" s="1075" t="s">
        <v>1973</v>
      </c>
      <c r="BL80" s="1075" t="s">
        <v>1974</v>
      </c>
    </row>
    <row customHeight="1" ht="11.25">
      <c r="A81" s="1081" t="s">
        <v>1975</v>
      </c>
      <c r="AZ81" s="1128" t="s">
        <v>1588</v>
      </c>
      <c r="BH81" s="1075" t="s">
        <v>1976</v>
      </c>
      <c r="BJ81" s="1075" t="s">
        <v>1977</v>
      </c>
      <c r="BL81" s="1075" t="s">
        <v>1978</v>
      </c>
    </row>
    <row customHeight="1" ht="11.25">
      <c r="A82" s="1081" t="s">
        <v>1979</v>
      </c>
      <c r="AZ82" s="1128" t="s">
        <v>1602</v>
      </c>
      <c r="BH82" s="1075" t="s">
        <v>1980</v>
      </c>
      <c r="BJ82" s="1075" t="s">
        <v>1981</v>
      </c>
      <c r="BL82" s="1075" t="s">
        <v>1982</v>
      </c>
    </row>
    <row customHeight="1" ht="11.25">
      <c r="A83" s="1081" t="s">
        <v>1983</v>
      </c>
      <c r="BH83" s="1075" t="s">
        <v>1984</v>
      </c>
      <c r="BJ83" s="1075" t="s">
        <v>1985</v>
      </c>
      <c r="BL83" s="1075" t="s">
        <v>1986</v>
      </c>
    </row>
    <row customHeight="1" ht="11.25">
      <c r="A84" s="1081" t="s">
        <v>1987</v>
      </c>
      <c r="AZ84" s="1074" t="s">
        <v>1988</v>
      </c>
    </row>
    <row customHeight="1" ht="11.25">
      <c r="A85" s="1913" t="s">
        <v>1989</v>
      </c>
      <c r="AZ85" s="1128" t="s">
        <v>1990</v>
      </c>
    </row>
    <row customHeight="1" ht="11.25">
      <c r="A86" s="1081" t="s">
        <v>1991</v>
      </c>
      <c r="AZ86" s="1128" t="s">
        <v>1992</v>
      </c>
      <c r="BH86" s="1074" t="s">
        <v>1993</v>
      </c>
      <c r="BJ86" s="1074" t="s">
        <v>1994</v>
      </c>
      <c r="BL86" s="1074" t="s">
        <v>1995</v>
      </c>
    </row>
    <row customHeight="1" ht="11.25">
      <c r="A87" s="1081" t="s">
        <v>1996</v>
      </c>
      <c r="AZ87" s="1128" t="s">
        <v>1997</v>
      </c>
      <c r="BH87" s="1075" t="s">
        <v>1998</v>
      </c>
      <c r="BJ87" s="1075" t="s">
        <v>1999</v>
      </c>
      <c r="BL87" s="1075" t="s">
        <v>2000</v>
      </c>
    </row>
    <row customHeight="1" ht="11.25">
      <c r="A88" s="1081" t="s">
        <v>2001</v>
      </c>
      <c r="AZ88" s="1646"/>
      <c r="BH88" s="1075" t="s">
        <v>2002</v>
      </c>
      <c r="BJ88" s="1075" t="s">
        <v>2003</v>
      </c>
      <c r="BL88" s="1075" t="s">
        <v>2004</v>
      </c>
    </row>
    <row customHeight="1" ht="11.25">
      <c r="A89" s="1081" t="s">
        <v>2005</v>
      </c>
      <c r="AZ89" s="1074" t="s">
        <v>2006</v>
      </c>
    </row>
    <row customHeight="1" ht="11.25">
      <c r="A90" s="1081" t="s">
        <v>2007</v>
      </c>
      <c r="AZ90" s="1128" t="s">
        <v>1140</v>
      </c>
    </row>
    <row customHeight="1" ht="11.25">
      <c r="A91" s="1081" t="s">
        <v>2008</v>
      </c>
      <c r="AZ91" s="1128" t="s">
        <v>1176</v>
      </c>
      <c r="BH91" s="1074" t="s">
        <v>2009</v>
      </c>
      <c r="BJ91" s="1074" t="s">
        <v>2010</v>
      </c>
      <c r="BL91" s="1074" t="s">
        <v>2011</v>
      </c>
    </row>
    <row customHeight="1" ht="11.25">
      <c r="AZ92" s="1128" t="s">
        <v>2012</v>
      </c>
      <c r="BH92" s="1075" t="s">
        <v>2013</v>
      </c>
      <c r="BJ92" s="1075" t="s">
        <v>2014</v>
      </c>
      <c r="BL92" s="1075" t="s">
        <v>2015</v>
      </c>
    </row>
    <row customHeight="1" ht="11.25">
      <c r="AZ93" s="1128" t="s">
        <v>2016</v>
      </c>
      <c r="BH93" s="1075" t="s">
        <v>2017</v>
      </c>
      <c r="BJ93" s="1075" t="s">
        <v>2018</v>
      </c>
      <c r="BL93" s="1075" t="s">
        <v>2019</v>
      </c>
    </row>
    <row customHeight="1" ht="11.25">
      <c r="AZ94" s="1128" t="s">
        <v>2020</v>
      </c>
    </row>
    <row r="96" customHeight="1" ht="11.25">
      <c r="AZ96" s="1074" t="s">
        <v>2021</v>
      </c>
      <c r="BH96" s="1074" t="s">
        <v>2022</v>
      </c>
      <c r="BJ96" s="1074" t="s">
        <v>2023</v>
      </c>
      <c r="BL96" s="1074" t="s">
        <v>2024</v>
      </c>
      <c r="BN96" s="1074" t="s">
        <v>2025</v>
      </c>
    </row>
    <row customHeight="1" ht="11.25">
      <c r="AZ97" s="1128" t="s">
        <v>2026</v>
      </c>
      <c r="BH97" s="1075" t="s">
        <v>2027</v>
      </c>
      <c r="BJ97" s="1075" t="s">
        <v>2028</v>
      </c>
      <c r="BL97" s="1075" t="s">
        <v>2029</v>
      </c>
      <c r="BN97" s="1075" t="s">
        <v>2030</v>
      </c>
    </row>
    <row customHeight="1" ht="11.25">
      <c r="AZ98" s="1128" t="s">
        <v>2031</v>
      </c>
      <c r="BH98" s="1075" t="s">
        <v>2032</v>
      </c>
      <c r="BJ98" s="1075" t="s">
        <v>2033</v>
      </c>
      <c r="BL98" s="1075" t="s">
        <v>2034</v>
      </c>
      <c r="BN98" s="1075" t="s">
        <v>2035</v>
      </c>
    </row>
    <row customHeight="1" ht="11.25">
      <c r="AZ99" s="1128" t="s">
        <v>2036</v>
      </c>
      <c r="BH99" s="1075" t="s">
        <v>2037</v>
      </c>
      <c r="BJ99" s="1075" t="s">
        <v>2038</v>
      </c>
      <c r="BL99" s="1075" t="s">
        <v>2039</v>
      </c>
      <c r="BN99" s="1075" t="s">
        <v>2040</v>
      </c>
    </row>
    <row customHeight="1" ht="11.25">
      <c r="BJ100" s="1075" t="s">
        <v>1648</v>
      </c>
      <c r="BL100" s="1075" t="s">
        <v>1648</v>
      </c>
      <c r="BN100" s="1075" t="s">
        <v>2041</v>
      </c>
    </row>
    <row customHeight="1" ht="11.25">
      <c r="AZ101" s="1732" t="s">
        <v>2042</v>
      </c>
      <c r="BN101" s="1075" t="s">
        <v>2043</v>
      </c>
    </row>
    <row customHeight="1" ht="11.25">
      <c r="AZ102" s="1128" t="s">
        <v>2044</v>
      </c>
      <c r="BN102" s="1075" t="s">
        <v>2045</v>
      </c>
    </row>
    <row customHeight="1" ht="11.25">
      <c r="AZ103" s="1128" t="s">
        <v>2046</v>
      </c>
      <c r="BN103" s="1075" t="s">
        <v>2047</v>
      </c>
    </row>
    <row customHeight="1" ht="11.25">
      <c r="AZ104" s="1128" t="s">
        <v>778</v>
      </c>
      <c r="BN104" s="1075" t="s">
        <v>2048</v>
      </c>
    </row>
    <row r="107" customHeight="1" ht="11.25">
      <c r="BH107" s="1074" t="s">
        <v>2049</v>
      </c>
      <c r="BJ107" s="1074" t="s">
        <v>2050</v>
      </c>
      <c r="BL107" s="1074" t="s">
        <v>2051</v>
      </c>
      <c r="BN107" s="1074" t="s">
        <v>2052</v>
      </c>
    </row>
    <row customHeight="1" ht="11.25">
      <c r="BH108" s="1075" t="s">
        <v>2053</v>
      </c>
      <c r="BJ108" s="1075" t="s">
        <v>2054</v>
      </c>
      <c r="BL108" s="1075" t="s">
        <v>1729</v>
      </c>
      <c r="BN108" s="1075" t="s">
        <v>2055</v>
      </c>
    </row>
    <row customHeight="1" ht="11.25">
      <c r="BH109" s="1075" t="s">
        <v>2056</v>
      </c>
    </row>
    <row customHeight="1" ht="11.25">
      <c r="BH110" s="1075" t="s">
        <v>2056</v>
      </c>
    </row>
    <row r="114" customHeight="1" ht="11.25">
      <c r="BH114" s="1074" t="s">
        <v>2057</v>
      </c>
    </row>
    <row customHeight="1" ht="11.25">
      <c r="BH115" s="1075" t="s">
        <v>1449</v>
      </c>
    </row>
    <row customHeight="1" ht="11.25">
      <c r="BH116" s="1075" t="s">
        <v>1474</v>
      </c>
    </row>
    <row customHeight="1" ht="11.25">
      <c r="BH117" s="1075" t="s">
        <v>1509</v>
      </c>
    </row>
    <row customHeight="1" ht="11.25">
      <c r="BH118" s="1075" t="s">
        <v>1542</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27C96A-3282-FB46-0148-3BC6D3C9B0BC}"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13494" width="43.140625"/>
    <col min="2" max="2" style="13494" width="43.140625" hidden="1"/>
    <col min="3" max="3" style="13494" width="43.140625"/>
    <col min="4" max="5" style="13494" width="36.421875" customWidth="1"/>
    <col min="6" max="8" style="13495" width="36.421875" customWidth="1"/>
  </cols>
  <sheetData>
    <row customHeight="1" ht="9">
      <c r="A1" s="852" t="s">
        <v>2058</v>
      </c>
      <c r="B1" s="852"/>
      <c r="C1" s="989" t="s">
        <v>2059</v>
      </c>
      <c r="D1" s="987" t="s">
        <v>929</v>
      </c>
      <c r="E1" s="987" t="s">
        <v>975</v>
      </c>
      <c r="F1" s="987" t="s">
        <v>1027</v>
      </c>
      <c r="G1" s="987" t="s">
        <v>1013</v>
      </c>
      <c r="H1" s="987" t="s">
        <v>1832</v>
      </c>
    </row>
    <row customHeight="1" ht="9">
      <c r="A2" s="990" t="s">
        <v>2060</v>
      </c>
      <c r="B2" s="990"/>
      <c r="C2" s="991" t="str">
        <f>INDEX(TEMPLATE_NUMBER_FORM_LIST,MATCH(TEMPLATE_SPHERE,TEMPLATE_SPHERE_LIST,0))</f>
        <v>16</v>
      </c>
      <c r="D2" s="990" t="s">
        <v>166</v>
      </c>
      <c r="E2" s="990" t="s">
        <v>139</v>
      </c>
      <c r="F2" s="992" t="s">
        <v>139</v>
      </c>
      <c r="G2" s="990" t="s">
        <v>139</v>
      </c>
      <c r="H2" s="993"/>
    </row>
    <row customHeight="1" ht="63">
      <c r="A3" s="852"/>
      <c r="B3" s="852" t="s">
        <v>193</v>
      </c>
      <c r="C3" s="991"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91" t="s">
        <v>2061</v>
      </c>
      <c r="E3" s="99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92"/>
      <c r="G3" s="993"/>
      <c r="H3" s="852"/>
    </row>
    <row customHeight="1" ht="243">
      <c r="A4" s="852" t="s">
        <v>2062</v>
      </c>
      <c r="B4" s="852" t="s">
        <v>104</v>
      </c>
      <c r="C4" s="991"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90" t="s">
        <v>2063</v>
      </c>
      <c r="E4" s="99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90"/>
      <c r="G4" s="990"/>
      <c r="H4" s="852" t="s">
        <v>2064</v>
      </c>
    </row>
    <row customHeight="1" ht="117">
      <c r="A5" s="852" t="s">
        <v>2065</v>
      </c>
      <c r="B5" s="852" t="s">
        <v>91</v>
      </c>
      <c r="C5" s="991"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52" t="s">
        <v>2066</v>
      </c>
      <c r="E5" s="85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93"/>
      <c r="G5" s="993"/>
      <c r="H5" s="852" t="s">
        <v>2067</v>
      </c>
    </row>
    <row customHeight="1" ht="45">
      <c r="A6" s="852" t="s">
        <v>2068</v>
      </c>
      <c r="B6" s="852" t="s">
        <v>92</v>
      </c>
      <c r="C6" s="991"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52" t="s">
        <v>2069</v>
      </c>
      <c r="E6" s="85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52"/>
      <c r="G6" s="852"/>
      <c r="H6" s="993"/>
    </row>
    <row customHeight="1" ht="45">
      <c r="A7" s="852" t="s">
        <v>2070</v>
      </c>
      <c r="B7" s="852" t="s">
        <v>116</v>
      </c>
      <c r="C7" s="991" t="str">
        <f>IF(TEMPLATE_SPHERE="HEAT",D7,E7)</f>
        <v>Форма 11. Информация о расходах на капитальный и текущий ремонт основных средств</v>
      </c>
      <c r="D7" s="852" t="s">
        <v>2071</v>
      </c>
      <c r="E7" s="852" t="s">
        <v>2072</v>
      </c>
      <c r="F7" s="993"/>
      <c r="G7" s="993"/>
      <c r="H7" s="993"/>
    </row>
    <row customHeight="1" ht="108">
      <c r="A8" s="852" t="s">
        <v>2073</v>
      </c>
      <c r="B8" s="852" t="s">
        <v>93</v>
      </c>
      <c r="C8" s="991"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52" t="s">
        <v>2074</v>
      </c>
      <c r="E8" s="852" t="s">
        <v>2075</v>
      </c>
      <c r="F8" s="993"/>
      <c r="G8" s="993"/>
      <c r="H8" s="993"/>
    </row>
    <row customHeight="1" ht="99">
      <c r="A9" s="852" t="s">
        <v>2076</v>
      </c>
      <c r="B9" s="852"/>
      <c r="C9" s="852" t="s">
        <v>2077</v>
      </c>
      <c r="D9" s="852"/>
      <c r="E9" s="852"/>
      <c r="F9" s="993"/>
      <c r="G9" s="993"/>
      <c r="H9" s="993"/>
    </row>
    <row customHeight="1" ht="126">
      <c r="A10" s="852" t="s">
        <v>2078</v>
      </c>
      <c r="B10" s="852"/>
      <c r="C10" s="852" t="s">
        <v>2079</v>
      </c>
      <c r="D10" s="852"/>
      <c r="E10" s="852"/>
      <c r="F10" s="993"/>
      <c r="G10" s="993"/>
      <c r="H10" s="993"/>
    </row>
    <row customHeight="1" ht="108">
      <c r="A11" s="852" t="s">
        <v>2080</v>
      </c>
      <c r="B11" s="852"/>
      <c r="C11" s="852" t="s">
        <v>2081</v>
      </c>
      <c r="D11" s="852"/>
      <c r="E11" s="852"/>
      <c r="F11" s="993"/>
      <c r="G11" s="993"/>
      <c r="H11" s="993"/>
    </row>
    <row customHeight="1" ht="54">
      <c r="A12" s="852" t="s">
        <v>2082</v>
      </c>
      <c r="B12" s="852"/>
      <c r="C12" s="852" t="s">
        <v>2083</v>
      </c>
      <c r="D12" s="852"/>
      <c r="E12" s="852"/>
      <c r="F12" s="993"/>
      <c r="G12" s="993"/>
      <c r="H12" s="993"/>
    </row>
    <row customHeight="1" ht="45">
      <c r="A13" s="852" t="s">
        <v>2084</v>
      </c>
      <c r="B13" s="852"/>
      <c r="C13" s="852" t="s">
        <v>2085</v>
      </c>
      <c r="D13" s="852"/>
      <c r="E13" s="852"/>
      <c r="F13" s="993"/>
      <c r="G13" s="993"/>
      <c r="H13" s="993"/>
    </row>
    <row customHeight="1" ht="117">
      <c r="A14" s="852" t="s">
        <v>2086</v>
      </c>
      <c r="B14" s="852"/>
      <c r="C14" s="852" t="s">
        <v>2087</v>
      </c>
      <c r="D14" s="852"/>
      <c r="E14" s="852"/>
      <c r="F14" s="993"/>
      <c r="G14" s="993"/>
      <c r="H14" s="993"/>
    </row>
    <row customHeight="1" ht="117">
      <c r="A15" s="852" t="s">
        <v>2088</v>
      </c>
      <c r="B15" s="852"/>
      <c r="C15" s="852" t="s">
        <v>2089</v>
      </c>
      <c r="D15" s="852"/>
      <c r="E15" s="852"/>
      <c r="F15" s="993"/>
      <c r="G15" s="993"/>
      <c r="H15" s="993"/>
    </row>
    <row customHeight="1" ht="63">
      <c r="A16" s="852" t="s">
        <v>2090</v>
      </c>
      <c r="B16" s="852"/>
      <c r="C16" s="852" t="s">
        <v>2091</v>
      </c>
      <c r="D16" s="852"/>
      <c r="E16" s="852"/>
      <c r="F16" s="993"/>
      <c r="G16" s="993"/>
      <c r="H16" s="993"/>
    </row>
    <row customHeight="1" ht="54">
      <c r="A17" s="852" t="s">
        <v>2092</v>
      </c>
      <c r="B17" s="852"/>
      <c r="C17" s="991" t="s">
        <v>2093</v>
      </c>
      <c r="D17" s="852"/>
      <c r="E17" s="852"/>
      <c r="F17" s="993"/>
      <c r="G17" s="993"/>
      <c r="H17" s="993"/>
    </row>
    <row customHeight="1" ht="27">
      <c r="A18" s="852" t="s">
        <v>2094</v>
      </c>
      <c r="B18" s="852"/>
      <c r="C18" s="991" t="s">
        <v>2095</v>
      </c>
      <c r="D18" s="852"/>
      <c r="E18" s="852"/>
      <c r="F18" s="993"/>
      <c r="G18" s="993"/>
      <c r="H18" s="993"/>
    </row>
    <row customHeight="1" ht="54">
      <c r="A19" s="852" t="s">
        <v>2096</v>
      </c>
      <c r="B19" s="852"/>
      <c r="C19" s="991" t="s">
        <v>2097</v>
      </c>
      <c r="D19" s="852"/>
      <c r="E19" s="852"/>
      <c r="F19" s="993"/>
      <c r="G19" s="993"/>
      <c r="H19" s="993"/>
    </row>
    <row customHeight="1" ht="36">
      <c r="A20" s="852" t="s">
        <v>2098</v>
      </c>
      <c r="B20" s="852"/>
      <c r="C20" s="991" t="s">
        <v>2099</v>
      </c>
      <c r="D20" s="852"/>
      <c r="E20" s="852"/>
      <c r="F20" s="993"/>
      <c r="G20" s="993"/>
      <c r="H20" s="993"/>
    </row>
    <row customHeight="1" ht="36">
      <c r="A21" s="852" t="s">
        <v>2100</v>
      </c>
      <c r="B21" s="852"/>
      <c r="C21" s="991" t="s">
        <v>2101</v>
      </c>
      <c r="D21" s="852"/>
      <c r="E21" s="852"/>
      <c r="F21" s="993"/>
      <c r="G21" s="993"/>
      <c r="H21" s="993"/>
    </row>
    <row customHeight="1" ht="27">
      <c r="A22" s="852" t="s">
        <v>2102</v>
      </c>
      <c r="B22" s="852"/>
      <c r="C22" s="991" t="s">
        <v>2103</v>
      </c>
      <c r="D22" s="852"/>
      <c r="E22" s="852"/>
      <c r="F22" s="993"/>
      <c r="G22" s="993"/>
      <c r="H22" s="993"/>
    </row>
    <row customHeight="1" ht="36">
      <c r="A23" s="852" t="s">
        <v>2104</v>
      </c>
      <c r="B23" s="852"/>
      <c r="C23" s="991" t="s">
        <v>2105</v>
      </c>
      <c r="D23" s="852"/>
      <c r="E23" s="852"/>
      <c r="F23" s="993"/>
      <c r="G23" s="993"/>
      <c r="H23" s="993"/>
    </row>
    <row customHeight="1" ht="28.5">
      <c r="A24" s="852" t="s">
        <v>2106</v>
      </c>
      <c r="B24" s="852"/>
      <c r="C24" s="991" t="s">
        <v>2107</v>
      </c>
      <c r="D24" s="852"/>
      <c r="E24" s="852"/>
      <c r="F24" s="993"/>
      <c r="G24" s="993"/>
      <c r="H24" s="993"/>
    </row>
    <row customHeight="1" ht="36">
      <c r="A25" s="852" t="s">
        <v>2108</v>
      </c>
      <c r="B25" s="852"/>
      <c r="C25" s="991" t="s">
        <v>2109</v>
      </c>
      <c r="D25" s="852"/>
      <c r="E25" s="852"/>
      <c r="F25" s="993"/>
      <c r="G25" s="993"/>
      <c r="H25" s="993"/>
    </row>
    <row customHeight="1" ht="27">
      <c r="A26" s="852" t="s">
        <v>2110</v>
      </c>
      <c r="B26" s="852"/>
      <c r="C26" s="991" t="s">
        <v>2111</v>
      </c>
      <c r="D26" s="852"/>
      <c r="E26" s="852"/>
      <c r="F26" s="993"/>
      <c r="G26" s="993"/>
      <c r="H26" s="993"/>
    </row>
    <row customHeight="1" ht="36">
      <c r="A27" s="852" t="s">
        <v>2112</v>
      </c>
      <c r="B27" s="852"/>
      <c r="C27" s="991" t="s">
        <v>2113</v>
      </c>
      <c r="D27" s="852"/>
      <c r="E27" s="852"/>
      <c r="F27" s="993"/>
      <c r="G27" s="993"/>
      <c r="H27" s="993"/>
    </row>
    <row customHeight="1" ht="28.5">
      <c r="A28" s="852" t="s">
        <v>2114</v>
      </c>
      <c r="B28" s="852"/>
      <c r="C28" s="991" t="s">
        <v>2115</v>
      </c>
      <c r="D28" s="852"/>
      <c r="E28" s="852"/>
      <c r="F28" s="993"/>
      <c r="G28" s="993"/>
      <c r="H28" s="993"/>
    </row>
    <row customHeight="1" ht="126">
      <c r="A29" s="852" t="s">
        <v>2116</v>
      </c>
      <c r="B29" s="852" t="s">
        <v>1790</v>
      </c>
      <c r="C29" s="991"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52" t="s">
        <v>2117</v>
      </c>
      <c r="E29" s="85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93"/>
      <c r="G29" s="993"/>
      <c r="H29" s="852" t="s">
        <v>2118</v>
      </c>
    </row>
    <row customHeight="1" ht="36">
      <c r="A30" s="852" t="s">
        <v>2119</v>
      </c>
      <c r="B30" s="852"/>
      <c r="C30" s="991"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52" t="s">
        <v>2120</v>
      </c>
      <c r="E30" s="85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93"/>
      <c r="G30" s="993"/>
      <c r="H30" s="993"/>
    </row>
    <row customHeight="1" ht="54">
      <c r="A31" s="852" t="s">
        <v>2121</v>
      </c>
      <c r="B31" s="852"/>
      <c r="C31" s="991"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52" t="s">
        <v>2122</v>
      </c>
      <c r="E31" s="85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93"/>
      <c r="G31" s="993"/>
      <c r="H31" s="993"/>
    </row>
    <row customHeight="1" ht="198">
      <c r="A32" s="852" t="s">
        <v>2123</v>
      </c>
      <c r="B32" s="852"/>
      <c r="C32" s="991"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52" t="s">
        <v>2124</v>
      </c>
      <c r="E32" s="85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93"/>
      <c r="G32" s="993"/>
      <c r="H32" s="852" t="s">
        <v>2125</v>
      </c>
    </row>
    <row customHeight="1" ht="9">
      <c r="A33" s="852"/>
      <c r="B33" s="852"/>
      <c r="C33" s="991"/>
      <c r="D33" s="852"/>
      <c r="E33" s="852"/>
      <c r="F33" s="993"/>
      <c r="G33" s="993"/>
      <c r="H33" s="993"/>
    </row>
    <row customHeight="1" ht="9">
      <c r="A34" s="852"/>
      <c r="B34" s="852" t="s">
        <v>180</v>
      </c>
      <c r="C34" s="991">
        <f>INDEX(TEMPLATE_NAME_FORM_LIST,B34,MATCH(TEMPLATE_SPHERE,TEMPLATE_SPHERE_LIST,0))</f>
        <v>0</v>
      </c>
      <c r="D34" s="852"/>
      <c r="E34" s="852"/>
      <c r="F34" s="993"/>
      <c r="G34" s="993"/>
      <c r="H34" s="993"/>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52B6A6DC-BE7B-D5D7-66E4-7ED3A91375F7}" mc:Ignorable="x14ac xr xr2 xr3">
  <sheetPr>
    <tabColor rgb="FFFFCC99"/>
  </sheetPr>
  <dimension ref="A1:AH154"/>
  <sheetViews>
    <sheetView topLeftCell="A1" showGridLines="0" workbookViewId="0">
      <selection activeCell="A1" sqref="A1"/>
    </sheetView>
  </sheetViews>
  <sheetFormatPr defaultColWidth="9.140625" customHeight="1" defaultRowHeight="9"/>
  <cols>
    <col min="1" max="2" style="13494" width="9.140625"/>
    <col min="3" max="7" style="13538" width="8.00390625" customWidth="1"/>
    <col min="8" max="12" style="13538" width="8.57421875" customWidth="1"/>
    <col min="13" max="14" style="13538" width="27.7109375" customWidth="1"/>
    <col min="15" max="19" style="13538" width="5.140625" customWidth="1"/>
    <col min="20" max="24" style="13538" width="27.7109375" customWidth="1"/>
    <col min="25" max="25" style="13539" width="1.8515625" customWidth="1"/>
    <col min="26" max="26" style="13494" width="27.7109375" customWidth="1"/>
    <col min="27" max="27" style="13540" width="27.7109375" customWidth="1"/>
    <col min="28" max="29" style="13494" width="27.7109375" customWidth="1"/>
    <col min="30" max="30" style="13494" width="3.8515625" customWidth="1"/>
    <col min="31" max="34" style="13494" width="9.140625"/>
  </cols>
  <sheetData>
    <row s="13496" customFormat="1" customHeight="1" ht="18">
      <c r="A1" s="904"/>
      <c r="B1" s="904"/>
      <c r="C1" s="904" t="s">
        <v>2126</v>
      </c>
      <c r="D1" s="904"/>
      <c r="E1" s="904"/>
      <c r="F1" s="904"/>
      <c r="G1" s="904"/>
      <c r="H1" s="904" t="s">
        <v>2127</v>
      </c>
      <c r="I1" s="904"/>
      <c r="J1" s="904"/>
      <c r="K1" s="904"/>
      <c r="L1" s="904"/>
      <c r="M1" s="904" t="s">
        <v>2128</v>
      </c>
      <c r="N1" s="904" t="s">
        <v>2129</v>
      </c>
      <c r="O1" s="2424" t="s">
        <v>2130</v>
      </c>
      <c r="P1" s="2424"/>
      <c r="Q1" s="2424"/>
      <c r="R1" s="2424"/>
      <c r="S1" s="2424"/>
      <c r="T1" s="2424" t="s">
        <v>2128</v>
      </c>
      <c r="U1" s="2424"/>
      <c r="V1" s="2424"/>
      <c r="W1" s="2424"/>
      <c r="X1" s="2424"/>
      <c r="Y1" s="1006"/>
      <c r="Z1" s="2424" t="s">
        <v>2131</v>
      </c>
      <c r="AA1" s="2424"/>
      <c r="AB1" s="2424"/>
      <c r="AC1" s="2424"/>
      <c r="AD1" s="2424"/>
    </row>
    <row customHeight="1" ht="18">
      <c r="A2" s="852"/>
      <c r="B2" s="852"/>
      <c r="C2" s="847" t="s">
        <v>929</v>
      </c>
      <c r="D2" s="847" t="s">
        <v>975</v>
      </c>
      <c r="E2" s="847" t="s">
        <v>1027</v>
      </c>
      <c r="F2" s="847" t="s">
        <v>1013</v>
      </c>
      <c r="G2" s="847" t="s">
        <v>1832</v>
      </c>
      <c r="H2" s="849"/>
      <c r="I2" s="849"/>
      <c r="J2" s="849"/>
      <c r="K2" s="849"/>
      <c r="L2" s="849"/>
      <c r="M2" s="849"/>
      <c r="N2" s="849"/>
      <c r="O2" s="847" t="s">
        <v>929</v>
      </c>
      <c r="P2" s="847" t="s">
        <v>975</v>
      </c>
      <c r="Q2" s="847" t="s">
        <v>1013</v>
      </c>
      <c r="R2" s="847" t="s">
        <v>1027</v>
      </c>
      <c r="S2" s="847" t="s">
        <v>1832</v>
      </c>
      <c r="T2" s="847" t="s">
        <v>929</v>
      </c>
      <c r="U2" s="847" t="s">
        <v>975</v>
      </c>
      <c r="V2" s="847" t="s">
        <v>1013</v>
      </c>
      <c r="W2" s="847" t="s">
        <v>1027</v>
      </c>
      <c r="X2" s="847" t="s">
        <v>1832</v>
      </c>
      <c r="Y2" s="847"/>
      <c r="Z2" s="847" t="s">
        <v>929</v>
      </c>
      <c r="AA2" s="856" t="s">
        <v>975</v>
      </c>
      <c r="AB2" s="847" t="s">
        <v>1013</v>
      </c>
      <c r="AC2" s="847" t="s">
        <v>1027</v>
      </c>
      <c r="AD2" s="847" t="s">
        <v>1832</v>
      </c>
    </row>
    <row customHeight="1" ht="162">
      <c r="A3" s="851" t="s">
        <v>22</v>
      </c>
      <c r="B3" s="851"/>
      <c r="C3" s="2428" t="s">
        <v>2132</v>
      </c>
      <c r="D3" s="2429"/>
      <c r="E3" s="2429"/>
      <c r="F3" s="2430"/>
      <c r="G3" s="849"/>
      <c r="H3" s="849"/>
      <c r="I3" s="849"/>
      <c r="J3" s="849"/>
      <c r="K3" s="849"/>
      <c r="L3" s="849"/>
      <c r="M3" s="849"/>
      <c r="N3" s="85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49"/>
      <c r="P3" s="849"/>
      <c r="Q3" s="849"/>
      <c r="R3" s="849"/>
      <c r="S3" s="849"/>
      <c r="T3" s="849"/>
      <c r="U3" s="849"/>
      <c r="V3" s="849"/>
      <c r="W3" s="849"/>
      <c r="X3" s="849"/>
      <c r="Y3" s="1007"/>
      <c r="Z3" s="852" t="s">
        <v>2133</v>
      </c>
      <c r="AA3" s="849" t="s">
        <v>2134</v>
      </c>
      <c r="AB3" s="852" t="s">
        <v>2135</v>
      </c>
      <c r="AC3" s="852" t="s">
        <v>2136</v>
      </c>
      <c r="AD3" s="852"/>
      <c r="AG3" s="852"/>
      <c r="AH3" s="852"/>
    </row>
    <row customHeight="1" ht="9">
      <c r="A4" s="851"/>
      <c r="B4" s="851"/>
      <c r="C4" s="849"/>
      <c r="D4" s="849"/>
      <c r="E4" s="849"/>
      <c r="F4" s="849"/>
      <c r="G4" s="849"/>
      <c r="H4" s="849"/>
      <c r="I4" s="849"/>
      <c r="J4" s="849"/>
      <c r="K4" s="849"/>
      <c r="L4" s="849"/>
      <c r="M4" s="849"/>
      <c r="N4" s="849"/>
      <c r="O4" s="849"/>
      <c r="P4" s="849"/>
      <c r="Q4" s="849"/>
      <c r="R4" s="849"/>
      <c r="S4" s="849"/>
      <c r="T4" s="849"/>
      <c r="U4" s="849"/>
      <c r="V4" s="849"/>
      <c r="W4" s="849"/>
      <c r="X4" s="849"/>
      <c r="Y4" s="1007"/>
      <c r="Z4" s="852"/>
      <c r="AA4" s="855"/>
      <c r="AB4" s="852"/>
      <c r="AC4" s="852"/>
      <c r="AD4" s="852"/>
    </row>
    <row customHeight="1" ht="9">
      <c r="A5" s="851"/>
      <c r="B5" s="851"/>
      <c r="C5" s="849"/>
      <c r="D5" s="849"/>
      <c r="E5" s="849"/>
      <c r="F5" s="849"/>
      <c r="G5" s="849"/>
      <c r="H5" s="849"/>
      <c r="I5" s="849"/>
      <c r="J5" s="849"/>
      <c r="K5" s="849"/>
      <c r="L5" s="849"/>
      <c r="M5" s="849"/>
      <c r="N5" s="849"/>
      <c r="O5" s="849"/>
      <c r="P5" s="849"/>
      <c r="Q5" s="849"/>
      <c r="R5" s="849"/>
      <c r="S5" s="849"/>
      <c r="T5" s="849"/>
      <c r="U5" s="849"/>
      <c r="V5" s="849"/>
      <c r="W5" s="849"/>
      <c r="X5" s="849"/>
      <c r="Y5" s="1007"/>
      <c r="Z5" s="852"/>
      <c r="AA5" s="855"/>
      <c r="AB5" s="852"/>
      <c r="AC5" s="852"/>
      <c r="AD5" s="852"/>
    </row>
    <row customHeight="1" ht="9">
      <c r="A6" s="851"/>
      <c r="B6" s="851"/>
      <c r="C6" s="849"/>
      <c r="D6" s="849"/>
      <c r="E6" s="849"/>
      <c r="F6" s="849"/>
      <c r="G6" s="849"/>
      <c r="H6" s="849"/>
      <c r="I6" s="849"/>
      <c r="J6" s="849"/>
      <c r="K6" s="849"/>
      <c r="L6" s="849"/>
      <c r="M6" s="849"/>
      <c r="N6" s="849"/>
      <c r="O6" s="849"/>
      <c r="P6" s="849"/>
      <c r="Q6" s="849"/>
      <c r="R6" s="849"/>
      <c r="S6" s="849"/>
      <c r="T6" s="849"/>
      <c r="U6" s="849"/>
      <c r="V6" s="849"/>
      <c r="W6" s="849"/>
      <c r="X6" s="849"/>
      <c r="Y6" s="1007"/>
      <c r="Z6" s="852"/>
      <c r="AA6" s="855"/>
      <c r="AB6" s="852"/>
      <c r="AC6" s="852"/>
      <c r="AD6" s="852"/>
    </row>
    <row customHeight="1" ht="9">
      <c r="A7" s="851"/>
      <c r="B7" s="851"/>
      <c r="C7" s="849"/>
      <c r="D7" s="849"/>
      <c r="E7" s="849"/>
      <c r="F7" s="849"/>
      <c r="G7" s="849"/>
      <c r="H7" s="849"/>
      <c r="I7" s="849"/>
      <c r="J7" s="849"/>
      <c r="K7" s="849"/>
      <c r="L7" s="849"/>
      <c r="M7" s="849"/>
      <c r="N7" s="849"/>
      <c r="O7" s="849"/>
      <c r="P7" s="849"/>
      <c r="Q7" s="849"/>
      <c r="R7" s="849"/>
      <c r="S7" s="849"/>
      <c r="T7" s="849"/>
      <c r="U7" s="849"/>
      <c r="V7" s="849"/>
      <c r="W7" s="849"/>
      <c r="X7" s="849"/>
      <c r="Y7" s="1007"/>
      <c r="Z7" s="852"/>
      <c r="AA7" s="855"/>
      <c r="AB7" s="852"/>
      <c r="AC7" s="852"/>
      <c r="AD7" s="852"/>
    </row>
    <row customHeight="1" ht="9">
      <c r="A8" s="851"/>
      <c r="B8" s="851"/>
      <c r="C8" s="849"/>
      <c r="D8" s="849"/>
      <c r="E8" s="849"/>
      <c r="F8" s="849"/>
      <c r="G8" s="849"/>
      <c r="H8" s="849"/>
      <c r="I8" s="849"/>
      <c r="J8" s="849"/>
      <c r="K8" s="849"/>
      <c r="L8" s="849"/>
      <c r="M8" s="849"/>
      <c r="N8" s="849"/>
      <c r="O8" s="849"/>
      <c r="P8" s="849"/>
      <c r="Q8" s="849"/>
      <c r="R8" s="849"/>
      <c r="S8" s="849"/>
      <c r="T8" s="849"/>
      <c r="U8" s="849"/>
      <c r="V8" s="849"/>
      <c r="W8" s="849"/>
      <c r="X8" s="849"/>
      <c r="Y8" s="1007"/>
      <c r="Z8" s="852"/>
      <c r="AA8" s="855"/>
      <c r="AB8" s="852"/>
      <c r="AC8" s="852"/>
      <c r="AD8" s="852"/>
    </row>
    <row customHeight="1" ht="9">
      <c r="A9" s="851"/>
      <c r="B9" s="851"/>
      <c r="C9" s="849"/>
      <c r="D9" s="849"/>
      <c r="E9" s="849"/>
      <c r="F9" s="849"/>
      <c r="G9" s="849"/>
      <c r="H9" s="849"/>
      <c r="I9" s="849"/>
      <c r="J9" s="849"/>
      <c r="K9" s="849"/>
      <c r="L9" s="849"/>
      <c r="M9" s="849"/>
      <c r="N9" s="849"/>
      <c r="O9" s="849"/>
      <c r="P9" s="849"/>
      <c r="Q9" s="849"/>
      <c r="R9" s="849"/>
      <c r="S9" s="849"/>
      <c r="T9" s="849"/>
      <c r="U9" s="849"/>
      <c r="V9" s="849"/>
      <c r="W9" s="849"/>
      <c r="X9" s="849"/>
      <c r="Y9" s="1007"/>
      <c r="Z9" s="852"/>
      <c r="AA9" s="855"/>
      <c r="AB9" s="852"/>
      <c r="AC9" s="852"/>
      <c r="AD9" s="852"/>
    </row>
    <row customHeight="1" ht="9">
      <c r="A10" s="905"/>
      <c r="B10" s="905"/>
      <c r="C10" s="905"/>
      <c r="D10" s="905"/>
      <c r="E10" s="905"/>
      <c r="F10" s="905"/>
      <c r="G10" s="905"/>
      <c r="H10" s="905"/>
      <c r="I10" s="905"/>
      <c r="J10" s="905"/>
      <c r="K10" s="905"/>
      <c r="L10" s="905"/>
      <c r="M10" s="905"/>
      <c r="N10" s="905"/>
      <c r="O10" s="905"/>
      <c r="P10" s="905"/>
      <c r="Q10" s="905"/>
      <c r="R10" s="905"/>
      <c r="S10" s="905"/>
      <c r="T10" s="905"/>
      <c r="U10" s="905"/>
      <c r="V10" s="905"/>
      <c r="W10" s="905"/>
      <c r="X10" s="905"/>
      <c r="Y10" s="905"/>
      <c r="Z10" s="905"/>
      <c r="AA10" s="905"/>
      <c r="AB10" s="905"/>
      <c r="AC10" s="905"/>
      <c r="AD10" s="905"/>
    </row>
    <row customHeight="1" ht="45">
      <c r="A11" s="2425" t="s">
        <v>29</v>
      </c>
      <c r="B11" s="905">
        <v>1</v>
      </c>
      <c r="C11" s="2431" t="s">
        <v>163</v>
      </c>
      <c r="D11" s="2431" t="s">
        <v>177</v>
      </c>
      <c r="E11" s="2431" t="s">
        <v>1865</v>
      </c>
      <c r="F11" s="2431" t="s">
        <v>2137</v>
      </c>
      <c r="G11" s="2431"/>
      <c r="H11" s="904" t="s">
        <v>2138</v>
      </c>
      <c r="I11" s="904"/>
      <c r="J11" s="904"/>
      <c r="K11" s="904"/>
      <c r="L11" s="904"/>
      <c r="M11" s="850" t="str">
        <f>IF(TEMPLATE_SPHERE="HEAT",T11,U11)</f>
        <v>Количество поданных заявок</v>
      </c>
      <c r="N11" s="850"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49"/>
      <c r="P11" s="849"/>
      <c r="Q11" s="849"/>
      <c r="R11" s="849"/>
      <c r="S11" s="849"/>
      <c r="T11" s="849" t="s">
        <v>2139</v>
      </c>
      <c r="U11" s="849" t="s">
        <v>2140</v>
      </c>
      <c r="V11" s="849"/>
      <c r="W11" s="849"/>
      <c r="X11" s="849"/>
      <c r="Y11" s="1007"/>
      <c r="Z11" s="852" t="s">
        <v>2141</v>
      </c>
      <c r="AA11" s="85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52"/>
      <c r="AC11" s="852"/>
      <c r="AD11" s="852"/>
    </row>
    <row customHeight="1" ht="45">
      <c r="A12" s="2425"/>
      <c r="B12" s="905">
        <v>2</v>
      </c>
      <c r="C12" s="2432"/>
      <c r="D12" s="2432"/>
      <c r="E12" s="2432"/>
      <c r="F12" s="2432"/>
      <c r="G12" s="2432"/>
      <c r="H12" s="904" t="s">
        <v>2142</v>
      </c>
      <c r="I12" s="904"/>
      <c r="J12" s="904"/>
      <c r="K12" s="904"/>
      <c r="L12" s="904"/>
      <c r="M12" s="850" t="str">
        <f>IF(TEMPLATE_SPHERE="HEAT",T12,U12)</f>
        <v>Количество рассмотренных заявок</v>
      </c>
      <c r="N12" s="850"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49"/>
      <c r="P12" s="849"/>
      <c r="Q12" s="849"/>
      <c r="R12" s="849"/>
      <c r="S12" s="849"/>
      <c r="T12" s="849" t="s">
        <v>2143</v>
      </c>
      <c r="U12" s="849" t="s">
        <v>2144</v>
      </c>
      <c r="V12" s="849"/>
      <c r="W12" s="849"/>
      <c r="X12" s="849"/>
      <c r="Y12" s="1007"/>
      <c r="Z12" s="852" t="s">
        <v>2145</v>
      </c>
      <c r="AA12" s="85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52"/>
      <c r="AC12" s="852"/>
      <c r="AD12" s="852"/>
    </row>
    <row customHeight="1" ht="72">
      <c r="A13" s="2425"/>
      <c r="B13" s="905">
        <v>3</v>
      </c>
      <c r="C13" s="2432"/>
      <c r="D13" s="2432"/>
      <c r="E13" s="2432"/>
      <c r="F13" s="2432"/>
      <c r="G13" s="2432"/>
      <c r="H13" s="2424" t="s">
        <v>2146</v>
      </c>
      <c r="I13" s="904"/>
      <c r="J13" s="904"/>
      <c r="K13" s="904"/>
      <c r="L13" s="904"/>
      <c r="M13" s="85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50" t="str">
        <f>IF(TEMPLATE_SPHERE="HEAT",Z13,AA13)</f>
        <v>Указывается количество заявок с решением об отказе в течение отчетного квартала.</v>
      </c>
      <c r="O13" s="849"/>
      <c r="P13" s="850"/>
      <c r="Q13" s="850"/>
      <c r="R13" s="850"/>
      <c r="S13" s="849"/>
      <c r="T13" s="849" t="s">
        <v>2147</v>
      </c>
      <c r="U13" s="850" t="s">
        <v>2148</v>
      </c>
      <c r="V13" s="850"/>
      <c r="W13" s="850"/>
      <c r="X13" s="849"/>
      <c r="Y13" s="1007"/>
      <c r="Z13" s="852" t="s">
        <v>2149</v>
      </c>
      <c r="AA13" s="85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52"/>
      <c r="AC13" s="852"/>
      <c r="AD13" s="852"/>
    </row>
    <row customHeight="1" ht="45">
      <c r="A14" s="2425"/>
      <c r="B14" s="905">
        <v>4</v>
      </c>
      <c r="C14" s="2432"/>
      <c r="D14" s="2432"/>
      <c r="E14" s="2432"/>
      <c r="F14" s="2432"/>
      <c r="G14" s="2432"/>
      <c r="H14" s="2424"/>
      <c r="I14" s="907"/>
      <c r="J14" s="907"/>
      <c r="K14" s="907"/>
      <c r="L14" s="907"/>
      <c r="M14" s="853" t="str">
        <f>IF(TEMPLATE_SPHERE="HEAT",T14,U14)</f>
        <v>Причины отказа в заключении договора о подключении (технологическом присоединении) к системе теплоснабжения</v>
      </c>
      <c r="N14" s="850"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9"/>
      <c r="P14" s="850"/>
      <c r="Q14" s="850"/>
      <c r="R14" s="850"/>
      <c r="S14" s="849"/>
      <c r="T14" s="849" t="s">
        <v>2150</v>
      </c>
      <c r="U14" s="85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50"/>
      <c r="W14" s="850"/>
      <c r="X14" s="849"/>
      <c r="Y14" s="1007"/>
      <c r="Z14" s="852" t="s">
        <v>2151</v>
      </c>
      <c r="AA14" s="855" t="s">
        <v>2151</v>
      </c>
      <c r="AB14" s="852"/>
      <c r="AC14" s="852"/>
      <c r="AD14" s="852"/>
    </row>
    <row customHeight="1" ht="108">
      <c r="A15" s="2425"/>
      <c r="B15" s="905">
        <v>5</v>
      </c>
      <c r="C15" s="2432"/>
      <c r="D15" s="2432"/>
      <c r="E15" s="2432"/>
      <c r="F15" s="2432"/>
      <c r="G15" s="2432"/>
      <c r="H15" s="2426" t="s">
        <v>2152</v>
      </c>
      <c r="I15" s="906"/>
      <c r="J15" s="906"/>
      <c r="K15" s="906"/>
      <c r="L15" s="906"/>
      <c r="M15" s="855" t="str">
        <f>IF(TEMPLATE_SPHERE="HEAT",T15,U15)</f>
        <v>Резерв мощности источников тепловой энергии, входящих в систему теплоснабжения, в течение одного квартала, в том числе:</v>
      </c>
      <c r="N15" s="854"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49"/>
      <c r="P15" s="850"/>
      <c r="Q15" s="850"/>
      <c r="R15" s="850"/>
      <c r="S15" s="849"/>
      <c r="T15" s="849" t="s">
        <v>2153</v>
      </c>
      <c r="U15" s="85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50"/>
      <c r="W15" s="850"/>
      <c r="X15" s="849"/>
      <c r="Y15" s="1007"/>
      <c r="Z15" s="852" t="s">
        <v>2154</v>
      </c>
      <c r="AA15" s="85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52"/>
      <c r="AC15" s="852"/>
      <c r="AD15" s="852"/>
    </row>
    <row customHeight="1" ht="108">
      <c r="A16" s="905"/>
      <c r="B16" s="905">
        <v>6</v>
      </c>
      <c r="C16" s="2433"/>
      <c r="D16" s="2433"/>
      <c r="E16" s="2433"/>
      <c r="F16" s="2433"/>
      <c r="G16" s="2433"/>
      <c r="H16" s="2427"/>
      <c r="I16" s="969"/>
      <c r="J16" s="969"/>
      <c r="K16" s="969"/>
      <c r="L16" s="969"/>
      <c r="M16" s="898"/>
      <c r="N16" s="854"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49"/>
      <c r="P16" s="850"/>
      <c r="Q16" s="850"/>
      <c r="R16" s="850"/>
      <c r="S16" s="849"/>
      <c r="T16" s="849"/>
      <c r="U16" s="850"/>
      <c r="V16" s="850"/>
      <c r="W16" s="850"/>
      <c r="X16" s="849"/>
      <c r="Y16" s="1007"/>
      <c r="Z16" s="852" t="s">
        <v>2154</v>
      </c>
      <c r="AA16" s="85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52"/>
      <c r="AC16" s="852"/>
      <c r="AD16" s="852"/>
    </row>
    <row customHeight="1" ht="9">
      <c r="A17" s="905"/>
      <c r="B17" s="905"/>
      <c r="C17" s="905">
        <v>22</v>
      </c>
      <c r="D17" s="905">
        <v>21</v>
      </c>
      <c r="E17" s="905">
        <v>42</v>
      </c>
      <c r="F17" s="905">
        <v>63</v>
      </c>
      <c r="G17" s="905"/>
      <c r="H17" s="905"/>
      <c r="I17" s="905"/>
      <c r="J17" s="905"/>
      <c r="K17" s="905"/>
      <c r="L17" s="905"/>
      <c r="M17" s="905"/>
      <c r="N17" s="905"/>
      <c r="O17" s="905"/>
      <c r="P17" s="905"/>
      <c r="Q17" s="905"/>
      <c r="R17" s="905"/>
      <c r="S17" s="905"/>
      <c r="T17" s="905"/>
      <c r="U17" s="905"/>
      <c r="V17" s="905"/>
      <c r="W17" s="905"/>
      <c r="X17" s="905"/>
      <c r="Y17" s="905"/>
      <c r="Z17" s="905"/>
      <c r="AA17" s="905"/>
      <c r="AB17" s="905"/>
      <c r="AC17" s="905"/>
      <c r="AD17" s="905"/>
    </row>
    <row customHeight="1" ht="27">
      <c r="A18" s="851" t="s">
        <v>1868</v>
      </c>
      <c r="B18" s="905">
        <v>1</v>
      </c>
      <c r="C18" s="849" t="s">
        <v>2138</v>
      </c>
      <c r="D18" s="974" t="s">
        <v>2138</v>
      </c>
      <c r="E18" s="849" t="s">
        <v>2138</v>
      </c>
      <c r="F18" s="849" t="s">
        <v>2138</v>
      </c>
      <c r="G18" s="849"/>
      <c r="H18" s="1009"/>
      <c r="I18" s="1012">
        <f>INDEX(TEMPLATE_NUMBER_POINT_FHD,B18,MATCH(TEMPLATE_SPHERE,TEMPLATE_SPHERE_LIST_FOR_NOTE,0))</f>
        <v>1</v>
      </c>
      <c r="J18" s="1012" t="str">
        <f>INDEX(TEMPLATE_DATA_POINT_FHD,B18,MATCH(TEMPLATE_SPHERE,TEMPLATE_SPHERE_LIST_FOR_NOTE,0))</f>
        <v>Выручка от регулируемого вида деятельности с распределением по видам деятельности</v>
      </c>
      <c r="K18" s="1012"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50">
        <f>IF(I18=0,"",I18)</f>
        <v>1</v>
      </c>
      <c r="M18" s="850" t="str">
        <f>IF(J18=0,"",J18)</f>
        <v>Выручка от регулируемого вида деятельности с распределением по видам деятельности</v>
      </c>
      <c r="N18" s="850" t="str">
        <f>IF(K18=0,"",K18)</f>
        <v>Указывается выручка от регулируемого вида деятельности с распределением по видам деятельности.</v>
      </c>
      <c r="O18" s="964">
        <v>1</v>
      </c>
      <c r="P18" s="964">
        <v>1</v>
      </c>
      <c r="Q18" s="964">
        <v>1</v>
      </c>
      <c r="R18" s="964">
        <v>1</v>
      </c>
      <c r="S18" s="964"/>
      <c r="T18" s="971" t="s">
        <v>2155</v>
      </c>
      <c r="U18" s="852" t="s">
        <v>2156</v>
      </c>
      <c r="V18" s="852" t="s">
        <v>2157</v>
      </c>
      <c r="W18" s="852" t="s">
        <v>2158</v>
      </c>
      <c r="X18" s="849"/>
      <c r="Y18" s="1007"/>
      <c r="Z18" s="852" t="s">
        <v>2159</v>
      </c>
      <c r="AA18" s="855" t="s">
        <v>2160</v>
      </c>
      <c r="AB18" s="855" t="s">
        <v>2160</v>
      </c>
      <c r="AC18" s="855" t="s">
        <v>2160</v>
      </c>
      <c r="AD18" s="852"/>
    </row>
    <row customHeight="1" ht="36">
      <c r="A19" s="851"/>
      <c r="B19" s="905">
        <v>2</v>
      </c>
      <c r="C19" s="849" t="s">
        <v>2142</v>
      </c>
      <c r="D19" s="974" t="s">
        <v>2142</v>
      </c>
      <c r="E19" s="849" t="s">
        <v>2142</v>
      </c>
      <c r="F19" s="849" t="s">
        <v>2142</v>
      </c>
      <c r="G19" s="849"/>
      <c r="H19" s="1009"/>
      <c r="I19" s="1012">
        <f>INDEX(TEMPLATE_NUMBER_POINT_FHD,B19,MATCH(TEMPLATE_SPHERE,TEMPLATE_SPHERE_LIST_FOR_NOTE,0))</f>
        <v>2</v>
      </c>
      <c r="J19" s="1012"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12" t="str">
        <f>INDEX(TEMPLATE_NOTE_POINT_FHD,B19,MATCH(TEMPLATE_SPHERE,TEMPLATE_SPHERE_LIST_FOR_NOTE,0))</f>
        <v>Указывается суммарная себестоимость производимых товаров.</v>
      </c>
      <c r="L19" s="850">
        <f>IF(I19=0,"",I19)</f>
        <v>2</v>
      </c>
      <c r="M19" s="850" t="str">
        <f>IF(J19=0,"",J19)</f>
        <v>Себестоимость производимых товаров (оказываемых услуг) по регулируемому виду деятельности, включая:</v>
      </c>
      <c r="N19" s="850" t="str">
        <f>IF(K19=0,"",K19)</f>
        <v>Указывается суммарная себестоимость производимых товаров.</v>
      </c>
      <c r="O19" s="964">
        <v>2</v>
      </c>
      <c r="P19" s="964">
        <v>2</v>
      </c>
      <c r="Q19" s="964">
        <v>2</v>
      </c>
      <c r="R19" s="964">
        <v>2</v>
      </c>
      <c r="S19" s="964"/>
      <c r="T19" s="971" t="s">
        <v>2161</v>
      </c>
      <c r="U19" s="852" t="s">
        <v>2162</v>
      </c>
      <c r="V19" s="852" t="s">
        <v>2163</v>
      </c>
      <c r="W19" s="852" t="s">
        <v>2164</v>
      </c>
      <c r="X19" s="849"/>
      <c r="Y19" s="1007"/>
      <c r="Z19" s="852" t="s">
        <v>2165</v>
      </c>
      <c r="AA19" s="855" t="s">
        <v>2165</v>
      </c>
      <c r="AB19" s="855" t="s">
        <v>2165</v>
      </c>
      <c r="AC19" s="855" t="s">
        <v>2165</v>
      </c>
      <c r="AD19" s="852"/>
    </row>
    <row customHeight="1" ht="27">
      <c r="A20" s="851"/>
      <c r="B20" s="905">
        <v>3</v>
      </c>
      <c r="C20" s="849">
        <v>1</v>
      </c>
      <c r="D20" s="974"/>
      <c r="E20" s="849"/>
      <c r="F20" s="849"/>
      <c r="G20" s="849"/>
      <c r="H20" s="1009"/>
      <c r="I20" s="1012" t="str">
        <f>INDEX(TEMPLATE_NUMBER_POINT_FHD,B20,MATCH(TEMPLATE_SPHERE,TEMPLATE_SPHERE_LIST_FOR_NOTE,0))</f>
        <v>2.1</v>
      </c>
      <c r="J20" s="1012" t="str">
        <f>INDEX(TEMPLATE_DATA_POINT_FHD,B20,MATCH(TEMPLATE_SPHERE,TEMPLATE_SPHERE_LIST_FOR_NOTE,0))</f>
        <v>Расходы на приобретаемую тепловую энергию (мощность), теплоноситель</v>
      </c>
      <c r="K20" s="1012">
        <f>INDEX(TEMPLATE_NOTE_POINT_FHD,B20,MATCH(TEMPLATE_SPHERE,TEMPLATE_SPHERE_LIST_FOR_NOTE,0))</f>
        <v>0</v>
      </c>
      <c r="L20" s="850" t="str">
        <f>IF(I20=0,"",I20)</f>
        <v>2.1</v>
      </c>
      <c r="M20" s="850" t="str">
        <f>IF(J20=0,"",J20)</f>
        <v>Расходы на приобретаемую тепловую энергию (мощность), теплоноситель</v>
      </c>
      <c r="N20" s="850" t="str">
        <f>IF(K20=0,"",K20)</f>
        <v/>
      </c>
      <c r="O20" s="964" t="s">
        <v>829</v>
      </c>
      <c r="P20" s="964" t="s">
        <v>829</v>
      </c>
      <c r="Q20" s="964" t="s">
        <v>829</v>
      </c>
      <c r="R20" s="964" t="s">
        <v>829</v>
      </c>
      <c r="S20" s="964"/>
      <c r="T20" s="971" t="s">
        <v>2166</v>
      </c>
      <c r="U20" s="852" t="s">
        <v>2167</v>
      </c>
      <c r="V20" s="852" t="s">
        <v>2168</v>
      </c>
      <c r="W20" s="852" t="s">
        <v>2169</v>
      </c>
      <c r="X20" s="849"/>
      <c r="Y20" s="1007"/>
      <c r="Z20" s="852"/>
      <c r="AA20" s="855"/>
      <c r="AB20" s="852"/>
      <c r="AC20" s="852"/>
      <c r="AD20" s="852"/>
    </row>
    <row customHeight="1" ht="36">
      <c r="A21" s="851"/>
      <c r="B21" s="905">
        <v>4</v>
      </c>
      <c r="C21" s="849">
        <v>2</v>
      </c>
      <c r="D21" s="974"/>
      <c r="E21" s="849"/>
      <c r="F21" s="849"/>
      <c r="G21" s="849"/>
      <c r="H21" s="1009"/>
      <c r="I21" s="1012" t="str">
        <f>INDEX(TEMPLATE_NUMBER_POINT_FHD,B21,MATCH(TEMPLATE_SPHERE,TEMPLATE_SPHERE_LIST_FOR_NOTE,0))</f>
        <v>2.2</v>
      </c>
      <c r="J21" s="1012"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12" t="str">
        <f>INDEX(TEMPLATE_NOTE_POINT_FHD,B21,MATCH(TEMPLATE_SPHERE,TEMPLATE_SPHERE_LIST_FOR_NOTE,0))</f>
        <v>Указываются суммарные расходы на приобретение топлива всех видов.</v>
      </c>
      <c r="L21" s="850" t="str">
        <f>IF(I21=0,"",I21)</f>
        <v>2.2</v>
      </c>
      <c r="M21" s="850"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50" t="str">
        <f>IF(K21=0,"",K21)</f>
        <v>Указываются суммарные расходы на приобретение топлива всех видов.</v>
      </c>
      <c r="O21" s="964" t="s">
        <v>520</v>
      </c>
      <c r="P21" s="964"/>
      <c r="Q21" s="964"/>
      <c r="R21" s="964"/>
      <c r="S21" s="964"/>
      <c r="T21" s="971" t="s">
        <v>2170</v>
      </c>
      <c r="U21" s="852"/>
      <c r="V21" s="852"/>
      <c r="W21" s="852"/>
      <c r="X21" s="849"/>
      <c r="Y21" s="1007"/>
      <c r="Z21" s="852" t="s">
        <v>2171</v>
      </c>
      <c r="AA21" s="855"/>
      <c r="AB21" s="852"/>
      <c r="AC21" s="852"/>
      <c r="AD21" s="852"/>
    </row>
    <row customHeight="1" ht="36">
      <c r="A22" s="851"/>
      <c r="B22" s="905">
        <v>5</v>
      </c>
      <c r="C22" s="849">
        <v>3</v>
      </c>
      <c r="D22" s="974"/>
      <c r="E22" s="849"/>
      <c r="F22" s="849"/>
      <c r="G22" s="897"/>
      <c r="H22" s="965"/>
      <c r="I22" s="1012">
        <f>INDEX(TEMPLATE_NUMBER_POINT_FHD,B22,MATCH(TEMPLATE_SPHERE,TEMPLATE_SPHERE_LIST_FOR_NOTE,0))</f>
        <v>0</v>
      </c>
      <c r="J22" s="1012">
        <f>INDEX(TEMPLATE_DATA_POINT_FHD,B22,MATCH(TEMPLATE_SPHERE,TEMPLATE_SPHERE_LIST_FOR_NOTE,0))</f>
        <v>0</v>
      </c>
      <c r="K22" s="1012">
        <f>INDEX(TEMPLATE_NOTE_POINT_FHD,B22,MATCH(TEMPLATE_SPHERE,TEMPLATE_SPHERE_LIST_FOR_NOTE,0))</f>
        <v>0</v>
      </c>
      <c r="L22" s="850" t="str">
        <f>IF(I22=0,"",I22)</f>
        <v/>
      </c>
      <c r="M22" s="850" t="str">
        <f>IF(J22=0,"",J22)</f>
        <v/>
      </c>
      <c r="N22" s="850" t="str">
        <f>IF(K22=0,"",K22)</f>
        <v/>
      </c>
      <c r="O22" s="964"/>
      <c r="P22" s="964"/>
      <c r="Q22" s="964" t="s">
        <v>520</v>
      </c>
      <c r="R22" s="964"/>
      <c r="S22" s="964"/>
      <c r="T22" s="971"/>
      <c r="U22" s="852"/>
      <c r="V22" s="852" t="s">
        <v>2172</v>
      </c>
      <c r="W22" s="852"/>
      <c r="X22" s="849"/>
      <c r="Y22" s="1007"/>
      <c r="Z22" s="852"/>
      <c r="AA22" s="855"/>
      <c r="AB22" s="852"/>
      <c r="AC22" s="852"/>
      <c r="AD22" s="852"/>
    </row>
    <row customHeight="1" ht="27">
      <c r="A23" s="851"/>
      <c r="B23" s="905">
        <v>6</v>
      </c>
      <c r="C23" s="849">
        <v>4</v>
      </c>
      <c r="D23" s="974"/>
      <c r="E23" s="849"/>
      <c r="F23" s="849"/>
      <c r="G23" s="897"/>
      <c r="H23" s="965"/>
      <c r="I23" s="1012">
        <f>INDEX(TEMPLATE_NUMBER_POINT_FHD,B23,MATCH(TEMPLATE_SPHERE,TEMPLATE_SPHERE_LIST_FOR_NOTE,0))</f>
        <v>0</v>
      </c>
      <c r="J23" s="1012">
        <f>INDEX(TEMPLATE_DATA_POINT_FHD,B23,MATCH(TEMPLATE_SPHERE,TEMPLATE_SPHERE_LIST_FOR_NOTE,0))</f>
        <v>0</v>
      </c>
      <c r="K23" s="1012">
        <f>INDEX(TEMPLATE_NOTE_POINT_FHD,B23,MATCH(TEMPLATE_SPHERE,TEMPLATE_SPHERE_LIST_FOR_NOTE,0))</f>
        <v>0</v>
      </c>
      <c r="L23" s="850" t="str">
        <f>IF(I23=0,"",I23)</f>
        <v/>
      </c>
      <c r="M23" s="850" t="str">
        <f>IF(J23=0,"",J23)</f>
        <v/>
      </c>
      <c r="N23" s="850" t="str">
        <f>IF(K23=0,"",K23)</f>
        <v/>
      </c>
      <c r="O23" s="964"/>
      <c r="P23" s="964"/>
      <c r="Q23" s="964" t="s">
        <v>523</v>
      </c>
      <c r="R23" s="964"/>
      <c r="S23" s="964"/>
      <c r="T23" s="971"/>
      <c r="U23" s="852"/>
      <c r="V23" s="852" t="s">
        <v>2173</v>
      </c>
      <c r="W23" s="852"/>
      <c r="X23" s="849"/>
      <c r="Y23" s="1007"/>
      <c r="Z23" s="852"/>
      <c r="AA23" s="855"/>
      <c r="AB23" s="852"/>
      <c r="AC23" s="852"/>
      <c r="AD23" s="852"/>
    </row>
    <row customHeight="1" ht="36">
      <c r="A24" s="851"/>
      <c r="B24" s="905">
        <v>7</v>
      </c>
      <c r="C24" s="849">
        <v>5</v>
      </c>
      <c r="D24" s="974"/>
      <c r="E24" s="849"/>
      <c r="F24" s="849"/>
      <c r="G24" s="897"/>
      <c r="H24" s="965"/>
      <c r="I24" s="1012">
        <f>INDEX(TEMPLATE_NUMBER_POINT_FHD,B24,MATCH(TEMPLATE_SPHERE,TEMPLATE_SPHERE_LIST_FOR_NOTE,0))</f>
        <v>0</v>
      </c>
      <c r="J24" s="1012">
        <f>INDEX(TEMPLATE_DATA_POINT_FHD,B24,MATCH(TEMPLATE_SPHERE,TEMPLATE_SPHERE_LIST_FOR_NOTE,0))</f>
        <v>0</v>
      </c>
      <c r="K24" s="1012">
        <f>INDEX(TEMPLATE_NOTE_POINT_FHD,B24,MATCH(TEMPLATE_SPHERE,TEMPLATE_SPHERE_LIST_FOR_NOTE,0))</f>
        <v>0</v>
      </c>
      <c r="L24" s="850" t="str">
        <f>IF(I24=0,"",I24)</f>
        <v/>
      </c>
      <c r="M24" s="850" t="str">
        <f>IF(J24=0,"",J24)</f>
        <v/>
      </c>
      <c r="N24" s="850" t="str">
        <f>IF(K24=0,"",K24)</f>
        <v/>
      </c>
      <c r="O24" s="964"/>
      <c r="P24" s="964"/>
      <c r="Q24" s="964" t="s">
        <v>849</v>
      </c>
      <c r="R24" s="964"/>
      <c r="S24" s="964"/>
      <c r="T24" s="971"/>
      <c r="U24" s="852"/>
      <c r="V24" s="852" t="s">
        <v>2174</v>
      </c>
      <c r="W24" s="852"/>
      <c r="X24" s="849"/>
      <c r="Y24" s="1007"/>
      <c r="Z24" s="852"/>
      <c r="AA24" s="855"/>
      <c r="AB24" s="852"/>
      <c r="AC24" s="852"/>
      <c r="AD24" s="852"/>
    </row>
    <row customHeight="1" ht="36">
      <c r="A25" s="851"/>
      <c r="B25" s="905">
        <v>8</v>
      </c>
      <c r="C25" s="849">
        <v>6</v>
      </c>
      <c r="D25" s="974"/>
      <c r="E25" s="849"/>
      <c r="F25" s="849"/>
      <c r="G25" s="897"/>
      <c r="H25" s="965"/>
      <c r="I25" s="1012" t="str">
        <f>INDEX(TEMPLATE_NUMBER_POINT_FHD,B25,MATCH(TEMPLATE_SPHERE,TEMPLATE_SPHERE_LIST_FOR_NOTE,0))</f>
        <v>2.3</v>
      </c>
      <c r="J25" s="1012"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2">
        <f>INDEX(TEMPLATE_NOTE_POINT_FHD,B25,MATCH(TEMPLATE_SPHERE,TEMPLATE_SPHERE_LIST_FOR_NOTE,0))</f>
        <v>0</v>
      </c>
      <c r="L25" s="850" t="str">
        <f>IF(I25=0,"",I25)</f>
        <v>2.3</v>
      </c>
      <c r="M25" s="850" t="str">
        <f>IF(J25=0,"",J25)</f>
        <v>Расходы на приобретаемую электрическую энергию (мощность), используемую в технологическом процессе</v>
      </c>
      <c r="N25" s="850" t="str">
        <f>IF(K25=0,"",K25)</f>
        <v/>
      </c>
      <c r="O25" s="964" t="s">
        <v>523</v>
      </c>
      <c r="P25" s="964" t="s">
        <v>520</v>
      </c>
      <c r="Q25" s="964" t="s">
        <v>856</v>
      </c>
      <c r="R25" s="964" t="s">
        <v>520</v>
      </c>
      <c r="S25" s="964"/>
      <c r="T25" s="971" t="s">
        <v>2175</v>
      </c>
      <c r="U25" s="852" t="s">
        <v>2175</v>
      </c>
      <c r="V25" s="852" t="s">
        <v>2175</v>
      </c>
      <c r="W25" s="852" t="s">
        <v>2175</v>
      </c>
      <c r="X25" s="849"/>
      <c r="Y25" s="1007"/>
      <c r="Z25" s="852"/>
      <c r="AA25" s="855"/>
      <c r="AB25" s="852"/>
      <c r="AC25" s="852"/>
      <c r="AD25" s="852"/>
    </row>
    <row customHeight="1" ht="18">
      <c r="A26" s="851"/>
      <c r="B26" s="905">
        <v>9</v>
      </c>
      <c r="C26" s="849" t="s">
        <v>1025</v>
      </c>
      <c r="D26" s="974"/>
      <c r="E26" s="849"/>
      <c r="F26" s="849"/>
      <c r="G26" s="897"/>
      <c r="H26" s="965"/>
      <c r="I26" s="1012" t="str">
        <f>INDEX(TEMPLATE_NUMBER_POINT_FHD,B26,MATCH(TEMPLATE_SPHERE,TEMPLATE_SPHERE_LIST_FOR_NOTE,0))</f>
        <v>2.3.1</v>
      </c>
      <c r="J26" s="1012" t="str">
        <f>INDEX(TEMPLATE_DATA_POINT_FHD,B26,MATCH(TEMPLATE_SPHERE,TEMPLATE_SPHERE_LIST_FOR_NOTE,0))</f>
        <v>Средневзвешенная стоимость 1 кВт.ч (с учетом мощности)</v>
      </c>
      <c r="K26" s="1012">
        <f>INDEX(TEMPLATE_NOTE_POINT_FHD,B26,MATCH(TEMPLATE_SPHERE,TEMPLATE_SPHERE_LIST_FOR_NOTE,0))</f>
        <v>0</v>
      </c>
      <c r="L26" s="850" t="str">
        <f>IF(I26=0,"",I26)</f>
        <v>2.3.1</v>
      </c>
      <c r="M26" s="850" t="str">
        <f>IF(J26=0,"",J26)</f>
        <v>Средневзвешенная стоимость 1 кВт.ч (с учетом мощности)</v>
      </c>
      <c r="N26" s="850" t="str">
        <f>IF(K26=0,"",K26)</f>
        <v/>
      </c>
      <c r="O26" s="964" t="s">
        <v>845</v>
      </c>
      <c r="P26" s="964" t="s">
        <v>839</v>
      </c>
      <c r="Q26" s="964" t="s">
        <v>2176</v>
      </c>
      <c r="R26" s="964" t="s">
        <v>839</v>
      </c>
      <c r="S26" s="964"/>
      <c r="T26" s="971" t="s">
        <v>2177</v>
      </c>
      <c r="U26" s="971" t="s">
        <v>2177</v>
      </c>
      <c r="V26" s="971" t="s">
        <v>2177</v>
      </c>
      <c r="W26" s="971" t="s">
        <v>2177</v>
      </c>
      <c r="X26" s="849"/>
      <c r="Y26" s="1007"/>
      <c r="Z26" s="852"/>
      <c r="AA26" s="855"/>
      <c r="AB26" s="852"/>
      <c r="AC26" s="852"/>
      <c r="AD26" s="852"/>
    </row>
    <row customHeight="1" ht="18">
      <c r="A27" s="851"/>
      <c r="B27" s="905">
        <v>10</v>
      </c>
      <c r="C27" s="849" t="s">
        <v>2178</v>
      </c>
      <c r="D27" s="974"/>
      <c r="E27" s="849"/>
      <c r="F27" s="849"/>
      <c r="G27" s="897"/>
      <c r="H27" s="965"/>
      <c r="I27" s="1012" t="str">
        <f>INDEX(TEMPLATE_NUMBER_POINT_FHD,B27,MATCH(TEMPLATE_SPHERE,TEMPLATE_SPHERE_LIST_FOR_NOTE,0))</f>
        <v>2.3.2</v>
      </c>
      <c r="J27" s="1012" t="str">
        <f>INDEX(TEMPLATE_DATA_POINT_FHD,B27,MATCH(TEMPLATE_SPHERE,TEMPLATE_SPHERE_LIST_FOR_NOTE,0))</f>
        <v>Объём приобретения электрической энергии</v>
      </c>
      <c r="K27" s="1012">
        <f>INDEX(TEMPLATE_NOTE_POINT_FHD,B27,MATCH(TEMPLATE_SPHERE,TEMPLATE_SPHERE_LIST_FOR_NOTE,0))</f>
        <v>0</v>
      </c>
      <c r="L27" s="850" t="str">
        <f>IF(I27=0,"",I27)</f>
        <v>2.3.2</v>
      </c>
      <c r="M27" s="850" t="str">
        <f>IF(J27=0,"",J27)</f>
        <v>Объём приобретения электрической энергии</v>
      </c>
      <c r="N27" s="850" t="str">
        <f>IF(K27=0,"",K27)</f>
        <v/>
      </c>
      <c r="O27" s="964" t="s">
        <v>847</v>
      </c>
      <c r="P27" s="964" t="s">
        <v>841</v>
      </c>
      <c r="Q27" s="964" t="s">
        <v>2179</v>
      </c>
      <c r="R27" s="964" t="s">
        <v>841</v>
      </c>
      <c r="S27" s="964"/>
      <c r="T27" s="971" t="s">
        <v>2180</v>
      </c>
      <c r="U27" s="971" t="s">
        <v>2180</v>
      </c>
      <c r="V27" s="971" t="s">
        <v>2180</v>
      </c>
      <c r="W27" s="971" t="s">
        <v>2180</v>
      </c>
      <c r="X27" s="849"/>
      <c r="Y27" s="1007"/>
      <c r="Z27" s="852"/>
      <c r="AA27" s="855"/>
      <c r="AB27" s="852"/>
      <c r="AC27" s="852"/>
      <c r="AD27" s="852"/>
    </row>
    <row customHeight="1" ht="27">
      <c r="A28" s="851"/>
      <c r="B28" s="905">
        <v>11</v>
      </c>
      <c r="C28" s="849">
        <v>7</v>
      </c>
      <c r="D28" s="974"/>
      <c r="E28" s="849"/>
      <c r="F28" s="849"/>
      <c r="G28" s="897"/>
      <c r="H28" s="965"/>
      <c r="I28" s="1012" t="str">
        <f>INDEX(TEMPLATE_NUMBER_POINT_FHD,B28,MATCH(TEMPLATE_SPHERE,TEMPLATE_SPHERE_LIST_FOR_NOTE,0))</f>
        <v>2.4</v>
      </c>
      <c r="J28" s="1012" t="str">
        <f>INDEX(TEMPLATE_DATA_POINT_FHD,B28,MATCH(TEMPLATE_SPHERE,TEMPLATE_SPHERE_LIST_FOR_NOTE,0))</f>
        <v>Расходы на приобретение холодной воды, используемой в технологическом процессе</v>
      </c>
      <c r="K28" s="1012">
        <f>INDEX(TEMPLATE_NOTE_POINT_FHD,B28,MATCH(TEMPLATE_SPHERE,TEMPLATE_SPHERE_LIST_FOR_NOTE,0))</f>
        <v>0</v>
      </c>
      <c r="L28" s="850" t="str">
        <f>IF(I28=0,"",I28)</f>
        <v>2.4</v>
      </c>
      <c r="M28" s="850" t="str">
        <f>IF(J28=0,"",J28)</f>
        <v>Расходы на приобретение холодной воды, используемой в технологическом процессе</v>
      </c>
      <c r="N28" s="850" t="str">
        <f>IF(K28=0,"",K28)</f>
        <v/>
      </c>
      <c r="O28" s="964" t="s">
        <v>849</v>
      </c>
      <c r="P28" s="964"/>
      <c r="Q28" s="964"/>
      <c r="R28" s="964"/>
      <c r="S28" s="964"/>
      <c r="T28" s="971" t="s">
        <v>2181</v>
      </c>
      <c r="U28" s="852"/>
      <c r="V28" s="852"/>
      <c r="W28" s="852"/>
      <c r="X28" s="849"/>
      <c r="Y28" s="1007"/>
      <c r="Z28" s="852"/>
      <c r="AA28" s="855"/>
      <c r="AB28" s="852"/>
      <c r="AC28" s="852"/>
      <c r="AD28" s="852"/>
    </row>
    <row customHeight="1" ht="27">
      <c r="A29" s="851"/>
      <c r="B29" s="905">
        <v>12</v>
      </c>
      <c r="C29" s="849">
        <v>8</v>
      </c>
      <c r="D29" s="974"/>
      <c r="E29" s="849"/>
      <c r="F29" s="849"/>
      <c r="G29" s="897"/>
      <c r="H29" s="965"/>
      <c r="I29" s="1012" t="str">
        <f>INDEX(TEMPLATE_NUMBER_POINT_FHD,B29,MATCH(TEMPLATE_SPHERE,TEMPLATE_SPHERE_LIST_FOR_NOTE,0))</f>
        <v>2.5</v>
      </c>
      <c r="J29" s="1012" t="str">
        <f>INDEX(TEMPLATE_DATA_POINT_FHD,B29,MATCH(TEMPLATE_SPHERE,TEMPLATE_SPHERE_LIST_FOR_NOTE,0))</f>
        <v>Расходы на химические реагенты, используемые в технологическом процессе</v>
      </c>
      <c r="K29" s="1012">
        <f>INDEX(TEMPLATE_NOTE_POINT_FHD,B29,MATCH(TEMPLATE_SPHERE,TEMPLATE_SPHERE_LIST_FOR_NOTE,0))</f>
        <v>0</v>
      </c>
      <c r="L29" s="850" t="str">
        <f>IF(I29=0,"",I29)</f>
        <v>2.5</v>
      </c>
      <c r="M29" s="850" t="str">
        <f>IF(J29=0,"",J29)</f>
        <v>Расходы на химические реагенты, используемые в технологическом процессе</v>
      </c>
      <c r="N29" s="850" t="str">
        <f>IF(K29=0,"",K29)</f>
        <v/>
      </c>
      <c r="O29" s="964" t="s">
        <v>856</v>
      </c>
      <c r="P29" s="964" t="s">
        <v>523</v>
      </c>
      <c r="Q29" s="964"/>
      <c r="R29" s="964" t="s">
        <v>523</v>
      </c>
      <c r="S29" s="964"/>
      <c r="T29" s="971" t="s">
        <v>2182</v>
      </c>
      <c r="U29" s="852" t="s">
        <v>2182</v>
      </c>
      <c r="V29" s="852"/>
      <c r="W29" s="852" t="s">
        <v>2182</v>
      </c>
      <c r="X29" s="849"/>
      <c r="Y29" s="1007"/>
      <c r="Z29" s="852"/>
      <c r="AA29" s="855"/>
      <c r="AB29" s="852"/>
      <c r="AC29" s="852"/>
      <c r="AD29" s="852"/>
    </row>
    <row customHeight="1" ht="54">
      <c r="A30" s="851"/>
      <c r="B30" s="905">
        <v>13</v>
      </c>
      <c r="C30" s="849">
        <v>9</v>
      </c>
      <c r="D30" s="974"/>
      <c r="E30" s="849"/>
      <c r="F30" s="849"/>
      <c r="G30" s="897"/>
      <c r="H30" s="965"/>
      <c r="I30" s="1012" t="str">
        <f>INDEX(TEMPLATE_NUMBER_POINT_FHD,B30,MATCH(TEMPLATE_SPHERE,TEMPLATE_SPHERE_LIST_FOR_NOTE,0))</f>
        <v>2.6</v>
      </c>
      <c r="J30" s="1012"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2">
        <f>INDEX(TEMPLATE_NOTE_POINT_FHD,B30,MATCH(TEMPLATE_SPHERE,TEMPLATE_SPHERE_LIST_FOR_NOTE,0))</f>
        <v>0</v>
      </c>
      <c r="L30" s="850" t="str">
        <f>IF(I30=0,"",I30)</f>
        <v>2.6</v>
      </c>
      <c r="M30" s="850"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50" t="str">
        <f>IF(K30=0,"",K30)</f>
        <v/>
      </c>
      <c r="O30" s="964" t="s">
        <v>858</v>
      </c>
      <c r="P30" s="964" t="s">
        <v>849</v>
      </c>
      <c r="Q30" s="964" t="s">
        <v>858</v>
      </c>
      <c r="R30" s="964" t="s">
        <v>849</v>
      </c>
      <c r="S30" s="964"/>
      <c r="T30" s="971" t="s">
        <v>2183</v>
      </c>
      <c r="U30" s="852" t="s">
        <v>2183</v>
      </c>
      <c r="V30" s="852" t="s">
        <v>2183</v>
      </c>
      <c r="W30" s="852" t="s">
        <v>2183</v>
      </c>
      <c r="X30" s="849"/>
      <c r="Y30" s="1007"/>
      <c r="Z30" s="852"/>
      <c r="AA30" s="855" t="s">
        <v>2184</v>
      </c>
      <c r="AB30" s="855" t="s">
        <v>2184</v>
      </c>
      <c r="AC30" s="855" t="s">
        <v>2184</v>
      </c>
      <c r="AD30" s="852"/>
    </row>
    <row customHeight="1" ht="18">
      <c r="A31" s="851"/>
      <c r="B31" s="905">
        <v>14</v>
      </c>
      <c r="C31" s="849" t="s">
        <v>2185</v>
      </c>
      <c r="D31" s="974"/>
      <c r="E31" s="849"/>
      <c r="F31" s="849"/>
      <c r="G31" s="897"/>
      <c r="H31" s="965"/>
      <c r="I31" s="1012" t="str">
        <f>INDEX(TEMPLATE_NUMBER_POINT_FHD,B31,MATCH(TEMPLATE_SPHERE,TEMPLATE_SPHERE_LIST_FOR_NOTE,0))</f>
        <v>2.6.1</v>
      </c>
      <c r="J31" s="1012" t="str">
        <f>INDEX(TEMPLATE_DATA_POINT_FHD,B31,MATCH(TEMPLATE_SPHERE,TEMPLATE_SPHERE_LIST_FOR_NOTE,0))</f>
        <v>Расходы на оплату труда основного производственного персонала</v>
      </c>
      <c r="K31" s="1012">
        <f>INDEX(TEMPLATE_NOTE_POINT_FHD,B31,MATCH(TEMPLATE_SPHERE,TEMPLATE_SPHERE_LIST_FOR_NOTE,0))</f>
        <v>0</v>
      </c>
      <c r="L31" s="850" t="str">
        <f>IF(I31=0,"",I31)</f>
        <v>2.6.1</v>
      </c>
      <c r="M31" s="850" t="str">
        <f>IF(J31=0,"",J31)</f>
        <v>Расходы на оплату труда основного производственного персонала</v>
      </c>
      <c r="N31" s="850" t="str">
        <f>IF(K31=0,"",K31)</f>
        <v/>
      </c>
      <c r="O31" s="964" t="s">
        <v>2186</v>
      </c>
      <c r="P31" s="964" t="s">
        <v>852</v>
      </c>
      <c r="Q31" s="964" t="s">
        <v>2186</v>
      </c>
      <c r="R31" s="964" t="s">
        <v>852</v>
      </c>
      <c r="S31" s="964"/>
      <c r="T31" s="972" t="s">
        <v>2187</v>
      </c>
      <c r="U31" s="852" t="s">
        <v>2187</v>
      </c>
      <c r="V31" s="852" t="s">
        <v>2187</v>
      </c>
      <c r="W31" s="852" t="s">
        <v>2187</v>
      </c>
      <c r="X31" s="849"/>
      <c r="Y31" s="1007"/>
      <c r="Z31" s="852"/>
      <c r="AA31" s="855"/>
      <c r="AB31" s="855"/>
      <c r="AC31" s="855"/>
      <c r="AD31" s="852"/>
    </row>
    <row customHeight="1" ht="36">
      <c r="A32" s="851"/>
      <c r="B32" s="905">
        <v>15</v>
      </c>
      <c r="C32" s="849" t="s">
        <v>2188</v>
      </c>
      <c r="D32" s="974"/>
      <c r="E32" s="849"/>
      <c r="F32" s="849"/>
      <c r="G32" s="897"/>
      <c r="H32" s="965"/>
      <c r="I32" s="1012" t="str">
        <f>INDEX(TEMPLATE_NUMBER_POINT_FHD,B32,MATCH(TEMPLATE_SPHERE,TEMPLATE_SPHERE_LIST_FOR_NOTE,0))</f>
        <v>2.6.2</v>
      </c>
      <c r="J32" s="1012"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2">
        <f>INDEX(TEMPLATE_NOTE_POINT_FHD,B32,MATCH(TEMPLATE_SPHERE,TEMPLATE_SPHERE_LIST_FOR_NOTE,0))</f>
        <v>0</v>
      </c>
      <c r="L32" s="850" t="str">
        <f>IF(I32=0,"",I32)</f>
        <v>2.6.2</v>
      </c>
      <c r="M32" s="850" t="str">
        <f>IF(J32=0,"",J32)</f>
        <v>Страховые взносы на обязательное социальное страхование, выплачиваемые из фонда оплаты труда основного производственного персонала</v>
      </c>
      <c r="N32" s="850" t="str">
        <f>IF(K32=0,"",K32)</f>
        <v/>
      </c>
      <c r="O32" s="964" t="s">
        <v>2189</v>
      </c>
      <c r="P32" s="964" t="s">
        <v>854</v>
      </c>
      <c r="Q32" s="964" t="s">
        <v>2189</v>
      </c>
      <c r="R32" s="964" t="s">
        <v>854</v>
      </c>
      <c r="S32" s="964"/>
      <c r="T32" s="973" t="s">
        <v>2190</v>
      </c>
      <c r="U32" s="852" t="s">
        <v>2190</v>
      </c>
      <c r="V32" s="852" t="s">
        <v>2190</v>
      </c>
      <c r="W32" s="852" t="s">
        <v>2190</v>
      </c>
      <c r="X32" s="849"/>
      <c r="Y32" s="1007"/>
      <c r="Z32" s="852"/>
      <c r="AA32" s="855"/>
      <c r="AB32" s="855"/>
      <c r="AC32" s="855"/>
      <c r="AD32" s="852"/>
    </row>
    <row customHeight="1" ht="45">
      <c r="A33" s="851"/>
      <c r="B33" s="905">
        <v>16</v>
      </c>
      <c r="C33" s="849">
        <v>10</v>
      </c>
      <c r="D33" s="974"/>
      <c r="E33" s="849"/>
      <c r="F33" s="849"/>
      <c r="G33" s="897"/>
      <c r="H33" s="965"/>
      <c r="I33" s="1012" t="str">
        <f>INDEX(TEMPLATE_NUMBER_POINT_FHD,B33,MATCH(TEMPLATE_SPHERE,TEMPLATE_SPHERE_LIST_FOR_NOTE,0))</f>
        <v>2.7</v>
      </c>
      <c r="J33" s="1012"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2">
        <f>INDEX(TEMPLATE_NOTE_POINT_FHD,B33,MATCH(TEMPLATE_SPHERE,TEMPLATE_SPHERE_LIST_FOR_NOTE,0))</f>
        <v>0</v>
      </c>
      <c r="L33" s="850" t="str">
        <f>IF(I33=0,"",I33)</f>
        <v>2.7</v>
      </c>
      <c r="M33" s="850"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50" t="str">
        <f>IF(K33=0,"",K33)</f>
        <v/>
      </c>
      <c r="O33" s="964" t="s">
        <v>860</v>
      </c>
      <c r="P33" s="964" t="s">
        <v>856</v>
      </c>
      <c r="Q33" s="964" t="s">
        <v>860</v>
      </c>
      <c r="R33" s="964" t="s">
        <v>856</v>
      </c>
      <c r="S33" s="964"/>
      <c r="T33" s="972" t="s">
        <v>2191</v>
      </c>
      <c r="U33" s="852" t="s">
        <v>2191</v>
      </c>
      <c r="V33" s="852" t="s">
        <v>2191</v>
      </c>
      <c r="W33" s="852" t="s">
        <v>2192</v>
      </c>
      <c r="X33" s="849"/>
      <c r="Y33" s="1007"/>
      <c r="Z33" s="852"/>
      <c r="AA33" s="855" t="s">
        <v>2193</v>
      </c>
      <c r="AB33" s="855" t="s">
        <v>2193</v>
      </c>
      <c r="AC33" s="855" t="s">
        <v>2193</v>
      </c>
      <c r="AD33" s="852"/>
    </row>
    <row customHeight="1" ht="27">
      <c r="A34" s="851"/>
      <c r="B34" s="905">
        <v>17</v>
      </c>
      <c r="C34" s="849" t="s">
        <v>2194</v>
      </c>
      <c r="D34" s="974"/>
      <c r="E34" s="849"/>
      <c r="F34" s="849"/>
      <c r="G34" s="897"/>
      <c r="H34" s="965"/>
      <c r="I34" s="1012" t="str">
        <f>INDEX(TEMPLATE_NUMBER_POINT_FHD,B34,MATCH(TEMPLATE_SPHERE,TEMPLATE_SPHERE_LIST_FOR_NOTE,0))</f>
        <v>2.7.1</v>
      </c>
      <c r="J34" s="1012" t="str">
        <f>INDEX(TEMPLATE_DATA_POINT_FHD,B34,MATCH(TEMPLATE_SPHERE,TEMPLATE_SPHERE_LIST_FOR_NOTE,0))</f>
        <v>Расходы на оплату труда административно-управленческого персонала</v>
      </c>
      <c r="K34" s="1012">
        <f>INDEX(TEMPLATE_NOTE_POINT_FHD,B34,MATCH(TEMPLATE_SPHERE,TEMPLATE_SPHERE_LIST_FOR_NOTE,0))</f>
        <v>0</v>
      </c>
      <c r="L34" s="850" t="str">
        <f>IF(I34=0,"",I34)</f>
        <v>2.7.1</v>
      </c>
      <c r="M34" s="850" t="str">
        <f>IF(J34=0,"",J34)</f>
        <v>Расходы на оплату труда административно-управленческого персонала</v>
      </c>
      <c r="N34" s="850" t="str">
        <f>IF(K34=0,"",K34)</f>
        <v/>
      </c>
      <c r="O34" s="964" t="s">
        <v>2195</v>
      </c>
      <c r="P34" s="964" t="s">
        <v>2176</v>
      </c>
      <c r="Q34" s="964" t="s">
        <v>2195</v>
      </c>
      <c r="R34" s="964" t="s">
        <v>2176</v>
      </c>
      <c r="S34" s="964"/>
      <c r="T34" s="973" t="s">
        <v>2196</v>
      </c>
      <c r="U34" s="852" t="s">
        <v>2196</v>
      </c>
      <c r="V34" s="852" t="s">
        <v>2196</v>
      </c>
      <c r="W34" s="852" t="s">
        <v>2197</v>
      </c>
      <c r="X34" s="849"/>
      <c r="Y34" s="1007"/>
      <c r="Z34" s="852"/>
      <c r="AA34" s="855"/>
      <c r="AB34" s="852"/>
      <c r="AC34" s="852"/>
      <c r="AD34" s="852"/>
    </row>
    <row customHeight="1" ht="45">
      <c r="A35" s="851"/>
      <c r="B35" s="905">
        <v>18</v>
      </c>
      <c r="C35" s="849" t="s">
        <v>2198</v>
      </c>
      <c r="D35" s="974"/>
      <c r="E35" s="849"/>
      <c r="F35" s="849"/>
      <c r="G35" s="897"/>
      <c r="H35" s="965"/>
      <c r="I35" s="1012" t="str">
        <f>INDEX(TEMPLATE_NUMBER_POINT_FHD,B35,MATCH(TEMPLATE_SPHERE,TEMPLATE_SPHERE_LIST_FOR_NOTE,0))</f>
        <v>2.7.2</v>
      </c>
      <c r="J35" s="1012"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2">
        <f>INDEX(TEMPLATE_NOTE_POINT_FHD,B35,MATCH(TEMPLATE_SPHERE,TEMPLATE_SPHERE_LIST_FOR_NOTE,0))</f>
        <v>0</v>
      </c>
      <c r="L35" s="850" t="str">
        <f>IF(I35=0,"",I35)</f>
        <v>2.7.2</v>
      </c>
      <c r="M35" s="850"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50" t="str">
        <f>IF(K35=0,"",K35)</f>
        <v/>
      </c>
      <c r="O35" s="964" t="s">
        <v>2199</v>
      </c>
      <c r="P35" s="964" t="s">
        <v>2179</v>
      </c>
      <c r="Q35" s="964" t="s">
        <v>2199</v>
      </c>
      <c r="R35" s="964" t="s">
        <v>2179</v>
      </c>
      <c r="S35" s="964"/>
      <c r="T35" s="971" t="s">
        <v>2200</v>
      </c>
      <c r="U35" s="852" t="s">
        <v>2200</v>
      </c>
      <c r="V35" s="852" t="s">
        <v>2200</v>
      </c>
      <c r="W35" s="852" t="s">
        <v>2200</v>
      </c>
      <c r="X35" s="849"/>
      <c r="Y35" s="1007"/>
      <c r="Z35" s="852"/>
      <c r="AA35" s="855"/>
      <c r="AB35" s="852"/>
      <c r="AC35" s="852"/>
      <c r="AD35" s="852"/>
    </row>
    <row customHeight="1" ht="18">
      <c r="A36" s="851"/>
      <c r="B36" s="905">
        <v>19</v>
      </c>
      <c r="C36" s="849">
        <v>11</v>
      </c>
      <c r="D36" s="974"/>
      <c r="E36" s="849"/>
      <c r="F36" s="849"/>
      <c r="G36" s="897"/>
      <c r="H36" s="965"/>
      <c r="I36" s="1012" t="str">
        <f>INDEX(TEMPLATE_NUMBER_POINT_FHD,B36,MATCH(TEMPLATE_SPHERE,TEMPLATE_SPHERE_LIST_FOR_NOTE,0))</f>
        <v>2.8</v>
      </c>
      <c r="J36" s="1012" t="str">
        <f>INDEX(TEMPLATE_DATA_POINT_FHD,B36,MATCH(TEMPLATE_SPHERE,TEMPLATE_SPHERE_LIST_FOR_NOTE,0))</f>
        <v>Расходы на амортизацию основных средств и нематериальных активов</v>
      </c>
      <c r="K36" s="1012">
        <f>INDEX(TEMPLATE_NOTE_POINT_FHD,B36,MATCH(TEMPLATE_SPHERE,TEMPLATE_SPHERE_LIST_FOR_NOTE,0))</f>
        <v>0</v>
      </c>
      <c r="L36" s="850" t="str">
        <f>IF(I36=0,"",I36)</f>
        <v>2.8</v>
      </c>
      <c r="M36" s="850" t="str">
        <f>IF(J36=0,"",J36)</f>
        <v>Расходы на амортизацию основных средств и нематериальных активов</v>
      </c>
      <c r="N36" s="850" t="str">
        <f>IF(K36=0,"",K36)</f>
        <v/>
      </c>
      <c r="O36" s="964" t="s">
        <v>862</v>
      </c>
      <c r="P36" s="964" t="s">
        <v>858</v>
      </c>
      <c r="Q36" s="964" t="s">
        <v>862</v>
      </c>
      <c r="R36" s="964" t="s">
        <v>858</v>
      </c>
      <c r="S36" s="964"/>
      <c r="T36" s="971" t="s">
        <v>2201</v>
      </c>
      <c r="U36" s="852" t="s">
        <v>2201</v>
      </c>
      <c r="V36" s="852" t="s">
        <v>2201</v>
      </c>
      <c r="W36" s="852" t="s">
        <v>2201</v>
      </c>
      <c r="X36" s="849"/>
      <c r="Y36" s="1007"/>
      <c r="Z36" s="852"/>
      <c r="AA36" s="855"/>
      <c r="AB36" s="852"/>
      <c r="AC36" s="852"/>
      <c r="AD36" s="852"/>
    </row>
    <row customHeight="1" ht="18">
      <c r="A37" s="851"/>
      <c r="B37" s="905">
        <v>20</v>
      </c>
      <c r="C37" s="849" t="s">
        <v>2202</v>
      </c>
      <c r="D37" s="974"/>
      <c r="E37" s="849"/>
      <c r="F37" s="849"/>
      <c r="G37" s="897"/>
      <c r="H37" s="965"/>
      <c r="I37" s="1012" t="str">
        <f>INDEX(TEMPLATE_NUMBER_POINT_FHD,B37,MATCH(TEMPLATE_SPHERE,TEMPLATE_SPHERE_LIST_FOR_NOTE,0))</f>
        <v>2.8.1</v>
      </c>
      <c r="J37" s="1012" t="str">
        <f>INDEX(TEMPLATE_DATA_POINT_FHD,B37,MATCH(TEMPLATE_SPHERE,TEMPLATE_SPHERE_LIST_FOR_NOTE,0))</f>
        <v>Расходы на амортизацию основных средств</v>
      </c>
      <c r="K37" s="1012">
        <f>INDEX(TEMPLATE_NOTE_POINT_FHD,B37,MATCH(TEMPLATE_SPHERE,TEMPLATE_SPHERE_LIST_FOR_NOTE,0))</f>
        <v>0</v>
      </c>
      <c r="L37" s="850" t="str">
        <f>IF(I37=0,"",I37)</f>
        <v>2.8.1</v>
      </c>
      <c r="M37" s="850" t="str">
        <f>IF(J37=0,"",J37)</f>
        <v>Расходы на амортизацию основных средств</v>
      </c>
      <c r="N37" s="850" t="str">
        <f>IF(K37=0,"",K37)</f>
        <v/>
      </c>
      <c r="O37" s="964" t="s">
        <v>2203</v>
      </c>
      <c r="P37" s="964" t="s">
        <v>2186</v>
      </c>
      <c r="Q37" s="964" t="s">
        <v>2203</v>
      </c>
      <c r="R37" s="964" t="s">
        <v>2186</v>
      </c>
      <c r="S37" s="964"/>
      <c r="T37" s="971" t="s">
        <v>2204</v>
      </c>
      <c r="U37" s="852" t="s">
        <v>2204</v>
      </c>
      <c r="V37" s="852" t="s">
        <v>2204</v>
      </c>
      <c r="W37" s="852" t="s">
        <v>2204</v>
      </c>
      <c r="X37" s="849"/>
      <c r="Y37" s="1007"/>
      <c r="Z37" s="852"/>
      <c r="AA37" s="855"/>
      <c r="AB37" s="852"/>
      <c r="AC37" s="852"/>
      <c r="AD37" s="852"/>
    </row>
    <row customHeight="1" ht="18">
      <c r="A38" s="851"/>
      <c r="B38" s="905">
        <v>21</v>
      </c>
      <c r="C38" s="849" t="s">
        <v>2205</v>
      </c>
      <c r="D38" s="974"/>
      <c r="E38" s="849"/>
      <c r="F38" s="849"/>
      <c r="G38" s="897"/>
      <c r="H38" s="965"/>
      <c r="I38" s="1012" t="str">
        <f>INDEX(TEMPLATE_NUMBER_POINT_FHD,B38,MATCH(TEMPLATE_SPHERE,TEMPLATE_SPHERE_LIST_FOR_NOTE,0))</f>
        <v>2.8.2</v>
      </c>
      <c r="J38" s="1012" t="str">
        <f>INDEX(TEMPLATE_DATA_POINT_FHD,B38,MATCH(TEMPLATE_SPHERE,TEMPLATE_SPHERE_LIST_FOR_NOTE,0))</f>
        <v>Расходы на амортизацию нематериальных активов</v>
      </c>
      <c r="K38" s="1012">
        <f>INDEX(TEMPLATE_NOTE_POINT_FHD,B38,MATCH(TEMPLATE_SPHERE,TEMPLATE_SPHERE_LIST_FOR_NOTE,0))</f>
        <v>0</v>
      </c>
      <c r="L38" s="850" t="str">
        <f>IF(I38=0,"",I38)</f>
        <v>2.8.2</v>
      </c>
      <c r="M38" s="850" t="str">
        <f>IF(J38=0,"",J38)</f>
        <v>Расходы на амортизацию нематериальных активов</v>
      </c>
      <c r="N38" s="850" t="str">
        <f>IF(K38=0,"",K38)</f>
        <v/>
      </c>
      <c r="O38" s="964" t="s">
        <v>2206</v>
      </c>
      <c r="P38" s="964" t="s">
        <v>2189</v>
      </c>
      <c r="Q38" s="964" t="s">
        <v>2206</v>
      </c>
      <c r="R38" s="964" t="s">
        <v>2189</v>
      </c>
      <c r="S38" s="964"/>
      <c r="T38" s="971" t="s">
        <v>2207</v>
      </c>
      <c r="U38" s="852" t="s">
        <v>2207</v>
      </c>
      <c r="V38" s="852" t="s">
        <v>2207</v>
      </c>
      <c r="W38" s="852" t="s">
        <v>2207</v>
      </c>
      <c r="X38" s="849"/>
      <c r="Y38" s="1007"/>
      <c r="Z38" s="852"/>
      <c r="AA38" s="855"/>
      <c r="AB38" s="852"/>
      <c r="AC38" s="852"/>
      <c r="AD38" s="852"/>
    </row>
    <row customHeight="1" ht="36">
      <c r="A39" s="851"/>
      <c r="B39" s="905">
        <v>22</v>
      </c>
      <c r="C39" s="849">
        <v>12</v>
      </c>
      <c r="D39" s="974"/>
      <c r="E39" s="849"/>
      <c r="F39" s="849"/>
      <c r="G39" s="897"/>
      <c r="H39" s="965"/>
      <c r="I39" s="1012" t="str">
        <f>INDEX(TEMPLATE_NUMBER_POINT_FHD,B39,MATCH(TEMPLATE_SPHERE,TEMPLATE_SPHERE_LIST_FOR_NOTE,0))</f>
        <v>2.9</v>
      </c>
      <c r="J39" s="1012" t="str">
        <f>INDEX(TEMPLATE_DATA_POINT_FHD,B39,MATCH(TEMPLATE_SPHERE,TEMPLATE_SPHERE_LIST_FOR_NOTE,0))</f>
        <v>Расходы на аренду имущества, используемого для осуществления регулируемого вида деятельности</v>
      </c>
      <c r="K39" s="1012">
        <f>INDEX(TEMPLATE_NOTE_POINT_FHD,B39,MATCH(TEMPLATE_SPHERE,TEMPLATE_SPHERE_LIST_FOR_NOTE,0))</f>
        <v>0</v>
      </c>
      <c r="L39" s="850" t="str">
        <f>IF(I39=0,"",I39)</f>
        <v>2.9</v>
      </c>
      <c r="M39" s="850" t="str">
        <f>IF(J39=0,"",J39)</f>
        <v>Расходы на аренду имущества, используемого для осуществления регулируемого вида деятельности</v>
      </c>
      <c r="N39" s="850" t="str">
        <f>IF(K39=0,"",K39)</f>
        <v/>
      </c>
      <c r="O39" s="964" t="s">
        <v>866</v>
      </c>
      <c r="P39" s="964" t="s">
        <v>860</v>
      </c>
      <c r="Q39" s="964" t="s">
        <v>866</v>
      </c>
      <c r="R39" s="964" t="s">
        <v>860</v>
      </c>
      <c r="S39" s="964"/>
      <c r="T39" s="971" t="s">
        <v>2208</v>
      </c>
      <c r="U39" s="852" t="s">
        <v>2209</v>
      </c>
      <c r="V39" s="852" t="s">
        <v>2210</v>
      </c>
      <c r="W39" s="852" t="s">
        <v>2211</v>
      </c>
      <c r="X39" s="849"/>
      <c r="Y39" s="1007"/>
      <c r="Z39" s="852"/>
      <c r="AA39" s="855"/>
      <c r="AB39" s="852"/>
      <c r="AC39" s="852"/>
      <c r="AD39" s="852"/>
    </row>
    <row customHeight="1" ht="18">
      <c r="A40" s="851"/>
      <c r="B40" s="905">
        <v>23</v>
      </c>
      <c r="C40" s="849">
        <v>13</v>
      </c>
      <c r="D40" s="974"/>
      <c r="E40" s="849"/>
      <c r="F40" s="849"/>
      <c r="G40" s="849"/>
      <c r="H40" s="900"/>
      <c r="I40" s="1012" t="str">
        <f>INDEX(TEMPLATE_NUMBER_POINT_FHD,B40,MATCH(TEMPLATE_SPHERE,TEMPLATE_SPHERE_LIST_FOR_NOTE,0))</f>
        <v>2.10</v>
      </c>
      <c r="J40" s="1012" t="str">
        <f>INDEX(TEMPLATE_DATA_POINT_FHD,B40,MATCH(TEMPLATE_SPHERE,TEMPLATE_SPHERE_LIST_FOR_NOTE,0))</f>
        <v>Общепроизводственные расходы, в том числе:</v>
      </c>
      <c r="K40" s="1012" t="str">
        <f>INDEX(TEMPLATE_NOTE_POINT_FHD,B40,MATCH(TEMPLATE_SPHERE,TEMPLATE_SPHERE_LIST_FOR_NOTE,0))</f>
        <v>Указывается общая сумма общепроизводственных расходов.</v>
      </c>
      <c r="L40" s="850" t="str">
        <f>IF(I40=0,"",I40)</f>
        <v>2.10</v>
      </c>
      <c r="M40" s="850" t="str">
        <f>IF(J40=0,"",J40)</f>
        <v>Общепроизводственные расходы, в том числе:</v>
      </c>
      <c r="N40" s="850" t="str">
        <f>IF(K40=0,"",K40)</f>
        <v>Указывается общая сумма общепроизводственных расходов.</v>
      </c>
      <c r="O40" s="964" t="s">
        <v>2212</v>
      </c>
      <c r="P40" s="964" t="s">
        <v>862</v>
      </c>
      <c r="Q40" s="964" t="s">
        <v>2212</v>
      </c>
      <c r="R40" s="964" t="s">
        <v>862</v>
      </c>
      <c r="S40" s="964"/>
      <c r="T40" s="849" t="s">
        <v>2213</v>
      </c>
      <c r="U40" s="849" t="s">
        <v>2213</v>
      </c>
      <c r="V40" s="849" t="s">
        <v>2213</v>
      </c>
      <c r="W40" s="849" t="s">
        <v>2213</v>
      </c>
      <c r="X40" s="849"/>
      <c r="Y40" s="1007"/>
      <c r="Z40" s="852" t="s">
        <v>2214</v>
      </c>
      <c r="AA40" s="855" t="s">
        <v>2214</v>
      </c>
      <c r="AB40" s="855" t="s">
        <v>2214</v>
      </c>
      <c r="AC40" s="855" t="s">
        <v>2214</v>
      </c>
      <c r="AD40" s="852"/>
    </row>
    <row customHeight="1" ht="27">
      <c r="A41" s="851"/>
      <c r="B41" s="905">
        <v>24</v>
      </c>
      <c r="C41" s="849" t="s">
        <v>2215</v>
      </c>
      <c r="D41" s="974"/>
      <c r="E41" s="849"/>
      <c r="F41" s="849"/>
      <c r="G41" s="849"/>
      <c r="H41" s="897"/>
      <c r="I41" s="1012" t="str">
        <f>INDEX(TEMPLATE_NUMBER_POINT_FHD,B41,MATCH(TEMPLATE_SPHERE,TEMPLATE_SPHERE_LIST_FOR_NOTE,0))</f>
        <v>2.10.1</v>
      </c>
      <c r="J41" s="1012" t="str">
        <f>INDEX(TEMPLATE_DATA_POINT_FHD,B41,MATCH(TEMPLATE_SPHERE,TEMPLATE_SPHERE_LIST_FOR_NOTE,0))</f>
        <v>Расходы на текущий ремонт</v>
      </c>
      <c r="K41" s="1012" t="str">
        <f>INDEX(TEMPLATE_NOTE_POINT_FHD,B41,MATCH(TEMPLATE_SPHERE,TEMPLATE_SPHERE_LIST_FOR_NOTE,0))</f>
        <v>Указываются расходы на текущий ремонт, отнесенные к общепроизводственным расходам.</v>
      </c>
      <c r="L41" s="850" t="str">
        <f>IF(I41=0,"",I41)</f>
        <v>2.10.1</v>
      </c>
      <c r="M41" s="850" t="str">
        <f>IF(J41=0,"",J41)</f>
        <v>Расходы на текущий ремонт</v>
      </c>
      <c r="N41" s="850" t="str">
        <f>IF(K41=0,"",K41)</f>
        <v>Указываются расходы на текущий ремонт, отнесенные к общепроизводственным расходам.</v>
      </c>
      <c r="O41" s="964" t="s">
        <v>2216</v>
      </c>
      <c r="P41" s="964" t="s">
        <v>2203</v>
      </c>
      <c r="Q41" s="964" t="s">
        <v>2216</v>
      </c>
      <c r="R41" s="964" t="s">
        <v>2203</v>
      </c>
      <c r="S41" s="964"/>
      <c r="T41" s="849" t="s">
        <v>2217</v>
      </c>
      <c r="U41" s="849" t="s">
        <v>2217</v>
      </c>
      <c r="V41" s="849" t="s">
        <v>2217</v>
      </c>
      <c r="W41" s="849" t="s">
        <v>2217</v>
      </c>
      <c r="X41" s="849"/>
      <c r="Y41" s="1007"/>
      <c r="Z41" s="852" t="s">
        <v>2218</v>
      </c>
      <c r="AA41" s="852" t="s">
        <v>2218</v>
      </c>
      <c r="AB41" s="852" t="s">
        <v>2218</v>
      </c>
      <c r="AC41" s="852" t="s">
        <v>2218</v>
      </c>
      <c r="AD41" s="852"/>
    </row>
    <row customHeight="1" ht="27">
      <c r="A42" s="851"/>
      <c r="B42" s="905">
        <v>25</v>
      </c>
      <c r="C42" s="849" t="s">
        <v>2219</v>
      </c>
      <c r="D42" s="974"/>
      <c r="E42" s="849"/>
      <c r="F42" s="849"/>
      <c r="G42" s="849"/>
      <c r="H42" s="897"/>
      <c r="I42" s="1012" t="str">
        <f>INDEX(TEMPLATE_NUMBER_POINT_FHD,B42,MATCH(TEMPLATE_SPHERE,TEMPLATE_SPHERE_LIST_FOR_NOTE,0))</f>
        <v>2.10.2</v>
      </c>
      <c r="J42" s="1012" t="str">
        <f>INDEX(TEMPLATE_DATA_POINT_FHD,B42,MATCH(TEMPLATE_SPHERE,TEMPLATE_SPHERE_LIST_FOR_NOTE,0))</f>
        <v>Расходы на капитальный ремонт</v>
      </c>
      <c r="K42" s="1012" t="str">
        <f>INDEX(TEMPLATE_NOTE_POINT_FHD,B42,MATCH(TEMPLATE_SPHERE,TEMPLATE_SPHERE_LIST_FOR_NOTE,0))</f>
        <v>Указываются расходы на капитальный ремонт, отнесенные к общепроизводственным расходам.</v>
      </c>
      <c r="L42" s="850" t="str">
        <f>IF(I42=0,"",I42)</f>
        <v>2.10.2</v>
      </c>
      <c r="M42" s="850" t="str">
        <f>IF(J42=0,"",J42)</f>
        <v>Расходы на капитальный ремонт</v>
      </c>
      <c r="N42" s="850" t="str">
        <f>IF(K42=0,"",K42)</f>
        <v>Указываются расходы на капитальный ремонт, отнесенные к общепроизводственным расходам.</v>
      </c>
      <c r="O42" s="964" t="s">
        <v>2220</v>
      </c>
      <c r="P42" s="964" t="s">
        <v>2206</v>
      </c>
      <c r="Q42" s="964" t="s">
        <v>2220</v>
      </c>
      <c r="R42" s="964" t="s">
        <v>2206</v>
      </c>
      <c r="S42" s="964"/>
      <c r="T42" s="849" t="s">
        <v>2221</v>
      </c>
      <c r="U42" s="849" t="s">
        <v>2221</v>
      </c>
      <c r="V42" s="849" t="s">
        <v>2221</v>
      </c>
      <c r="W42" s="849" t="s">
        <v>2221</v>
      </c>
      <c r="X42" s="849"/>
      <c r="Y42" s="1007"/>
      <c r="Z42" s="852" t="s">
        <v>2222</v>
      </c>
      <c r="AA42" s="852" t="s">
        <v>2222</v>
      </c>
      <c r="AB42" s="852" t="s">
        <v>2222</v>
      </c>
      <c r="AC42" s="852" t="s">
        <v>2222</v>
      </c>
      <c r="AD42" s="852"/>
    </row>
    <row customHeight="1" ht="18">
      <c r="A43" s="851"/>
      <c r="B43" s="905">
        <v>26</v>
      </c>
      <c r="C43" s="849">
        <v>14</v>
      </c>
      <c r="D43" s="974"/>
      <c r="E43" s="849"/>
      <c r="F43" s="849"/>
      <c r="G43" s="849"/>
      <c r="H43" s="897"/>
      <c r="I43" s="1012" t="str">
        <f>INDEX(TEMPLATE_NUMBER_POINT_FHD,B43,MATCH(TEMPLATE_SPHERE,TEMPLATE_SPHERE_LIST_FOR_NOTE,0))</f>
        <v>2.11</v>
      </c>
      <c r="J43" s="1012" t="str">
        <f>INDEX(TEMPLATE_DATA_POINT_FHD,B43,MATCH(TEMPLATE_SPHERE,TEMPLATE_SPHERE_LIST_FOR_NOTE,0))</f>
        <v>Общехозяйственные расходы, в том числе:</v>
      </c>
      <c r="K43" s="1012" t="str">
        <f>INDEX(TEMPLATE_NOTE_POINT_FHD,B43,MATCH(TEMPLATE_SPHERE,TEMPLATE_SPHERE_LIST_FOR_NOTE,0))</f>
        <v>Указывается общая сумма общехозяйственных расходов.</v>
      </c>
      <c r="L43" s="850" t="str">
        <f>IF(I43=0,"",I43)</f>
        <v>2.11</v>
      </c>
      <c r="M43" s="850" t="str">
        <f>IF(J43=0,"",J43)</f>
        <v>Общехозяйственные расходы, в том числе:</v>
      </c>
      <c r="N43" s="850" t="str">
        <f>IF(K43=0,"",K43)</f>
        <v>Указывается общая сумма общехозяйственных расходов.</v>
      </c>
      <c r="O43" s="964" t="s">
        <v>2223</v>
      </c>
      <c r="P43" s="964" t="s">
        <v>866</v>
      </c>
      <c r="Q43" s="964" t="s">
        <v>2223</v>
      </c>
      <c r="R43" s="964" t="s">
        <v>866</v>
      </c>
      <c r="S43" s="964"/>
      <c r="T43" s="849" t="s">
        <v>2224</v>
      </c>
      <c r="U43" s="849" t="s">
        <v>2224</v>
      </c>
      <c r="V43" s="849" t="s">
        <v>2224</v>
      </c>
      <c r="W43" s="849" t="s">
        <v>2224</v>
      </c>
      <c r="X43" s="849"/>
      <c r="Y43" s="1007"/>
      <c r="Z43" s="852" t="s">
        <v>2225</v>
      </c>
      <c r="AA43" s="852" t="s">
        <v>2225</v>
      </c>
      <c r="AB43" s="852" t="s">
        <v>2225</v>
      </c>
      <c r="AC43" s="852" t="s">
        <v>2225</v>
      </c>
      <c r="AD43" s="852"/>
    </row>
    <row customHeight="1" ht="27">
      <c r="A44" s="851"/>
      <c r="B44" s="905">
        <v>27</v>
      </c>
      <c r="C44" s="849" t="s">
        <v>2226</v>
      </c>
      <c r="D44" s="974"/>
      <c r="E44" s="849"/>
      <c r="F44" s="849"/>
      <c r="G44" s="849"/>
      <c r="H44" s="897"/>
      <c r="I44" s="1012" t="str">
        <f>INDEX(TEMPLATE_NUMBER_POINT_FHD,B44,MATCH(TEMPLATE_SPHERE,TEMPLATE_SPHERE_LIST_FOR_NOTE,0))</f>
        <v>2.11.1</v>
      </c>
      <c r="J44" s="1012" t="str">
        <f>INDEX(TEMPLATE_DATA_POINT_FHD,B44,MATCH(TEMPLATE_SPHERE,TEMPLATE_SPHERE_LIST_FOR_NOTE,0))</f>
        <v>Расходы на текущий ремонт</v>
      </c>
      <c r="K44" s="1012" t="str">
        <f>INDEX(TEMPLATE_NOTE_POINT_FHD,B44,MATCH(TEMPLATE_SPHERE,TEMPLATE_SPHERE_LIST_FOR_NOTE,0))</f>
        <v>Указываются расходы на текущий ремонт, отнесенные к общехозяйственным расходам.</v>
      </c>
      <c r="L44" s="850" t="str">
        <f>IF(I44=0,"",I44)</f>
        <v>2.11.1</v>
      </c>
      <c r="M44" s="850" t="str">
        <f>IF(J44=0,"",J44)</f>
        <v>Расходы на текущий ремонт</v>
      </c>
      <c r="N44" s="850" t="str">
        <f>IF(K44=0,"",K44)</f>
        <v>Указываются расходы на текущий ремонт, отнесенные к общехозяйственным расходам.</v>
      </c>
      <c r="O44" s="964" t="s">
        <v>2227</v>
      </c>
      <c r="P44" s="964" t="s">
        <v>2228</v>
      </c>
      <c r="Q44" s="964" t="s">
        <v>2227</v>
      </c>
      <c r="R44" s="964" t="s">
        <v>2228</v>
      </c>
      <c r="S44" s="964"/>
      <c r="T44" s="849" t="s">
        <v>2217</v>
      </c>
      <c r="U44" s="849" t="s">
        <v>2217</v>
      </c>
      <c r="V44" s="849" t="s">
        <v>2217</v>
      </c>
      <c r="W44" s="849" t="s">
        <v>2217</v>
      </c>
      <c r="X44" s="849"/>
      <c r="Y44" s="1007"/>
      <c r="Z44" s="852" t="s">
        <v>2229</v>
      </c>
      <c r="AA44" s="852" t="s">
        <v>2229</v>
      </c>
      <c r="AB44" s="852" t="s">
        <v>2229</v>
      </c>
      <c r="AC44" s="852" t="s">
        <v>2229</v>
      </c>
      <c r="AD44" s="852"/>
    </row>
    <row customHeight="1" ht="27">
      <c r="A45" s="851"/>
      <c r="B45" s="905">
        <v>28</v>
      </c>
      <c r="C45" s="849" t="s">
        <v>2230</v>
      </c>
      <c r="D45" s="974"/>
      <c r="E45" s="849"/>
      <c r="F45" s="849"/>
      <c r="G45" s="849"/>
      <c r="H45" s="897"/>
      <c r="I45" s="1012" t="str">
        <f>INDEX(TEMPLATE_NUMBER_POINT_FHD,B45,MATCH(TEMPLATE_SPHERE,TEMPLATE_SPHERE_LIST_FOR_NOTE,0))</f>
        <v>2.11.2</v>
      </c>
      <c r="J45" s="1012" t="str">
        <f>INDEX(TEMPLATE_DATA_POINT_FHD,B45,MATCH(TEMPLATE_SPHERE,TEMPLATE_SPHERE_LIST_FOR_NOTE,0))</f>
        <v>Расходы на капитальный ремонт</v>
      </c>
      <c r="K45" s="1012" t="str">
        <f>INDEX(TEMPLATE_NOTE_POINT_FHD,B45,MATCH(TEMPLATE_SPHERE,TEMPLATE_SPHERE_LIST_FOR_NOTE,0))</f>
        <v>Указываются расходы на капитальный ремонт, отнесенные к общехозяйственным расходам.</v>
      </c>
      <c r="L45" s="850" t="str">
        <f>IF(I45=0,"",I45)</f>
        <v>2.11.2</v>
      </c>
      <c r="M45" s="850" t="str">
        <f>IF(J45=0,"",J45)</f>
        <v>Расходы на капитальный ремонт</v>
      </c>
      <c r="N45" s="850" t="str">
        <f>IF(K45=0,"",K45)</f>
        <v>Указываются расходы на капитальный ремонт, отнесенные к общехозяйственным расходам.</v>
      </c>
      <c r="O45" s="964" t="s">
        <v>2231</v>
      </c>
      <c r="P45" s="964" t="s">
        <v>2232</v>
      </c>
      <c r="Q45" s="964" t="s">
        <v>2231</v>
      </c>
      <c r="R45" s="964" t="s">
        <v>2232</v>
      </c>
      <c r="S45" s="964"/>
      <c r="T45" s="849" t="s">
        <v>2221</v>
      </c>
      <c r="U45" s="849" t="s">
        <v>2221</v>
      </c>
      <c r="V45" s="849" t="s">
        <v>2221</v>
      </c>
      <c r="W45" s="849" t="s">
        <v>2221</v>
      </c>
      <c r="X45" s="849"/>
      <c r="Y45" s="1007"/>
      <c r="Z45" s="852" t="s">
        <v>2233</v>
      </c>
      <c r="AA45" s="852" t="s">
        <v>2233</v>
      </c>
      <c r="AB45" s="852" t="s">
        <v>2233</v>
      </c>
      <c r="AC45" s="852" t="s">
        <v>2233</v>
      </c>
      <c r="AD45" s="852"/>
    </row>
    <row customHeight="1" ht="54">
      <c r="A46" s="851"/>
      <c r="B46" s="905">
        <v>29</v>
      </c>
      <c r="C46" s="849">
        <v>15</v>
      </c>
      <c r="D46" s="974"/>
      <c r="E46" s="849"/>
      <c r="F46" s="849"/>
      <c r="G46" s="849"/>
      <c r="H46" s="897"/>
      <c r="I46" s="1012" t="str">
        <f>INDEX(TEMPLATE_NUMBER_POINT_FHD,B46,MATCH(TEMPLATE_SPHERE,TEMPLATE_SPHERE_LIST_FOR_NOTE,0))</f>
        <v>2.12</v>
      </c>
      <c r="J46" s="1012" t="str">
        <f>INDEX(TEMPLATE_DATA_POINT_FHD,B46,MATCH(TEMPLATE_SPHERE,TEMPLATE_SPHERE_LIST_FOR_NOTE,0))</f>
        <v>Расходы на капитальный и текущий ремонт основных средств</v>
      </c>
      <c r="K46" s="1012"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50" t="str">
        <f>IF(I46=0,"",I46)</f>
        <v>2.12</v>
      </c>
      <c r="M46" s="850" t="str">
        <f>IF(J46=0,"",J46)</f>
        <v>Расходы на капитальный и текущий ремонт основных средств</v>
      </c>
      <c r="N46" s="850"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4" t="s">
        <v>2234</v>
      </c>
      <c r="P46" s="964" t="s">
        <v>2212</v>
      </c>
      <c r="Q46" s="964" t="s">
        <v>2234</v>
      </c>
      <c r="R46" s="964" t="s">
        <v>2212</v>
      </c>
      <c r="S46" s="964"/>
      <c r="T46" s="849" t="s">
        <v>2235</v>
      </c>
      <c r="U46" s="849" t="s">
        <v>2235</v>
      </c>
      <c r="V46" s="849" t="s">
        <v>2235</v>
      </c>
      <c r="W46" s="849" t="s">
        <v>2235</v>
      </c>
      <c r="X46" s="849"/>
      <c r="Y46" s="1007"/>
      <c r="Z46" s="852" t="s">
        <v>2236</v>
      </c>
      <c r="AA46" s="852" t="s">
        <v>2237</v>
      </c>
      <c r="AB46" s="852" t="s">
        <v>2237</v>
      </c>
      <c r="AC46" s="852" t="s">
        <v>2237</v>
      </c>
      <c r="AD46" s="852"/>
    </row>
    <row customHeight="1" ht="54">
      <c r="A47" s="851"/>
      <c r="B47" s="905">
        <v>30</v>
      </c>
      <c r="C47" s="849" t="s">
        <v>2238</v>
      </c>
      <c r="D47" s="974"/>
      <c r="E47" s="849"/>
      <c r="F47" s="849"/>
      <c r="G47" s="849"/>
      <c r="H47" s="897"/>
      <c r="I47" s="1012" t="str">
        <f>INDEX(TEMPLATE_NUMBER_POINT_FHD,B47,MATCH(TEMPLATE_SPHERE,TEMPLATE_SPHERE_LIST_FOR_NOTE,0))</f>
        <v>2.12.1</v>
      </c>
      <c r="J47" s="1012"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2">
        <f>INDEX(TEMPLATE_NOTE_POINT_FHD,B47,MATCH(TEMPLATE_SPHERE,TEMPLATE_SPHERE_LIST_FOR_NOTE,0))</f>
        <v>0</v>
      </c>
      <c r="L47" s="850" t="str">
        <f>IF(I47=0,"",I47)</f>
        <v>2.12.1</v>
      </c>
      <c r="M47" s="850"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50" t="str">
        <f>IF(K47=0,"",K47)</f>
        <v/>
      </c>
      <c r="O47" s="964" t="s">
        <v>2239</v>
      </c>
      <c r="P47" s="964" t="s">
        <v>2216</v>
      </c>
      <c r="Q47" s="964" t="s">
        <v>2239</v>
      </c>
      <c r="R47" s="964" t="s">
        <v>2216</v>
      </c>
      <c r="S47" s="964"/>
      <c r="T47" s="849" t="s">
        <v>2240</v>
      </c>
      <c r="U47" s="849" t="s">
        <v>2240</v>
      </c>
      <c r="V47" s="849" t="s">
        <v>2240</v>
      </c>
      <c r="W47" s="849" t="s">
        <v>2240</v>
      </c>
      <c r="X47" s="849"/>
      <c r="Y47" s="1007"/>
      <c r="Z47" s="852"/>
      <c r="AA47" s="855"/>
      <c r="AB47" s="855"/>
      <c r="AC47" s="855"/>
      <c r="AD47" s="852"/>
    </row>
    <row customHeight="1" ht="54">
      <c r="A48" s="851"/>
      <c r="B48" s="905">
        <v>31</v>
      </c>
      <c r="C48" s="849">
        <v>16</v>
      </c>
      <c r="D48" s="974"/>
      <c r="E48" s="849"/>
      <c r="F48" s="849"/>
      <c r="G48" s="849"/>
      <c r="H48" s="897"/>
      <c r="I48" s="1012">
        <f>INDEX(TEMPLATE_NUMBER_POINT_FHD,B48,MATCH(TEMPLATE_SPHERE,TEMPLATE_SPHERE_LIST_FOR_NOTE,0))</f>
        <v>0</v>
      </c>
      <c r="J48" s="1012">
        <f>INDEX(TEMPLATE_DATA_POINT_FHD,B48,MATCH(TEMPLATE_SPHERE,TEMPLATE_SPHERE_LIST_FOR_NOTE,0))</f>
        <v>0</v>
      </c>
      <c r="K48" s="1012">
        <f>INDEX(TEMPLATE_NOTE_POINT_FHD,B48,MATCH(TEMPLATE_SPHERE,TEMPLATE_SPHERE_LIST_FOR_NOTE,0))</f>
        <v>0</v>
      </c>
      <c r="L48" s="850" t="str">
        <f>IF(I48=0,"",I48)</f>
        <v/>
      </c>
      <c r="M48" s="850" t="str">
        <f>IF(J48=0,"",J48)</f>
        <v/>
      </c>
      <c r="N48" s="850" t="str">
        <f>IF(K48=0,"",K48)</f>
        <v/>
      </c>
      <c r="O48" s="964"/>
      <c r="P48" s="964" t="s">
        <v>2223</v>
      </c>
      <c r="Q48" s="964" t="s">
        <v>2241</v>
      </c>
      <c r="R48" s="964" t="s">
        <v>2223</v>
      </c>
      <c r="S48" s="964"/>
      <c r="T48" s="849"/>
      <c r="U48" s="849" t="s">
        <v>2242</v>
      </c>
      <c r="V48" s="849" t="s">
        <v>2243</v>
      </c>
      <c r="W48" s="849" t="s">
        <v>2243</v>
      </c>
      <c r="X48" s="849"/>
      <c r="Y48" s="1007"/>
      <c r="Z48" s="852"/>
      <c r="AA48" s="855" t="s">
        <v>2237</v>
      </c>
      <c r="AB48" s="855" t="s">
        <v>2237</v>
      </c>
      <c r="AC48" s="855" t="s">
        <v>2237</v>
      </c>
      <c r="AD48" s="852"/>
    </row>
    <row customHeight="1" ht="54">
      <c r="A49" s="851"/>
      <c r="B49" s="905">
        <v>32</v>
      </c>
      <c r="C49" s="849" t="s">
        <v>2244</v>
      </c>
      <c r="D49" s="974"/>
      <c r="E49" s="849"/>
      <c r="F49" s="849"/>
      <c r="G49" s="849"/>
      <c r="H49" s="897"/>
      <c r="I49" s="1012">
        <f>INDEX(TEMPLATE_NUMBER_POINT_FHD,B49,MATCH(TEMPLATE_SPHERE,TEMPLATE_SPHERE_LIST_FOR_NOTE,0))</f>
        <v>0</v>
      </c>
      <c r="J49" s="1012">
        <f>INDEX(TEMPLATE_DATA_POINT_FHD,B49,MATCH(TEMPLATE_SPHERE,TEMPLATE_SPHERE_LIST_FOR_NOTE,0))</f>
        <v>0</v>
      </c>
      <c r="K49" s="1012">
        <f>INDEX(TEMPLATE_NOTE_POINT_FHD,B49,MATCH(TEMPLATE_SPHERE,TEMPLATE_SPHERE_LIST_FOR_NOTE,0))</f>
        <v>0</v>
      </c>
      <c r="L49" s="850" t="str">
        <f>IF(I49=0,"",I49)</f>
        <v/>
      </c>
      <c r="M49" s="850" t="str">
        <f>IF(J49=0,"",J49)</f>
        <v/>
      </c>
      <c r="N49" s="850" t="str">
        <f>IF(K49=0,"",K49)</f>
        <v/>
      </c>
      <c r="O49" s="964"/>
      <c r="P49" s="964" t="s">
        <v>2227</v>
      </c>
      <c r="Q49" s="964" t="s">
        <v>2245</v>
      </c>
      <c r="R49" s="964" t="s">
        <v>2227</v>
      </c>
      <c r="S49" s="964"/>
      <c r="T49" s="849"/>
      <c r="U49" s="849" t="s">
        <v>2240</v>
      </c>
      <c r="V49" s="849" t="s">
        <v>2240</v>
      </c>
      <c r="W49" s="849" t="s">
        <v>2240</v>
      </c>
      <c r="X49" s="849"/>
      <c r="Y49" s="1007"/>
      <c r="Z49" s="852"/>
      <c r="AA49" s="855"/>
      <c r="AB49" s="855"/>
      <c r="AC49" s="855"/>
      <c r="AD49" s="852"/>
    </row>
    <row customHeight="1" ht="126">
      <c r="A50" s="851"/>
      <c r="B50" s="905">
        <v>33</v>
      </c>
      <c r="C50" s="849">
        <v>17</v>
      </c>
      <c r="D50" s="974"/>
      <c r="E50" s="849"/>
      <c r="F50" s="849"/>
      <c r="G50" s="849"/>
      <c r="H50" s="897"/>
      <c r="I50" s="1012" t="str">
        <f>INDEX(TEMPLATE_NUMBER_POINT_FHD,B50,MATCH(TEMPLATE_SPHERE,TEMPLATE_SPHERE_LIST_FOR_NOTE,0))</f>
        <v>2.13</v>
      </c>
      <c r="J50" s="1012"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12"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50" t="str">
        <f>IF(I50=0,"",I50)</f>
        <v>2.13</v>
      </c>
      <c r="M50" s="850"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50"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64" t="s">
        <v>2241</v>
      </c>
      <c r="P50" s="964" t="s">
        <v>2234</v>
      </c>
      <c r="Q50" s="964" t="s">
        <v>2246</v>
      </c>
      <c r="R50" s="964" t="s">
        <v>2234</v>
      </c>
      <c r="S50" s="964"/>
      <c r="T50" s="849" t="s">
        <v>2247</v>
      </c>
      <c r="U50" s="849" t="s">
        <v>2248</v>
      </c>
      <c r="V50" s="849" t="s">
        <v>2249</v>
      </c>
      <c r="W50" s="849" t="s">
        <v>2250</v>
      </c>
      <c r="X50" s="849"/>
      <c r="Y50" s="1007"/>
      <c r="Z50" s="852" t="s">
        <v>2251</v>
      </c>
      <c r="AA50" s="855" t="s">
        <v>2252</v>
      </c>
      <c r="AB50" s="855" t="s">
        <v>2252</v>
      </c>
      <c r="AC50" s="855" t="s">
        <v>2252</v>
      </c>
      <c r="AD50" s="852"/>
    </row>
    <row customHeight="1" ht="27">
      <c r="A51" s="851"/>
      <c r="B51" s="905">
        <v>34</v>
      </c>
      <c r="C51" s="849" t="s">
        <v>2253</v>
      </c>
      <c r="D51" s="974"/>
      <c r="E51" s="849"/>
      <c r="F51" s="849"/>
      <c r="G51" s="849"/>
      <c r="H51" s="897"/>
      <c r="I51" s="1012" t="str">
        <f>INDEX(TEMPLATE_NUMBER_POINT_FHD,B51,MATCH(TEMPLATE_SPHERE,TEMPLATE_SPHERE_LIST_FOR_NOTE,0))</f>
        <v>3</v>
      </c>
      <c r="J51" s="1012"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12">
        <f>INDEX(TEMPLATE_NOTE_POINT_FHD,B51,MATCH(TEMPLATE_SPHERE,TEMPLATE_SPHERE_LIST_FOR_NOTE,0))</f>
        <v>0</v>
      </c>
      <c r="L51" s="850" t="str">
        <f>IF(I51=0,"",I51)</f>
        <v>3</v>
      </c>
      <c r="M51" s="850" t="str">
        <f>IF(J51=0,"",J51)</f>
        <v>Валовая прибыль (убытки) от реализации товаров и оказания услуг по регулируемому виду деятельности</v>
      </c>
      <c r="N51" s="850" t="str">
        <f>IF(K51=0,"",K51)</f>
        <v/>
      </c>
      <c r="O51" s="964" t="s">
        <v>91</v>
      </c>
      <c r="P51" s="964"/>
      <c r="Q51" s="964"/>
      <c r="R51" s="964"/>
      <c r="S51" s="964"/>
      <c r="T51" s="849" t="s">
        <v>2254</v>
      </c>
      <c r="U51" s="849"/>
      <c r="V51" s="849"/>
      <c r="W51" s="849"/>
      <c r="X51" s="849"/>
      <c r="Y51" s="1007"/>
      <c r="Z51" s="852"/>
      <c r="AA51" s="855"/>
      <c r="AB51" s="855"/>
      <c r="AC51" s="855"/>
      <c r="AD51" s="852"/>
    </row>
    <row customHeight="1" ht="36">
      <c r="A52" s="851"/>
      <c r="B52" s="905">
        <v>35</v>
      </c>
      <c r="C52" s="849" t="s">
        <v>2146</v>
      </c>
      <c r="D52" s="974" t="s">
        <v>2146</v>
      </c>
      <c r="E52" s="849" t="s">
        <v>2146</v>
      </c>
      <c r="F52" s="849" t="s">
        <v>2146</v>
      </c>
      <c r="G52" s="849"/>
      <c r="H52" s="897"/>
      <c r="I52" s="1012" t="str">
        <f>INDEX(TEMPLATE_NUMBER_POINT_FHD,B52,MATCH(TEMPLATE_SPHERE,TEMPLATE_SPHERE_LIST_FOR_NOTE,0))</f>
        <v>4</v>
      </c>
      <c r="J52" s="1012" t="str">
        <f>INDEX(TEMPLATE_DATA_POINT_FHD,B52,MATCH(TEMPLATE_SPHERE,TEMPLATE_SPHERE_LIST_FOR_NOTE,0))</f>
        <v>Чистая прибыль, полученная от регулируемого вида деятельности, в том числе:</v>
      </c>
      <c r="K52" s="1012" t="str">
        <f>INDEX(TEMPLATE_NOTE_POINT_FHD,B52,MATCH(TEMPLATE_SPHERE,TEMPLATE_SPHERE_LIST_FOR_NOTE,0))</f>
        <v>Указывается общая сумма чистой прибыли, полученной от регулируемого вида деятельности.</v>
      </c>
      <c r="L52" s="850" t="str">
        <f>IF(I52=0,"",I52)</f>
        <v>4</v>
      </c>
      <c r="M52" s="850" t="str">
        <f>IF(J52=0,"",J52)</f>
        <v>Чистая прибыль, полученная от регулируемого вида деятельности, в том числе:</v>
      </c>
      <c r="N52" s="850" t="str">
        <f>IF(K52=0,"",K52)</f>
        <v>Указывается общая сумма чистой прибыли, полученной от регулируемого вида деятельности.</v>
      </c>
      <c r="O52" s="964" t="s">
        <v>92</v>
      </c>
      <c r="P52" s="964" t="s">
        <v>91</v>
      </c>
      <c r="Q52" s="964" t="s">
        <v>91</v>
      </c>
      <c r="R52" s="964" t="s">
        <v>91</v>
      </c>
      <c r="S52" s="964"/>
      <c r="T52" s="849" t="s">
        <v>2255</v>
      </c>
      <c r="U52" s="849" t="s">
        <v>2256</v>
      </c>
      <c r="V52" s="849" t="s">
        <v>2257</v>
      </c>
      <c r="W52" s="849" t="s">
        <v>2258</v>
      </c>
      <c r="X52" s="849"/>
      <c r="Y52" s="1007"/>
      <c r="Z52" s="852" t="s">
        <v>870</v>
      </c>
      <c r="AA52" s="855" t="s">
        <v>870</v>
      </c>
      <c r="AB52" s="855" t="s">
        <v>870</v>
      </c>
      <c r="AC52" s="855" t="s">
        <v>870</v>
      </c>
      <c r="AD52" s="852"/>
    </row>
    <row customHeight="1" ht="36">
      <c r="A53" s="851"/>
      <c r="B53" s="905">
        <v>36</v>
      </c>
      <c r="C53" s="849">
        <v>1</v>
      </c>
      <c r="D53" s="974"/>
      <c r="E53" s="849"/>
      <c r="F53" s="849"/>
      <c r="G53" s="849"/>
      <c r="H53" s="897"/>
      <c r="I53" s="1012" t="str">
        <f>INDEX(TEMPLATE_NUMBER_POINT_FHD,B53,MATCH(TEMPLATE_SPHERE,TEMPLATE_SPHERE_LIST_FOR_NOTE,0))</f>
        <v>4.1</v>
      </c>
      <c r="J53" s="1012"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2">
        <f>INDEX(TEMPLATE_NOTE_POINT_FHD,B53,MATCH(TEMPLATE_SPHERE,TEMPLATE_SPHERE_LIST_FOR_NOTE,0))</f>
        <v>0</v>
      </c>
      <c r="L53" s="850" t="str">
        <f>IF(I53=0,"",I53)</f>
        <v>4.1</v>
      </c>
      <c r="M53" s="850"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50" t="str">
        <f>IF(K53=0,"",K53)</f>
        <v/>
      </c>
      <c r="O53" s="964" t="s">
        <v>874</v>
      </c>
      <c r="P53" s="964" t="s">
        <v>539</v>
      </c>
      <c r="Q53" s="964" t="s">
        <v>539</v>
      </c>
      <c r="R53" s="964" t="s">
        <v>539</v>
      </c>
      <c r="S53" s="964"/>
      <c r="T53" s="849" t="s">
        <v>2259</v>
      </c>
      <c r="U53" s="849" t="s">
        <v>2259</v>
      </c>
      <c r="V53" s="849" t="s">
        <v>2259</v>
      </c>
      <c r="W53" s="849" t="s">
        <v>2259</v>
      </c>
      <c r="X53" s="849"/>
      <c r="Y53" s="1007"/>
      <c r="Z53" s="852"/>
      <c r="AA53" s="855"/>
      <c r="AB53" s="852"/>
      <c r="AC53" s="852"/>
      <c r="AD53" s="852"/>
    </row>
    <row customHeight="1" ht="18">
      <c r="A54" s="851"/>
      <c r="B54" s="905">
        <v>37</v>
      </c>
      <c r="C54" s="849" t="s">
        <v>2152</v>
      </c>
      <c r="D54" s="974" t="s">
        <v>2152</v>
      </c>
      <c r="E54" s="849" t="s">
        <v>2152</v>
      </c>
      <c r="F54" s="849" t="s">
        <v>2152</v>
      </c>
      <c r="G54" s="849"/>
      <c r="H54" s="897"/>
      <c r="I54" s="1012" t="str">
        <f>INDEX(TEMPLATE_NUMBER_POINT_FHD,B54,MATCH(TEMPLATE_SPHERE,TEMPLATE_SPHERE_LIST_FOR_NOTE,0))</f>
        <v>5</v>
      </c>
      <c r="J54" s="1012" t="str">
        <f>INDEX(TEMPLATE_DATA_POINT_FHD,B54,MATCH(TEMPLATE_SPHERE,TEMPLATE_SPHERE_LIST_FOR_NOTE,0))</f>
        <v>Изменение стоимости основных фондов, в том числе:</v>
      </c>
      <c r="K54" s="1012" t="str">
        <f>INDEX(TEMPLATE_NOTE_POINT_FHD,B54,MATCH(TEMPLATE_SPHERE,TEMPLATE_SPHERE_LIST_FOR_NOTE,0))</f>
        <v>Указывается общее изменение стоимости основных фондов.</v>
      </c>
      <c r="L54" s="850" t="str">
        <f>IF(I54=0,"",I54)</f>
        <v>5</v>
      </c>
      <c r="M54" s="850" t="str">
        <f>IF(J54=0,"",J54)</f>
        <v>Изменение стоимости основных фондов, в том числе:</v>
      </c>
      <c r="N54" s="850" t="str">
        <f>IF(K54=0,"",K54)</f>
        <v>Указывается общее изменение стоимости основных фондов.</v>
      </c>
      <c r="O54" s="964" t="s">
        <v>116</v>
      </c>
      <c r="P54" s="964" t="s">
        <v>92</v>
      </c>
      <c r="Q54" s="964" t="s">
        <v>92</v>
      </c>
      <c r="R54" s="964" t="s">
        <v>92</v>
      </c>
      <c r="S54" s="964"/>
      <c r="T54" s="849" t="s">
        <v>872</v>
      </c>
      <c r="U54" s="849" t="s">
        <v>872</v>
      </c>
      <c r="V54" s="849" t="s">
        <v>872</v>
      </c>
      <c r="W54" s="849" t="s">
        <v>872</v>
      </c>
      <c r="X54" s="849"/>
      <c r="Y54" s="1007"/>
      <c r="Z54" s="852" t="s">
        <v>873</v>
      </c>
      <c r="AA54" s="852" t="s">
        <v>873</v>
      </c>
      <c r="AB54" s="852" t="s">
        <v>873</v>
      </c>
      <c r="AC54" s="852" t="s">
        <v>873</v>
      </c>
      <c r="AD54" s="852"/>
    </row>
    <row customHeight="1" ht="36">
      <c r="A55" s="851"/>
      <c r="B55" s="905">
        <v>38</v>
      </c>
      <c r="C55" s="849">
        <v>1</v>
      </c>
      <c r="D55" s="974"/>
      <c r="E55" s="849"/>
      <c r="F55" s="849"/>
      <c r="G55" s="849"/>
      <c r="H55" s="897"/>
      <c r="I55" s="1012" t="str">
        <f>INDEX(TEMPLATE_NUMBER_POINT_FHD,B55,MATCH(TEMPLATE_SPHERE,TEMPLATE_SPHERE_LIST_FOR_NOTE,0))</f>
        <v>5.1</v>
      </c>
      <c r="J55" s="1012" t="str">
        <f>INDEX(TEMPLATE_DATA_POINT_FHD,B55,MATCH(TEMPLATE_SPHERE,TEMPLATE_SPHERE_LIST_FOR_NOTE,0))</f>
        <v>Изменение стоимости основных фондов за счет:</v>
      </c>
      <c r="K55" s="1012"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50" t="str">
        <f>IF(I55=0,"",I55)</f>
        <v>5.1</v>
      </c>
      <c r="M55" s="850" t="str">
        <f>IF(J55=0,"",J55)</f>
        <v>Изменение стоимости основных фондов за счет:</v>
      </c>
      <c r="N55" s="850" t="str">
        <f>IF(K55=0,"",K55)</f>
        <v>Указываются общее изменение стоимости основных фондов за счет их ввода в эксплуатацию и вывода из эксплуатации.</v>
      </c>
      <c r="O55" s="964" t="s">
        <v>528</v>
      </c>
      <c r="P55" s="964" t="s">
        <v>874</v>
      </c>
      <c r="Q55" s="964" t="s">
        <v>874</v>
      </c>
      <c r="R55" s="964" t="s">
        <v>874</v>
      </c>
      <c r="S55" s="964"/>
      <c r="T55" s="849" t="s">
        <v>2260</v>
      </c>
      <c r="U55" s="849" t="s">
        <v>2261</v>
      </c>
      <c r="V55" s="849" t="s">
        <v>2261</v>
      </c>
      <c r="W55" s="849" t="s">
        <v>2261</v>
      </c>
      <c r="X55" s="849"/>
      <c r="Y55" s="1007"/>
      <c r="Z55" s="852" t="s">
        <v>2262</v>
      </c>
      <c r="AA55" s="852" t="s">
        <v>2262</v>
      </c>
      <c r="AB55" s="852" t="s">
        <v>2262</v>
      </c>
      <c r="AC55" s="852" t="s">
        <v>2262</v>
      </c>
      <c r="AD55" s="852"/>
    </row>
    <row customHeight="1" ht="27">
      <c r="A56" s="851"/>
      <c r="B56" s="905">
        <v>39</v>
      </c>
      <c r="C56" s="849" t="s">
        <v>1143</v>
      </c>
      <c r="D56" s="974"/>
      <c r="E56" s="849"/>
      <c r="F56" s="849"/>
      <c r="G56" s="849"/>
      <c r="H56" s="897"/>
      <c r="I56" s="1012" t="str">
        <f>INDEX(TEMPLATE_NUMBER_POINT_FHD,B56,MATCH(TEMPLATE_SPHERE,TEMPLATE_SPHERE_LIST_FOR_NOTE,0))</f>
        <v>5.1.1</v>
      </c>
      <c r="J56" s="1012" t="str">
        <f>INDEX(TEMPLATE_DATA_POINT_FHD,B56,MATCH(TEMPLATE_SPHERE,TEMPLATE_SPHERE_LIST_FOR_NOTE,0))</f>
        <v>Изменения стоимости основных фондов за счет их ввода в эксплуатацию</v>
      </c>
      <c r="K56" s="1012" t="str">
        <f>INDEX(TEMPLATE_NOTE_POINT_FHD,B56,MATCH(TEMPLATE_SPHERE,TEMPLATE_SPHERE_LIST_FOR_NOTE,0))</f>
        <v>Указываются изменение стоимости основных фондов за счет их ввода в эксплуатацию.</v>
      </c>
      <c r="L56" s="850" t="str">
        <f>IF(I56=0,"",I56)</f>
        <v>5.1.1</v>
      </c>
      <c r="M56" s="850" t="str">
        <f>IF(J56=0,"",J56)</f>
        <v>Изменения стоимости основных фондов за счет их ввода в эксплуатацию</v>
      </c>
      <c r="N56" s="850" t="str">
        <f>IF(K56=0,"",K56)</f>
        <v>Указываются изменение стоимости основных фондов за счет их ввода в эксплуатацию.</v>
      </c>
      <c r="O56" s="964" t="s">
        <v>1272</v>
      </c>
      <c r="P56" s="964" t="s">
        <v>877</v>
      </c>
      <c r="Q56" s="964" t="s">
        <v>877</v>
      </c>
      <c r="R56" s="964" t="s">
        <v>877</v>
      </c>
      <c r="S56" s="964"/>
      <c r="T56" s="849" t="s">
        <v>2263</v>
      </c>
      <c r="U56" s="849" t="s">
        <v>2264</v>
      </c>
      <c r="V56" s="849" t="s">
        <v>2264</v>
      </c>
      <c r="W56" s="849" t="s">
        <v>2264</v>
      </c>
      <c r="X56" s="849"/>
      <c r="Y56" s="1007"/>
      <c r="Z56" s="852" t="s">
        <v>879</v>
      </c>
      <c r="AA56" s="852" t="s">
        <v>879</v>
      </c>
      <c r="AB56" s="852" t="s">
        <v>879</v>
      </c>
      <c r="AC56" s="852" t="s">
        <v>879</v>
      </c>
      <c r="AD56" s="852"/>
    </row>
    <row customHeight="1" ht="27">
      <c r="A57" s="851"/>
      <c r="B57" s="905">
        <v>40</v>
      </c>
      <c r="C57" s="849" t="s">
        <v>1145</v>
      </c>
      <c r="D57" s="974"/>
      <c r="E57" s="849"/>
      <c r="F57" s="849"/>
      <c r="G57" s="849"/>
      <c r="H57" s="897"/>
      <c r="I57" s="1012" t="str">
        <f>INDEX(TEMPLATE_NUMBER_POINT_FHD,B57,MATCH(TEMPLATE_SPHERE,TEMPLATE_SPHERE_LIST_FOR_NOTE,0))</f>
        <v>5.1.2</v>
      </c>
      <c r="J57" s="1012" t="str">
        <f>INDEX(TEMPLATE_DATA_POINT_FHD,B57,MATCH(TEMPLATE_SPHERE,TEMPLATE_SPHERE_LIST_FOR_NOTE,0))</f>
        <v>Изменения стоимости основных фондов за счет их вывода в эксплуатацию</v>
      </c>
      <c r="K57" s="1012" t="str">
        <f>INDEX(TEMPLATE_NOTE_POINT_FHD,B57,MATCH(TEMPLATE_SPHERE,TEMPLATE_SPHERE_LIST_FOR_NOTE,0))</f>
        <v>Указываются изменение стоимости основных фондов за счет их вывода из эксплуатации.</v>
      </c>
      <c r="L57" s="850" t="str">
        <f>IF(I57=0,"",I57)</f>
        <v>5.1.2</v>
      </c>
      <c r="M57" s="850" t="str">
        <f>IF(J57=0,"",J57)</f>
        <v>Изменения стоимости основных фондов за счет их вывода в эксплуатацию</v>
      </c>
      <c r="N57" s="850" t="str">
        <f>IF(K57=0,"",K57)</f>
        <v>Указываются изменение стоимости основных фондов за счет их вывода из эксплуатации.</v>
      </c>
      <c r="O57" s="964" t="s">
        <v>2265</v>
      </c>
      <c r="P57" s="964" t="s">
        <v>880</v>
      </c>
      <c r="Q57" s="964" t="s">
        <v>880</v>
      </c>
      <c r="R57" s="964" t="s">
        <v>880</v>
      </c>
      <c r="S57" s="964"/>
      <c r="T57" s="849" t="s">
        <v>2266</v>
      </c>
      <c r="U57" s="849" t="s">
        <v>2267</v>
      </c>
      <c r="V57" s="849" t="s">
        <v>2267</v>
      </c>
      <c r="W57" s="849" t="s">
        <v>2267</v>
      </c>
      <c r="X57" s="849"/>
      <c r="Y57" s="1007"/>
      <c r="Z57" s="852" t="s">
        <v>882</v>
      </c>
      <c r="AA57" s="852" t="s">
        <v>882</v>
      </c>
      <c r="AB57" s="852" t="s">
        <v>882</v>
      </c>
      <c r="AC57" s="852" t="s">
        <v>882</v>
      </c>
      <c r="AD57" s="852"/>
    </row>
    <row customHeight="1" ht="18">
      <c r="A58" s="851"/>
      <c r="B58" s="905">
        <v>41</v>
      </c>
      <c r="C58" s="849">
        <v>2</v>
      </c>
      <c r="D58" s="974"/>
      <c r="E58" s="849"/>
      <c r="F58" s="849"/>
      <c r="G58" s="849"/>
      <c r="H58" s="897"/>
      <c r="I58" s="1012" t="str">
        <f>INDEX(TEMPLATE_NUMBER_POINT_FHD,B58,MATCH(TEMPLATE_SPHERE,TEMPLATE_SPHERE_LIST_FOR_NOTE,0))</f>
        <v>5.2</v>
      </c>
      <c r="J58" s="1012" t="str">
        <f>INDEX(TEMPLATE_DATA_POINT_FHD,B58,MATCH(TEMPLATE_SPHERE,TEMPLATE_SPHERE_LIST_FOR_NOTE,0))</f>
        <v>Изменение стоимости основных фондов за счет их переоценки</v>
      </c>
      <c r="K58" s="1012">
        <f>INDEX(TEMPLATE_NOTE_POINT_FHD,B58,MATCH(TEMPLATE_SPHERE,TEMPLATE_SPHERE_LIST_FOR_NOTE,0))</f>
        <v>0</v>
      </c>
      <c r="L58" s="850" t="str">
        <f>IF(I58=0,"",I58)</f>
        <v>5.2</v>
      </c>
      <c r="M58" s="850" t="str">
        <f>IF(J58=0,"",J58)</f>
        <v>Изменение стоимости основных фондов за счет их переоценки</v>
      </c>
      <c r="N58" s="850" t="str">
        <f>IF(K58=0,"",K58)</f>
        <v/>
      </c>
      <c r="O58" s="964" t="s">
        <v>530</v>
      </c>
      <c r="P58" s="964" t="s">
        <v>917</v>
      </c>
      <c r="Q58" s="964" t="s">
        <v>917</v>
      </c>
      <c r="R58" s="964" t="s">
        <v>917</v>
      </c>
      <c r="S58" s="964"/>
      <c r="T58" s="849" t="s">
        <v>2268</v>
      </c>
      <c r="U58" s="849" t="s">
        <v>2268</v>
      </c>
      <c r="V58" s="849" t="s">
        <v>2268</v>
      </c>
      <c r="W58" s="849" t="s">
        <v>2268</v>
      </c>
      <c r="X58" s="849"/>
      <c r="Y58" s="1007"/>
      <c r="Z58" s="852"/>
      <c r="AA58" s="855"/>
      <c r="AB58" s="852"/>
      <c r="AC58" s="852"/>
      <c r="AD58" s="852"/>
    </row>
    <row customHeight="1" ht="36">
      <c r="A59" s="851"/>
      <c r="B59" s="905">
        <v>42</v>
      </c>
      <c r="C59" s="849">
        <v>3</v>
      </c>
      <c r="D59" s="974" t="s">
        <v>2253</v>
      </c>
      <c r="E59" s="849" t="s">
        <v>2253</v>
      </c>
      <c r="F59" s="849" t="s">
        <v>2253</v>
      </c>
      <c r="G59" s="849"/>
      <c r="H59" s="897"/>
      <c r="I59" s="1012">
        <f>INDEX(TEMPLATE_NUMBER_POINT_FHD,B59,MATCH(TEMPLATE_SPHERE,TEMPLATE_SPHERE_LIST_FOR_NOTE,0))</f>
        <v>0</v>
      </c>
      <c r="J59" s="1012">
        <f>INDEX(TEMPLATE_DATA_POINT_FHD,B59,MATCH(TEMPLATE_SPHERE,TEMPLATE_SPHERE_LIST_FOR_NOTE,0))</f>
        <v>0</v>
      </c>
      <c r="K59" s="1012">
        <f>INDEX(TEMPLATE_NOTE_POINT_FHD,B59,MATCH(TEMPLATE_SPHERE,TEMPLATE_SPHERE_LIST_FOR_NOTE,0))</f>
        <v>0</v>
      </c>
      <c r="L59" s="850" t="str">
        <f>IF(I59=0,"",I59)</f>
        <v/>
      </c>
      <c r="M59" s="850" t="str">
        <f>IF(J59=0,"",J59)</f>
        <v/>
      </c>
      <c r="N59" s="850" t="str">
        <f>IF(K59=0,"",K59)</f>
        <v/>
      </c>
      <c r="O59" s="964"/>
      <c r="P59" s="964" t="s">
        <v>116</v>
      </c>
      <c r="Q59" s="964" t="s">
        <v>116</v>
      </c>
      <c r="R59" s="964" t="s">
        <v>116</v>
      </c>
      <c r="S59" s="964"/>
      <c r="T59" s="849"/>
      <c r="U59" s="849" t="s">
        <v>2269</v>
      </c>
      <c r="V59" s="849" t="s">
        <v>2270</v>
      </c>
      <c r="W59" s="849" t="s">
        <v>2271</v>
      </c>
      <c r="X59" s="849"/>
      <c r="Y59" s="1007"/>
      <c r="Z59" s="852"/>
      <c r="AA59" s="855"/>
      <c r="AB59" s="852"/>
      <c r="AC59" s="852"/>
      <c r="AD59" s="852"/>
    </row>
    <row customHeight="1" ht="81">
      <c r="A60" s="851"/>
      <c r="B60" s="905">
        <v>43</v>
      </c>
      <c r="C60" s="849" t="s">
        <v>2272</v>
      </c>
      <c r="D60" s="974" t="s">
        <v>2272</v>
      </c>
      <c r="E60" s="849" t="s">
        <v>2272</v>
      </c>
      <c r="F60" s="849" t="s">
        <v>2272</v>
      </c>
      <c r="G60" s="849"/>
      <c r="H60" s="897"/>
      <c r="I60" s="1012" t="str">
        <f>INDEX(TEMPLATE_NUMBER_POINT_FHD,B60,MATCH(TEMPLATE_SPHERE,TEMPLATE_SPHERE_LIST_FOR_NOTE,0))</f>
        <v>6</v>
      </c>
      <c r="J60" s="1012"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2"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50" t="str">
        <f>IF(I60=0,"",I60)</f>
        <v>6</v>
      </c>
      <c r="M60" s="850" t="str">
        <f>IF(J60=0,"",J60)</f>
        <v>Годовая бухгалтерская (финансовая) отчетность, включая бухгалтерский баланс и приложения к нему</v>
      </c>
      <c r="N60" s="850"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64" t="s">
        <v>93</v>
      </c>
      <c r="P60" s="964" t="s">
        <v>93</v>
      </c>
      <c r="Q60" s="964" t="s">
        <v>93</v>
      </c>
      <c r="R60" s="964" t="s">
        <v>93</v>
      </c>
      <c r="S60" s="964"/>
      <c r="T60" s="849" t="s">
        <v>886</v>
      </c>
      <c r="U60" s="849" t="s">
        <v>886</v>
      </c>
      <c r="V60" s="849" t="s">
        <v>886</v>
      </c>
      <c r="W60" s="849" t="s">
        <v>886</v>
      </c>
      <c r="X60" s="849"/>
      <c r="Y60" s="1007"/>
      <c r="Z60" s="852" t="s">
        <v>2273</v>
      </c>
      <c r="AA60" s="855" t="s">
        <v>2274</v>
      </c>
      <c r="AB60" s="852" t="s">
        <v>2275</v>
      </c>
      <c r="AC60" s="852" t="s">
        <v>2274</v>
      </c>
      <c r="AD60" s="852"/>
    </row>
    <row customHeight="1" ht="9">
      <c r="A61" s="851"/>
      <c r="B61" s="905">
        <v>44</v>
      </c>
      <c r="C61" s="849"/>
      <c r="D61" s="974" t="s">
        <v>2276</v>
      </c>
      <c r="E61" s="849"/>
      <c r="F61" s="849"/>
      <c r="G61" s="849"/>
      <c r="H61" s="897"/>
      <c r="I61" s="1012">
        <f>INDEX(TEMPLATE_NUMBER_POINT_FHD,B61,MATCH(TEMPLATE_SPHERE,TEMPLATE_SPHERE_LIST_FOR_NOTE,0))</f>
        <v>0</v>
      </c>
      <c r="J61" s="1012">
        <f>INDEX(TEMPLATE_DATA_POINT_FHD,B61,MATCH(TEMPLATE_SPHERE,TEMPLATE_SPHERE_LIST_FOR_NOTE,0))</f>
        <v>0</v>
      </c>
      <c r="K61" s="1012">
        <f>INDEX(TEMPLATE_NOTE_POINT_FHD,B61,MATCH(TEMPLATE_SPHERE,TEMPLATE_SPHERE_LIST_FOR_NOTE,0))</f>
        <v>0</v>
      </c>
      <c r="L61" s="850" t="str">
        <f>IF(I61=0,"",I61)</f>
        <v/>
      </c>
      <c r="M61" s="850" t="str">
        <f>IF(J61=0,"",J61)</f>
        <v/>
      </c>
      <c r="N61" s="850" t="str">
        <f>IF(K61=0,"",K61)</f>
        <v/>
      </c>
      <c r="O61" s="964"/>
      <c r="P61" s="964" t="s">
        <v>94</v>
      </c>
      <c r="Q61" s="964"/>
      <c r="R61" s="964"/>
      <c r="S61" s="964"/>
      <c r="T61" s="849"/>
      <c r="U61" s="849" t="s">
        <v>2277</v>
      </c>
      <c r="V61" s="849"/>
      <c r="W61" s="849"/>
      <c r="X61" s="849"/>
      <c r="Y61" s="1007"/>
      <c r="Z61" s="852"/>
      <c r="AA61" s="855"/>
      <c r="AB61" s="852"/>
      <c r="AC61" s="852"/>
      <c r="AD61" s="852"/>
    </row>
    <row customHeight="1" ht="9">
      <c r="A62" s="851"/>
      <c r="B62" s="905">
        <v>45</v>
      </c>
      <c r="C62" s="849"/>
      <c r="D62" s="974" t="s">
        <v>2278</v>
      </c>
      <c r="E62" s="849"/>
      <c r="F62" s="849"/>
      <c r="G62" s="849"/>
      <c r="H62" s="897"/>
      <c r="I62" s="1012">
        <f>INDEX(TEMPLATE_NUMBER_POINT_FHD,B62,MATCH(TEMPLATE_SPHERE,TEMPLATE_SPHERE_LIST_FOR_NOTE,0))</f>
        <v>0</v>
      </c>
      <c r="J62" s="1012">
        <f>INDEX(TEMPLATE_DATA_POINT_FHD,B62,MATCH(TEMPLATE_SPHERE,TEMPLATE_SPHERE_LIST_FOR_NOTE,0))</f>
        <v>0</v>
      </c>
      <c r="K62" s="1012">
        <f>INDEX(TEMPLATE_NOTE_POINT_FHD,B62,MATCH(TEMPLATE_SPHERE,TEMPLATE_SPHERE_LIST_FOR_NOTE,0))</f>
        <v>0</v>
      </c>
      <c r="L62" s="850" t="str">
        <f>IF(I62=0,"",I62)</f>
        <v/>
      </c>
      <c r="M62" s="850" t="str">
        <f>IF(J62=0,"",J62)</f>
        <v/>
      </c>
      <c r="N62" s="850" t="str">
        <f>IF(K62=0,"",K62)</f>
        <v/>
      </c>
      <c r="O62" s="964"/>
      <c r="P62" s="964" t="s">
        <v>130</v>
      </c>
      <c r="Q62" s="964"/>
      <c r="R62" s="964"/>
      <c r="S62" s="964"/>
      <c r="T62" s="849"/>
      <c r="U62" s="849" t="s">
        <v>2279</v>
      </c>
      <c r="V62" s="849"/>
      <c r="W62" s="849"/>
      <c r="X62" s="849"/>
      <c r="Y62" s="1007"/>
      <c r="Z62" s="852"/>
      <c r="AA62" s="855"/>
      <c r="AB62" s="852"/>
      <c r="AC62" s="852"/>
      <c r="AD62" s="852"/>
    </row>
    <row customHeight="1" ht="18">
      <c r="A63" s="851"/>
      <c r="B63" s="905">
        <v>46</v>
      </c>
      <c r="C63" s="849"/>
      <c r="D63" s="974" t="s">
        <v>2280</v>
      </c>
      <c r="E63" s="849"/>
      <c r="F63" s="849"/>
      <c r="G63" s="849"/>
      <c r="H63" s="897"/>
      <c r="I63" s="1012">
        <f>INDEX(TEMPLATE_NUMBER_POINT_FHD,B63,MATCH(TEMPLATE_SPHERE,TEMPLATE_SPHERE_LIST_FOR_NOTE,0))</f>
        <v>0</v>
      </c>
      <c r="J63" s="1012">
        <f>INDEX(TEMPLATE_DATA_POINT_FHD,B63,MATCH(TEMPLATE_SPHERE,TEMPLATE_SPHERE_LIST_FOR_NOTE,0))</f>
        <v>0</v>
      </c>
      <c r="K63" s="1012">
        <f>INDEX(TEMPLATE_NOTE_POINT_FHD,B63,MATCH(TEMPLATE_SPHERE,TEMPLATE_SPHERE_LIST_FOR_NOTE,0))</f>
        <v>0</v>
      </c>
      <c r="L63" s="850" t="str">
        <f>IF(I63=0,"",I63)</f>
        <v/>
      </c>
      <c r="M63" s="850" t="str">
        <f>IF(J63=0,"",J63)</f>
        <v/>
      </c>
      <c r="N63" s="850" t="str">
        <f>IF(K63=0,"",K63)</f>
        <v/>
      </c>
      <c r="O63" s="964"/>
      <c r="P63" s="964" t="s">
        <v>135</v>
      </c>
      <c r="Q63" s="964"/>
      <c r="R63" s="964"/>
      <c r="S63" s="964"/>
      <c r="T63" s="849"/>
      <c r="U63" s="849" t="s">
        <v>2281</v>
      </c>
      <c r="V63" s="849"/>
      <c r="W63" s="849"/>
      <c r="X63" s="849"/>
      <c r="Y63" s="1007"/>
      <c r="Z63" s="852"/>
      <c r="AA63" s="855"/>
      <c r="AB63" s="852"/>
      <c r="AC63" s="852"/>
      <c r="AD63" s="852"/>
    </row>
    <row customHeight="1" ht="18">
      <c r="A64" s="851"/>
      <c r="B64" s="905">
        <v>47</v>
      </c>
      <c r="C64" s="849"/>
      <c r="D64" s="974" t="s">
        <v>2282</v>
      </c>
      <c r="E64" s="849"/>
      <c r="F64" s="849"/>
      <c r="G64" s="849"/>
      <c r="H64" s="897"/>
      <c r="I64" s="1012">
        <f>INDEX(TEMPLATE_NUMBER_POINT_FHD,B64,MATCH(TEMPLATE_SPHERE,TEMPLATE_SPHERE_LIST_FOR_NOTE,0))</f>
        <v>0</v>
      </c>
      <c r="J64" s="1012">
        <f>INDEX(TEMPLATE_DATA_POINT_FHD,B64,MATCH(TEMPLATE_SPHERE,TEMPLATE_SPHERE_LIST_FOR_NOTE,0))</f>
        <v>0</v>
      </c>
      <c r="K64" s="1012">
        <f>INDEX(TEMPLATE_NOTE_POINT_FHD,B64,MATCH(TEMPLATE_SPHERE,TEMPLATE_SPHERE_LIST_FOR_NOTE,0))</f>
        <v>0</v>
      </c>
      <c r="L64" s="850" t="str">
        <f>IF(I64=0,"",I64)</f>
        <v/>
      </c>
      <c r="M64" s="850" t="str">
        <f>IF(J64=0,"",J64)</f>
        <v/>
      </c>
      <c r="N64" s="850" t="str">
        <f>IF(K64=0,"",K64)</f>
        <v/>
      </c>
      <c r="O64" s="964"/>
      <c r="P64" s="964" t="s">
        <v>139</v>
      </c>
      <c r="Q64" s="964"/>
      <c r="R64" s="964"/>
      <c r="S64" s="964"/>
      <c r="T64" s="849"/>
      <c r="U64" s="849" t="s">
        <v>2283</v>
      </c>
      <c r="V64" s="849"/>
      <c r="W64" s="849"/>
      <c r="X64" s="849"/>
      <c r="Y64" s="1007"/>
      <c r="Z64" s="852"/>
      <c r="AA64" s="855" t="s">
        <v>2284</v>
      </c>
      <c r="AB64" s="852"/>
      <c r="AC64" s="852"/>
      <c r="AD64" s="852"/>
    </row>
    <row customHeight="1" ht="18">
      <c r="A65" s="851"/>
      <c r="B65" s="905">
        <v>48</v>
      </c>
      <c r="C65" s="849"/>
      <c r="D65" s="974"/>
      <c r="E65" s="849"/>
      <c r="F65" s="849"/>
      <c r="G65" s="849"/>
      <c r="H65" s="897"/>
      <c r="I65" s="1012">
        <f>INDEX(TEMPLATE_NUMBER_POINT_FHD,B65,MATCH(TEMPLATE_SPHERE,TEMPLATE_SPHERE_LIST_FOR_NOTE,0))</f>
        <v>0</v>
      </c>
      <c r="J65" s="1012">
        <f>INDEX(TEMPLATE_DATA_POINT_FHD,B65,MATCH(TEMPLATE_SPHERE,TEMPLATE_SPHERE_LIST_FOR_NOTE,0))</f>
        <v>0</v>
      </c>
      <c r="K65" s="1012">
        <f>INDEX(TEMPLATE_NOTE_POINT_FHD,B65,MATCH(TEMPLATE_SPHERE,TEMPLATE_SPHERE_LIST_FOR_NOTE,0))</f>
        <v>0</v>
      </c>
      <c r="L65" s="850" t="str">
        <f>IF(I65=0,"",I65)</f>
        <v/>
      </c>
      <c r="M65" s="850" t="str">
        <f>IF(J65=0,"",J65)</f>
        <v/>
      </c>
      <c r="N65" s="850" t="str">
        <f>IF(K65=0,"",K65)</f>
        <v/>
      </c>
      <c r="O65" s="964"/>
      <c r="P65" s="964" t="s">
        <v>2194</v>
      </c>
      <c r="Q65" s="964"/>
      <c r="R65" s="964"/>
      <c r="S65" s="964"/>
      <c r="T65" s="849"/>
      <c r="U65" s="849" t="s">
        <v>2285</v>
      </c>
      <c r="V65" s="849"/>
      <c r="W65" s="849"/>
      <c r="X65" s="849"/>
      <c r="Y65" s="1007"/>
      <c r="Z65" s="852"/>
      <c r="AA65" s="855"/>
      <c r="AB65" s="852"/>
      <c r="AC65" s="852"/>
      <c r="AD65" s="852"/>
    </row>
    <row customHeight="1" ht="18">
      <c r="A66" s="851"/>
      <c r="B66" s="905">
        <v>49</v>
      </c>
      <c r="C66" s="849"/>
      <c r="D66" s="974"/>
      <c r="E66" s="849"/>
      <c r="F66" s="849"/>
      <c r="G66" s="849"/>
      <c r="H66" s="897"/>
      <c r="I66" s="1012">
        <f>INDEX(TEMPLATE_NUMBER_POINT_FHD,B66,MATCH(TEMPLATE_SPHERE,TEMPLATE_SPHERE_LIST_FOR_NOTE,0))</f>
        <v>0</v>
      </c>
      <c r="J66" s="1012">
        <f>INDEX(TEMPLATE_DATA_POINT_FHD,B66,MATCH(TEMPLATE_SPHERE,TEMPLATE_SPHERE_LIST_FOR_NOTE,0))</f>
        <v>0</v>
      </c>
      <c r="K66" s="1012">
        <f>INDEX(TEMPLATE_NOTE_POINT_FHD,B66,MATCH(TEMPLATE_SPHERE,TEMPLATE_SPHERE_LIST_FOR_NOTE,0))</f>
        <v>0</v>
      </c>
      <c r="L66" s="850" t="str">
        <f>IF(I66=0,"",I66)</f>
        <v/>
      </c>
      <c r="M66" s="850" t="str">
        <f>IF(J66=0,"",J66)</f>
        <v/>
      </c>
      <c r="N66" s="850" t="str">
        <f>IF(K66=0,"",K66)</f>
        <v/>
      </c>
      <c r="O66" s="964"/>
      <c r="P66" s="964" t="s">
        <v>2198</v>
      </c>
      <c r="Q66" s="964"/>
      <c r="R66" s="964"/>
      <c r="S66" s="964"/>
      <c r="T66" s="849"/>
      <c r="U66" s="849" t="s">
        <v>2286</v>
      </c>
      <c r="V66" s="849"/>
      <c r="W66" s="849"/>
      <c r="X66" s="849"/>
      <c r="Y66" s="1007"/>
      <c r="Z66" s="852"/>
      <c r="AA66" s="855"/>
      <c r="AB66" s="852"/>
      <c r="AC66" s="852"/>
      <c r="AD66" s="852"/>
    </row>
    <row customHeight="1" ht="27">
      <c r="A67" s="851"/>
      <c r="B67" s="905">
        <v>50</v>
      </c>
      <c r="C67" s="849"/>
      <c r="D67" s="974"/>
      <c r="E67" s="849"/>
      <c r="F67" s="849"/>
      <c r="G67" s="849"/>
      <c r="H67" s="897"/>
      <c r="I67" s="1012">
        <f>INDEX(TEMPLATE_NUMBER_POINT_FHD,B67,MATCH(TEMPLATE_SPHERE,TEMPLATE_SPHERE_LIST_FOR_NOTE,0))</f>
        <v>0</v>
      </c>
      <c r="J67" s="1012">
        <f>INDEX(TEMPLATE_DATA_POINT_FHD,B67,MATCH(TEMPLATE_SPHERE,TEMPLATE_SPHERE_LIST_FOR_NOTE,0))</f>
        <v>0</v>
      </c>
      <c r="K67" s="1012">
        <f>INDEX(TEMPLATE_NOTE_POINT_FHD,B67,MATCH(TEMPLATE_SPHERE,TEMPLATE_SPHERE_LIST_FOR_NOTE,0))</f>
        <v>0</v>
      </c>
      <c r="L67" s="850" t="str">
        <f>IF(I67=0,"",I67)</f>
        <v/>
      </c>
      <c r="M67" s="850" t="str">
        <f>IF(J67=0,"",J67)</f>
        <v/>
      </c>
      <c r="N67" s="850" t="str">
        <f>IF(K67=0,"",K67)</f>
        <v/>
      </c>
      <c r="O67" s="964"/>
      <c r="P67" s="964" t="s">
        <v>2287</v>
      </c>
      <c r="Q67" s="964"/>
      <c r="R67" s="964"/>
      <c r="S67" s="964"/>
      <c r="T67" s="849"/>
      <c r="U67" s="849" t="s">
        <v>2288</v>
      </c>
      <c r="V67" s="849"/>
      <c r="W67" s="849"/>
      <c r="X67" s="849"/>
      <c r="Y67" s="1007"/>
      <c r="Z67" s="852"/>
      <c r="AA67" s="855"/>
      <c r="AB67" s="852"/>
      <c r="AC67" s="852"/>
      <c r="AD67" s="852"/>
    </row>
    <row customHeight="1" ht="27">
      <c r="A68" s="851"/>
      <c r="B68" s="905">
        <v>51</v>
      </c>
      <c r="C68" s="849"/>
      <c r="D68" s="974"/>
      <c r="E68" s="849"/>
      <c r="F68" s="849"/>
      <c r="G68" s="849"/>
      <c r="H68" s="897"/>
      <c r="I68" s="1012">
        <f>INDEX(TEMPLATE_NUMBER_POINT_FHD,B68,MATCH(TEMPLATE_SPHERE,TEMPLATE_SPHERE_LIST_FOR_NOTE,0))</f>
        <v>0</v>
      </c>
      <c r="J68" s="1012">
        <f>INDEX(TEMPLATE_DATA_POINT_FHD,B68,MATCH(TEMPLATE_SPHERE,TEMPLATE_SPHERE_LIST_FOR_NOTE,0))</f>
        <v>0</v>
      </c>
      <c r="K68" s="1012">
        <f>INDEX(TEMPLATE_NOTE_POINT_FHD,B68,MATCH(TEMPLATE_SPHERE,TEMPLATE_SPHERE_LIST_FOR_NOTE,0))</f>
        <v>0</v>
      </c>
      <c r="L68" s="850" t="str">
        <f>IF(I68=0,"",I68)</f>
        <v/>
      </c>
      <c r="M68" s="850" t="str">
        <f>IF(J68=0,"",J68)</f>
        <v/>
      </c>
      <c r="N68" s="850" t="str">
        <f>IF(K68=0,"",K68)</f>
        <v/>
      </c>
      <c r="O68" s="964"/>
      <c r="P68" s="964" t="s">
        <v>2289</v>
      </c>
      <c r="Q68" s="964"/>
      <c r="R68" s="964"/>
      <c r="S68" s="964"/>
      <c r="T68" s="849"/>
      <c r="U68" s="849" t="s">
        <v>2290</v>
      </c>
      <c r="V68" s="849"/>
      <c r="W68" s="849"/>
      <c r="X68" s="849"/>
      <c r="Y68" s="1007"/>
      <c r="Z68" s="852"/>
      <c r="AA68" s="855"/>
      <c r="AB68" s="852"/>
      <c r="AC68" s="852"/>
      <c r="AD68" s="852"/>
    </row>
    <row customHeight="1" ht="9">
      <c r="A69" s="851"/>
      <c r="B69" s="905">
        <v>52</v>
      </c>
      <c r="C69" s="849"/>
      <c r="D69" s="974" t="s">
        <v>2291</v>
      </c>
      <c r="E69" s="849"/>
      <c r="F69" s="849"/>
      <c r="G69" s="849"/>
      <c r="H69" s="897"/>
      <c r="I69" s="1012">
        <f>INDEX(TEMPLATE_NUMBER_POINT_FHD,B69,MATCH(TEMPLATE_SPHERE,TEMPLATE_SPHERE_LIST_FOR_NOTE,0))</f>
        <v>0</v>
      </c>
      <c r="J69" s="1012">
        <f>INDEX(TEMPLATE_DATA_POINT_FHD,B69,MATCH(TEMPLATE_SPHERE,TEMPLATE_SPHERE_LIST_FOR_NOTE,0))</f>
        <v>0</v>
      </c>
      <c r="K69" s="1012">
        <f>INDEX(TEMPLATE_NOTE_POINT_FHD,B69,MATCH(TEMPLATE_SPHERE,TEMPLATE_SPHERE_LIST_FOR_NOTE,0))</f>
        <v>0</v>
      </c>
      <c r="L69" s="850" t="str">
        <f>IF(I69=0,"",I69)</f>
        <v/>
      </c>
      <c r="M69" s="850" t="str">
        <f>IF(J69=0,"",J69)</f>
        <v/>
      </c>
      <c r="N69" s="850" t="str">
        <f>IF(K69=0,"",K69)</f>
        <v/>
      </c>
      <c r="O69" s="964"/>
      <c r="P69" s="964" t="s">
        <v>143</v>
      </c>
      <c r="Q69" s="964"/>
      <c r="R69" s="964"/>
      <c r="S69" s="964"/>
      <c r="T69" s="849"/>
      <c r="U69" s="849" t="s">
        <v>2292</v>
      </c>
      <c r="V69" s="849"/>
      <c r="W69" s="849"/>
      <c r="X69" s="849"/>
      <c r="Y69" s="1007"/>
      <c r="Z69" s="852"/>
      <c r="AA69" s="855"/>
      <c r="AB69" s="852"/>
      <c r="AC69" s="852"/>
      <c r="AD69" s="852"/>
    </row>
    <row customHeight="1" ht="27">
      <c r="A70" s="851"/>
      <c r="B70" s="905">
        <v>53</v>
      </c>
      <c r="C70" s="849"/>
      <c r="D70" s="974"/>
      <c r="E70" s="849" t="s">
        <v>2276</v>
      </c>
      <c r="F70" s="849"/>
      <c r="G70" s="849"/>
      <c r="H70" s="897"/>
      <c r="I70" s="1012">
        <f>INDEX(TEMPLATE_NUMBER_POINT_FHD,B70,MATCH(TEMPLATE_SPHERE,TEMPLATE_SPHERE_LIST_FOR_NOTE,0))</f>
        <v>0</v>
      </c>
      <c r="J70" s="1012">
        <f>INDEX(TEMPLATE_DATA_POINT_FHD,B70,MATCH(TEMPLATE_SPHERE,TEMPLATE_SPHERE_LIST_FOR_NOTE,0))</f>
        <v>0</v>
      </c>
      <c r="K70" s="1012">
        <f>INDEX(TEMPLATE_NOTE_POINT_FHD,B70,MATCH(TEMPLATE_SPHERE,TEMPLATE_SPHERE_LIST_FOR_NOTE,0))</f>
        <v>0</v>
      </c>
      <c r="L70" s="850" t="str">
        <f>IF(I70=0,"",I70)</f>
        <v/>
      </c>
      <c r="M70" s="850" t="str">
        <f>IF(J70=0,"",J70)</f>
        <v/>
      </c>
      <c r="N70" s="850" t="str">
        <f>IF(K70=0,"",K70)</f>
        <v/>
      </c>
      <c r="O70" s="964"/>
      <c r="P70" s="964"/>
      <c r="Q70" s="964" t="s">
        <v>94</v>
      </c>
      <c r="R70" s="964"/>
      <c r="S70" s="964"/>
      <c r="T70" s="849"/>
      <c r="U70" s="849"/>
      <c r="V70" s="849" t="s">
        <v>2293</v>
      </c>
      <c r="W70" s="849"/>
      <c r="X70" s="849"/>
      <c r="Y70" s="1007"/>
      <c r="Z70" s="852"/>
      <c r="AA70" s="855"/>
      <c r="AB70" s="852"/>
      <c r="AC70" s="852"/>
      <c r="AD70" s="852"/>
    </row>
    <row customHeight="1" ht="36">
      <c r="A71" s="851"/>
      <c r="B71" s="905">
        <v>54</v>
      </c>
      <c r="C71" s="849"/>
      <c r="D71" s="974"/>
      <c r="E71" s="849" t="s">
        <v>2278</v>
      </c>
      <c r="F71" s="849"/>
      <c r="G71" s="849"/>
      <c r="H71" s="897"/>
      <c r="I71" s="1012">
        <f>INDEX(TEMPLATE_NUMBER_POINT_FHD,B71,MATCH(TEMPLATE_SPHERE,TEMPLATE_SPHERE_LIST_FOR_NOTE,0))</f>
        <v>0</v>
      </c>
      <c r="J71" s="1012">
        <f>INDEX(TEMPLATE_DATA_POINT_FHD,B71,MATCH(TEMPLATE_SPHERE,TEMPLATE_SPHERE_LIST_FOR_NOTE,0))</f>
        <v>0</v>
      </c>
      <c r="K71" s="1012">
        <f>INDEX(TEMPLATE_NOTE_POINT_FHD,B71,MATCH(TEMPLATE_SPHERE,TEMPLATE_SPHERE_LIST_FOR_NOTE,0))</f>
        <v>0</v>
      </c>
      <c r="L71" s="850" t="str">
        <f>IF(I71=0,"",I71)</f>
        <v/>
      </c>
      <c r="M71" s="850" t="str">
        <f>IF(J71=0,"",J71)</f>
        <v/>
      </c>
      <c r="N71" s="850" t="str">
        <f>IF(K71=0,"",K71)</f>
        <v/>
      </c>
      <c r="O71" s="964"/>
      <c r="P71" s="964"/>
      <c r="Q71" s="964" t="s">
        <v>130</v>
      </c>
      <c r="R71" s="964"/>
      <c r="S71" s="964"/>
      <c r="T71" s="849"/>
      <c r="U71" s="849"/>
      <c r="V71" s="849" t="s">
        <v>2294</v>
      </c>
      <c r="W71" s="849"/>
      <c r="X71" s="849"/>
      <c r="Y71" s="1007"/>
      <c r="Z71" s="852"/>
      <c r="AA71" s="855"/>
      <c r="AB71" s="852"/>
      <c r="AC71" s="852"/>
      <c r="AD71" s="852"/>
    </row>
    <row customHeight="1" ht="27">
      <c r="A72" s="851"/>
      <c r="B72" s="905">
        <v>55</v>
      </c>
      <c r="C72" s="849"/>
      <c r="D72" s="974"/>
      <c r="E72" s="849" t="s">
        <v>2280</v>
      </c>
      <c r="F72" s="849"/>
      <c r="G72" s="849"/>
      <c r="H72" s="897"/>
      <c r="I72" s="1012">
        <f>INDEX(TEMPLATE_NUMBER_POINT_FHD,B72,MATCH(TEMPLATE_SPHERE,TEMPLATE_SPHERE_LIST_FOR_NOTE,0))</f>
        <v>0</v>
      </c>
      <c r="J72" s="1012">
        <f>INDEX(TEMPLATE_DATA_POINT_FHD,B72,MATCH(TEMPLATE_SPHERE,TEMPLATE_SPHERE_LIST_FOR_NOTE,0))</f>
        <v>0</v>
      </c>
      <c r="K72" s="1012">
        <f>INDEX(TEMPLATE_NOTE_POINT_FHD,B72,MATCH(TEMPLATE_SPHERE,TEMPLATE_SPHERE_LIST_FOR_NOTE,0))</f>
        <v>0</v>
      </c>
      <c r="L72" s="850" t="str">
        <f>IF(I72=0,"",I72)</f>
        <v/>
      </c>
      <c r="M72" s="850" t="str">
        <f>IF(J72=0,"",J72)</f>
        <v/>
      </c>
      <c r="N72" s="850" t="str">
        <f>IF(K72=0,"",K72)</f>
        <v/>
      </c>
      <c r="O72" s="964"/>
      <c r="P72" s="964"/>
      <c r="Q72" s="964" t="s">
        <v>135</v>
      </c>
      <c r="R72" s="964"/>
      <c r="S72" s="964"/>
      <c r="T72" s="849"/>
      <c r="U72" s="849"/>
      <c r="V72" s="849" t="s">
        <v>2295</v>
      </c>
      <c r="W72" s="849"/>
      <c r="X72" s="849"/>
      <c r="Y72" s="1007"/>
      <c r="Z72" s="852"/>
      <c r="AA72" s="855"/>
      <c r="AB72" s="852"/>
      <c r="AC72" s="852"/>
      <c r="AD72" s="852"/>
    </row>
    <row customHeight="1" ht="36">
      <c r="A73" s="851"/>
      <c r="B73" s="905">
        <v>56</v>
      </c>
      <c r="C73" s="849"/>
      <c r="D73" s="974"/>
      <c r="E73" s="849" t="s">
        <v>2282</v>
      </c>
      <c r="F73" s="849"/>
      <c r="G73" s="849"/>
      <c r="H73" s="897"/>
      <c r="I73" s="1012">
        <f>INDEX(TEMPLATE_NUMBER_POINT_FHD,B73,MATCH(TEMPLATE_SPHERE,TEMPLATE_SPHERE_LIST_FOR_NOTE,0))</f>
        <v>0</v>
      </c>
      <c r="J73" s="1012">
        <f>INDEX(TEMPLATE_DATA_POINT_FHD,B73,MATCH(TEMPLATE_SPHERE,TEMPLATE_SPHERE_LIST_FOR_NOTE,0))</f>
        <v>0</v>
      </c>
      <c r="K73" s="1012">
        <f>INDEX(TEMPLATE_NOTE_POINT_FHD,B73,MATCH(TEMPLATE_SPHERE,TEMPLATE_SPHERE_LIST_FOR_NOTE,0))</f>
        <v>0</v>
      </c>
      <c r="L73" s="850" t="str">
        <f>IF(I73=0,"",I73)</f>
        <v/>
      </c>
      <c r="M73" s="850" t="str">
        <f>IF(J73=0,"",J73)</f>
        <v/>
      </c>
      <c r="N73" s="850" t="str">
        <f>IF(K73=0,"",K73)</f>
        <v/>
      </c>
      <c r="O73" s="964"/>
      <c r="P73" s="964"/>
      <c r="Q73" s="964" t="s">
        <v>139</v>
      </c>
      <c r="R73" s="964"/>
      <c r="S73" s="964"/>
      <c r="T73" s="849"/>
      <c r="U73" s="849"/>
      <c r="V73" s="849" t="s">
        <v>2296</v>
      </c>
      <c r="W73" s="849"/>
      <c r="X73" s="849"/>
      <c r="Y73" s="1007"/>
      <c r="Z73" s="852"/>
      <c r="AA73" s="855"/>
      <c r="AB73" s="852"/>
      <c r="AC73" s="852"/>
      <c r="AD73" s="852"/>
    </row>
    <row customHeight="1" ht="18">
      <c r="A74" s="851"/>
      <c r="B74" s="905">
        <v>57</v>
      </c>
      <c r="C74" s="849"/>
      <c r="D74" s="974"/>
      <c r="E74" s="849" t="s">
        <v>2291</v>
      </c>
      <c r="F74" s="849"/>
      <c r="G74" s="849"/>
      <c r="H74" s="897"/>
      <c r="I74" s="1012">
        <f>INDEX(TEMPLATE_NUMBER_POINT_FHD,B74,MATCH(TEMPLATE_SPHERE,TEMPLATE_SPHERE_LIST_FOR_NOTE,0))</f>
        <v>0</v>
      </c>
      <c r="J74" s="1012">
        <f>INDEX(TEMPLATE_DATA_POINT_FHD,B74,MATCH(TEMPLATE_SPHERE,TEMPLATE_SPHERE_LIST_FOR_NOTE,0))</f>
        <v>0</v>
      </c>
      <c r="K74" s="1012">
        <f>INDEX(TEMPLATE_NOTE_POINT_FHD,B74,MATCH(TEMPLATE_SPHERE,TEMPLATE_SPHERE_LIST_FOR_NOTE,0))</f>
        <v>0</v>
      </c>
      <c r="L74" s="850" t="str">
        <f>IF(I74=0,"",I74)</f>
        <v/>
      </c>
      <c r="M74" s="850" t="str">
        <f>IF(J74=0,"",J74)</f>
        <v/>
      </c>
      <c r="N74" s="850" t="str">
        <f>IF(K74=0,"",K74)</f>
        <v/>
      </c>
      <c r="O74" s="964"/>
      <c r="P74" s="964"/>
      <c r="Q74" s="964" t="s">
        <v>143</v>
      </c>
      <c r="R74" s="964"/>
      <c r="S74" s="964"/>
      <c r="T74" s="849"/>
      <c r="U74" s="849"/>
      <c r="V74" s="849" t="s">
        <v>2297</v>
      </c>
      <c r="W74" s="849"/>
      <c r="X74" s="849"/>
      <c r="Y74" s="1007"/>
      <c r="Z74" s="852"/>
      <c r="AA74" s="855"/>
      <c r="AB74" s="852"/>
      <c r="AC74" s="852"/>
      <c r="AD74" s="852"/>
    </row>
    <row customHeight="1" ht="18">
      <c r="A75" s="851"/>
      <c r="B75" s="905">
        <v>58</v>
      </c>
      <c r="C75" s="849"/>
      <c r="D75" s="974"/>
      <c r="E75" s="849"/>
      <c r="F75" s="849" t="s">
        <v>2276</v>
      </c>
      <c r="G75" s="849"/>
      <c r="H75" s="897"/>
      <c r="I75" s="1012">
        <f>INDEX(TEMPLATE_NUMBER_POINT_FHD,B75,MATCH(TEMPLATE_SPHERE,TEMPLATE_SPHERE_LIST_FOR_NOTE,0))</f>
        <v>0</v>
      </c>
      <c r="J75" s="1012">
        <f>INDEX(TEMPLATE_DATA_POINT_FHD,B75,MATCH(TEMPLATE_SPHERE,TEMPLATE_SPHERE_LIST_FOR_NOTE,0))</f>
        <v>0</v>
      </c>
      <c r="K75" s="1012">
        <f>INDEX(TEMPLATE_NOTE_POINT_FHD,B75,MATCH(TEMPLATE_SPHERE,TEMPLATE_SPHERE_LIST_FOR_NOTE,0))</f>
        <v>0</v>
      </c>
      <c r="L75" s="850" t="str">
        <f>IF(I75=0,"",I75)</f>
        <v/>
      </c>
      <c r="M75" s="850" t="str">
        <f>IF(J75=0,"",J75)</f>
        <v/>
      </c>
      <c r="N75" s="850" t="str">
        <f>IF(K75=0,"",K75)</f>
        <v/>
      </c>
      <c r="O75" s="964"/>
      <c r="P75" s="964"/>
      <c r="Q75" s="964"/>
      <c r="R75" s="964" t="s">
        <v>94</v>
      </c>
      <c r="S75" s="964"/>
      <c r="T75" s="849"/>
      <c r="U75" s="849"/>
      <c r="V75" s="849"/>
      <c r="W75" s="849" t="s">
        <v>2298</v>
      </c>
      <c r="X75" s="849"/>
      <c r="Y75" s="1007"/>
      <c r="Z75" s="852"/>
      <c r="AA75" s="855"/>
      <c r="AB75" s="852"/>
      <c r="AC75" s="852"/>
      <c r="AD75" s="852"/>
    </row>
    <row customHeight="1" ht="36">
      <c r="A76" s="851"/>
      <c r="B76" s="905">
        <v>59</v>
      </c>
      <c r="C76" s="849"/>
      <c r="D76" s="974"/>
      <c r="E76" s="849"/>
      <c r="F76" s="849" t="s">
        <v>2278</v>
      </c>
      <c r="G76" s="849"/>
      <c r="H76" s="897"/>
      <c r="I76" s="1012">
        <f>INDEX(TEMPLATE_NUMBER_POINT_FHD,B76,MATCH(TEMPLATE_SPHERE,TEMPLATE_SPHERE_LIST_FOR_NOTE,0))</f>
        <v>0</v>
      </c>
      <c r="J76" s="1012">
        <f>INDEX(TEMPLATE_DATA_POINT_FHD,B76,MATCH(TEMPLATE_SPHERE,TEMPLATE_SPHERE_LIST_FOR_NOTE,0))</f>
        <v>0</v>
      </c>
      <c r="K76" s="1012">
        <f>INDEX(TEMPLATE_NOTE_POINT_FHD,B76,MATCH(TEMPLATE_SPHERE,TEMPLATE_SPHERE_LIST_FOR_NOTE,0))</f>
        <v>0</v>
      </c>
      <c r="L76" s="850" t="str">
        <f>IF(I76=0,"",I76)</f>
        <v/>
      </c>
      <c r="M76" s="850" t="str">
        <f>IF(J76=0,"",J76)</f>
        <v/>
      </c>
      <c r="N76" s="850" t="str">
        <f>IF(K76=0,"",K76)</f>
        <v/>
      </c>
      <c r="O76" s="964"/>
      <c r="P76" s="964"/>
      <c r="Q76" s="964"/>
      <c r="R76" s="964" t="s">
        <v>130</v>
      </c>
      <c r="S76" s="964"/>
      <c r="T76" s="849"/>
      <c r="U76" s="849"/>
      <c r="V76" s="849"/>
      <c r="W76" s="849" t="s">
        <v>2299</v>
      </c>
      <c r="X76" s="849"/>
      <c r="Y76" s="1007"/>
      <c r="Z76" s="852"/>
      <c r="AA76" s="855"/>
      <c r="AB76" s="852"/>
      <c r="AC76" s="852"/>
      <c r="AD76" s="852"/>
    </row>
    <row customHeight="1" ht="18">
      <c r="A77" s="851"/>
      <c r="B77" s="905">
        <v>60</v>
      </c>
      <c r="C77" s="849"/>
      <c r="D77" s="974"/>
      <c r="E77" s="849"/>
      <c r="F77" s="849" t="s">
        <v>2280</v>
      </c>
      <c r="G77" s="849"/>
      <c r="H77" s="897"/>
      <c r="I77" s="1012">
        <f>INDEX(TEMPLATE_NUMBER_POINT_FHD,B77,MATCH(TEMPLATE_SPHERE,TEMPLATE_SPHERE_LIST_FOR_NOTE,0))</f>
        <v>0</v>
      </c>
      <c r="J77" s="1012">
        <f>INDEX(TEMPLATE_DATA_POINT_FHD,B77,MATCH(TEMPLATE_SPHERE,TEMPLATE_SPHERE_LIST_FOR_NOTE,0))</f>
        <v>0</v>
      </c>
      <c r="K77" s="1012">
        <f>INDEX(TEMPLATE_NOTE_POINT_FHD,B77,MATCH(TEMPLATE_SPHERE,TEMPLATE_SPHERE_LIST_FOR_NOTE,0))</f>
        <v>0</v>
      </c>
      <c r="L77" s="850" t="str">
        <f>IF(I77=0,"",I77)</f>
        <v/>
      </c>
      <c r="M77" s="850" t="str">
        <f>IF(J77=0,"",J77)</f>
        <v/>
      </c>
      <c r="N77" s="850" t="str">
        <f>IF(K77=0,"",K77)</f>
        <v/>
      </c>
      <c r="O77" s="964"/>
      <c r="P77" s="964"/>
      <c r="Q77" s="964"/>
      <c r="R77" s="964" t="s">
        <v>135</v>
      </c>
      <c r="S77" s="964"/>
      <c r="T77" s="849"/>
      <c r="U77" s="849"/>
      <c r="V77" s="849"/>
      <c r="W77" s="849" t="s">
        <v>2300</v>
      </c>
      <c r="X77" s="849"/>
      <c r="Y77" s="1007"/>
      <c r="Z77" s="852"/>
      <c r="AA77" s="855"/>
      <c r="AB77" s="852"/>
      <c r="AC77" s="852"/>
      <c r="AD77" s="852"/>
    </row>
    <row customHeight="1" ht="72">
      <c r="A78" s="851"/>
      <c r="B78" s="905">
        <v>61</v>
      </c>
      <c r="C78" s="849" t="s">
        <v>2276</v>
      </c>
      <c r="D78" s="974"/>
      <c r="E78" s="849"/>
      <c r="F78" s="849"/>
      <c r="G78" s="849"/>
      <c r="H78" s="897"/>
      <c r="I78" s="1012" t="str">
        <f>INDEX(TEMPLATE_NUMBER_POINT_FHD,B78,MATCH(TEMPLATE_SPHERE,TEMPLATE_SPHERE_LIST_FOR_NOTE,0))</f>
        <v>7</v>
      </c>
      <c r="J78" s="1012"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12"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50" t="str">
        <f>IF(I78=0,"",I78)</f>
        <v>7</v>
      </c>
      <c r="M78" s="850"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50"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64" t="s">
        <v>94</v>
      </c>
      <c r="P78" s="964"/>
      <c r="Q78" s="964"/>
      <c r="R78" s="964"/>
      <c r="S78" s="964"/>
      <c r="T78" s="849" t="s">
        <v>2301</v>
      </c>
      <c r="U78" s="849"/>
      <c r="V78" s="849"/>
      <c r="W78" s="849"/>
      <c r="X78" s="849"/>
      <c r="Y78" s="1007"/>
      <c r="Z78" s="852" t="s">
        <v>2302</v>
      </c>
      <c r="AA78" s="855"/>
      <c r="AB78" s="852"/>
      <c r="AC78" s="852"/>
      <c r="AD78" s="852"/>
    </row>
    <row customHeight="1" ht="36">
      <c r="A79" s="851"/>
      <c r="B79" s="905">
        <v>62</v>
      </c>
      <c r="C79" s="849" t="s">
        <v>2278</v>
      </c>
      <c r="D79" s="974"/>
      <c r="E79" s="849"/>
      <c r="F79" s="849"/>
      <c r="G79" s="849"/>
      <c r="H79" s="897"/>
      <c r="I79" s="1012" t="str">
        <f>INDEX(TEMPLATE_NUMBER_POINT_FHD,B79,MATCH(TEMPLATE_SPHERE,TEMPLATE_SPHERE_LIST_FOR_NOTE,0))</f>
        <v>8</v>
      </c>
      <c r="J79" s="1012"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12"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50" t="str">
        <f>IF(I79=0,"",I79)</f>
        <v>8</v>
      </c>
      <c r="M79" s="850" t="str">
        <f>IF(J79=0,"",J79)</f>
        <v>Тепловая нагрузка по договорам, заключенным в рамках осуществления регулируемых видов деятельности</v>
      </c>
      <c r="N79" s="850"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64" t="s">
        <v>130</v>
      </c>
      <c r="P79" s="964"/>
      <c r="Q79" s="964"/>
      <c r="R79" s="964"/>
      <c r="S79" s="964"/>
      <c r="T79" s="849" t="s">
        <v>2303</v>
      </c>
      <c r="U79" s="849"/>
      <c r="V79" s="849"/>
      <c r="W79" s="849"/>
      <c r="X79" s="849"/>
      <c r="Y79" s="1007"/>
      <c r="Z79" s="852" t="s">
        <v>2304</v>
      </c>
      <c r="AA79" s="855"/>
      <c r="AB79" s="852"/>
      <c r="AC79" s="852"/>
      <c r="AD79" s="852"/>
    </row>
    <row customHeight="1" ht="45">
      <c r="A80" s="851"/>
      <c r="B80" s="905">
        <v>63</v>
      </c>
      <c r="C80" s="849" t="s">
        <v>2280</v>
      </c>
      <c r="D80" s="974"/>
      <c r="E80" s="849"/>
      <c r="F80" s="849"/>
      <c r="G80" s="849"/>
      <c r="H80" s="897"/>
      <c r="I80" s="1012" t="str">
        <f>INDEX(TEMPLATE_NUMBER_POINT_FHD,B80,MATCH(TEMPLATE_SPHERE,TEMPLATE_SPHERE_LIST_FOR_NOTE,0))</f>
        <v>9</v>
      </c>
      <c r="J80" s="1012"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12"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50" t="str">
        <f>IF(I80=0,"",I80)</f>
        <v>9</v>
      </c>
      <c r="M80" s="850" t="str">
        <f>IF(J80=0,"",J80)</f>
        <v>Объем вырабатываемой регулируемой организацией тепловой энергии в рамках осуществления регулируемых видов деятельности</v>
      </c>
      <c r="N80" s="850"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64" t="s">
        <v>135</v>
      </c>
      <c r="P80" s="964"/>
      <c r="Q80" s="964"/>
      <c r="R80" s="964"/>
      <c r="S80" s="964"/>
      <c r="T80" s="849" t="s">
        <v>2305</v>
      </c>
      <c r="U80" s="849"/>
      <c r="V80" s="849"/>
      <c r="W80" s="849"/>
      <c r="X80" s="849"/>
      <c r="Y80" s="1007"/>
      <c r="Z80" s="852" t="s">
        <v>2306</v>
      </c>
      <c r="AA80" s="855"/>
      <c r="AB80" s="852"/>
      <c r="AC80" s="852"/>
      <c r="AD80" s="852"/>
    </row>
    <row customHeight="1" ht="36">
      <c r="A81" s="851"/>
      <c r="B81" s="905">
        <v>64</v>
      </c>
      <c r="C81" s="849" t="s">
        <v>2282</v>
      </c>
      <c r="D81" s="974"/>
      <c r="E81" s="849"/>
      <c r="F81" s="849"/>
      <c r="G81" s="849"/>
      <c r="H81" s="897"/>
      <c r="I81" s="1012" t="str">
        <f>INDEX(TEMPLATE_NUMBER_POINT_FHD,B81,MATCH(TEMPLATE_SPHERE,TEMPLATE_SPHERE_LIST_FOR_NOTE,0))</f>
        <v>9.1</v>
      </c>
      <c r="J81" s="1012"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12" t="str">
        <f>INDEX(TEMPLATE_NOTE_POINT_FHD,B81,MATCH(TEMPLATE_SPHERE,TEMPLATE_SPHERE_LIST_FOR_NOTE,0))</f>
        <v>Информация указывается только едиными теплоснабжающими организациями.</v>
      </c>
      <c r="L81" s="850" t="str">
        <f>IF(I81=0,"",I81)</f>
        <v>9.1</v>
      </c>
      <c r="M81" s="850" t="str">
        <f>IF(J81=0,"",J81)</f>
        <v>Объем приобретаемой регулируемой организацией тепловой энергии в рамках осуществления регулируемых видов деятельности</v>
      </c>
      <c r="N81" s="850" t="str">
        <f>IF(K81=0,"",K81)</f>
        <v>Информация указывается только едиными теплоснабжающими организациями.</v>
      </c>
      <c r="O81" s="964" t="s">
        <v>2185</v>
      </c>
      <c r="P81" s="964"/>
      <c r="Q81" s="964"/>
      <c r="R81" s="964"/>
      <c r="S81" s="964"/>
      <c r="T81" s="849" t="s">
        <v>2307</v>
      </c>
      <c r="U81" s="849"/>
      <c r="V81" s="849"/>
      <c r="W81" s="849"/>
      <c r="X81" s="849"/>
      <c r="Y81" s="1007"/>
      <c r="Z81" s="852" t="s">
        <v>2308</v>
      </c>
      <c r="AA81" s="855"/>
      <c r="AB81" s="852"/>
      <c r="AC81" s="852"/>
      <c r="AD81" s="852"/>
    </row>
    <row customHeight="1" ht="90">
      <c r="A82" s="851"/>
      <c r="B82" s="905">
        <v>65</v>
      </c>
      <c r="C82" s="849" t="s">
        <v>2291</v>
      </c>
      <c r="D82" s="974"/>
      <c r="E82" s="849"/>
      <c r="F82" s="849"/>
      <c r="G82" s="849"/>
      <c r="H82" s="897"/>
      <c r="I82" s="1012" t="str">
        <f>INDEX(TEMPLATE_NUMBER_POINT_FHD,B82,MATCH(TEMPLATE_SPHERE,TEMPLATE_SPHERE_LIST_FOR_NOTE,0))</f>
        <v>10</v>
      </c>
      <c r="J82" s="1012"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12"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50" t="str">
        <f>IF(I82=0,"",I82)</f>
        <v>10</v>
      </c>
      <c r="M82" s="850"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50"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64" t="s">
        <v>139</v>
      </c>
      <c r="P82" s="964"/>
      <c r="Q82" s="964"/>
      <c r="R82" s="964"/>
      <c r="S82" s="964"/>
      <c r="T82" s="849" t="s">
        <v>2309</v>
      </c>
      <c r="U82" s="849"/>
      <c r="V82" s="849"/>
      <c r="W82" s="849"/>
      <c r="X82" s="849"/>
      <c r="Y82" s="1007"/>
      <c r="Z82" s="852" t="s">
        <v>2310</v>
      </c>
      <c r="AA82" s="855"/>
      <c r="AB82" s="852"/>
      <c r="AC82" s="852"/>
      <c r="AD82" s="852"/>
    </row>
    <row customHeight="1" ht="9">
      <c r="A83" s="851"/>
      <c r="B83" s="905">
        <v>66</v>
      </c>
      <c r="C83" s="849"/>
      <c r="D83" s="974"/>
      <c r="E83" s="849"/>
      <c r="F83" s="849"/>
      <c r="G83" s="849"/>
      <c r="H83" s="897"/>
      <c r="I83" s="1012" t="str">
        <f>INDEX(TEMPLATE_NUMBER_POINT_FHD,B83,MATCH(TEMPLATE_SPHERE,TEMPLATE_SPHERE_LIST_FOR_NOTE,0))</f>
        <v>10.1</v>
      </c>
      <c r="J83" s="1012" t="str">
        <f>INDEX(TEMPLATE_DATA_POINT_FHD,B83,MATCH(TEMPLATE_SPHERE,TEMPLATE_SPHERE_LIST_FOR_NOTE,0))</f>
        <v>По приборам учёта </v>
      </c>
      <c r="K83" s="1012">
        <f>INDEX(TEMPLATE_NOTE_POINT_FHD,B83,MATCH(TEMPLATE_SPHERE,TEMPLATE_SPHERE_LIST_FOR_NOTE,0))</f>
        <v>0</v>
      </c>
      <c r="L83" s="850" t="str">
        <f>IF(I83=0,"",I83)</f>
        <v>10.1</v>
      </c>
      <c r="M83" s="850" t="str">
        <f>IF(J83=0,"",J83)</f>
        <v>По приборам учёта </v>
      </c>
      <c r="N83" s="850" t="str">
        <f>IF(K83=0,"",K83)</f>
        <v/>
      </c>
      <c r="O83" s="964" t="s">
        <v>2194</v>
      </c>
      <c r="P83" s="964"/>
      <c r="Q83" s="964"/>
      <c r="R83" s="964"/>
      <c r="S83" s="964"/>
      <c r="T83" s="849" t="s">
        <v>2311</v>
      </c>
      <c r="U83" s="849"/>
      <c r="V83" s="849"/>
      <c r="W83" s="849"/>
      <c r="X83" s="849"/>
      <c r="Y83" s="1007"/>
      <c r="Z83" s="852"/>
      <c r="AA83" s="855"/>
      <c r="AB83" s="852"/>
      <c r="AC83" s="852"/>
      <c r="AD83" s="852"/>
    </row>
    <row customHeight="1" ht="54">
      <c r="A84" s="851"/>
      <c r="B84" s="905">
        <v>67</v>
      </c>
      <c r="C84" s="849"/>
      <c r="D84" s="974"/>
      <c r="E84" s="849"/>
      <c r="F84" s="849"/>
      <c r="G84" s="849"/>
      <c r="H84" s="897"/>
      <c r="I84" s="1012" t="str">
        <f>INDEX(TEMPLATE_NUMBER_POINT_FHD,B84,MATCH(TEMPLATE_SPHERE,TEMPLATE_SPHERE_LIST_FOR_NOTE,0))</f>
        <v>10.1.1</v>
      </c>
      <c r="J84" s="1012"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12">
        <f>INDEX(TEMPLATE_NOTE_POINT_FHD,B84,MATCH(TEMPLATE_SPHERE,TEMPLATE_SPHERE_LIST_FOR_NOTE,0))</f>
        <v>0</v>
      </c>
      <c r="L84" s="850" t="str">
        <f>IF(I84=0,"",I84)</f>
        <v>10.1.1</v>
      </c>
      <c r="M84" s="850"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50" t="str">
        <f>IF(K84=0,"",K84)</f>
        <v/>
      </c>
      <c r="O84" s="964" t="s">
        <v>2312</v>
      </c>
      <c r="P84" s="964"/>
      <c r="Q84" s="964"/>
      <c r="R84" s="964"/>
      <c r="S84" s="964"/>
      <c r="T84" s="849" t="s">
        <v>2313</v>
      </c>
      <c r="U84" s="849"/>
      <c r="V84" s="849"/>
      <c r="W84" s="849"/>
      <c r="X84" s="849"/>
      <c r="Y84" s="1007"/>
      <c r="Z84" s="852"/>
      <c r="AA84" s="855"/>
      <c r="AB84" s="852"/>
      <c r="AC84" s="852"/>
      <c r="AD84" s="852"/>
    </row>
    <row customHeight="1" ht="9">
      <c r="A85" s="851"/>
      <c r="B85" s="905">
        <v>68</v>
      </c>
      <c r="C85" s="849"/>
      <c r="D85" s="974"/>
      <c r="E85" s="849"/>
      <c r="F85" s="849"/>
      <c r="G85" s="849"/>
      <c r="H85" s="897"/>
      <c r="I85" s="1012" t="str">
        <f>INDEX(TEMPLATE_NUMBER_POINT_FHD,B85,MATCH(TEMPLATE_SPHERE,TEMPLATE_SPHERE_LIST_FOR_NOTE,0))</f>
        <v>10.2</v>
      </c>
      <c r="J85" s="1012" t="str">
        <f>INDEX(TEMPLATE_DATA_POINT_FHD,B85,MATCH(TEMPLATE_SPHERE,TEMPLATE_SPHERE_LIST_FOR_NOTE,0))</f>
        <v>Расчётным путём</v>
      </c>
      <c r="K85" s="1012">
        <f>INDEX(TEMPLATE_NOTE_POINT_FHD,B85,MATCH(TEMPLATE_SPHERE,TEMPLATE_SPHERE_LIST_FOR_NOTE,0))</f>
        <v>0</v>
      </c>
      <c r="L85" s="850" t="str">
        <f>IF(I85=0,"",I85)</f>
        <v>10.2</v>
      </c>
      <c r="M85" s="850" t="str">
        <f>IF(J85=0,"",J85)</f>
        <v>Расчётным путём</v>
      </c>
      <c r="N85" s="850" t="str">
        <f>IF(K85=0,"",K85)</f>
        <v/>
      </c>
      <c r="O85" s="964" t="s">
        <v>2198</v>
      </c>
      <c r="P85" s="964"/>
      <c r="Q85" s="964"/>
      <c r="R85" s="964"/>
      <c r="S85" s="964"/>
      <c r="T85" s="849" t="s">
        <v>2314</v>
      </c>
      <c r="U85" s="849"/>
      <c r="V85" s="849"/>
      <c r="W85" s="849"/>
      <c r="X85" s="849"/>
      <c r="Y85" s="1007"/>
      <c r="Z85" s="852"/>
      <c r="AA85" s="855"/>
      <c r="AB85" s="852"/>
      <c r="AC85" s="852"/>
      <c r="AD85" s="852"/>
    </row>
    <row customHeight="1" ht="27">
      <c r="A86" s="851"/>
      <c r="B86" s="905">
        <v>69</v>
      </c>
      <c r="C86" s="849"/>
      <c r="D86" s="974"/>
      <c r="E86" s="849"/>
      <c r="F86" s="849"/>
      <c r="G86" s="849"/>
      <c r="H86" s="897"/>
      <c r="I86" s="1012" t="str">
        <f>INDEX(TEMPLATE_NUMBER_POINT_FHD,B86,MATCH(TEMPLATE_SPHERE,TEMPLATE_SPHERE_LIST_FOR_NOTE,0))</f>
        <v>10.3</v>
      </c>
      <c r="J86" s="1012" t="str">
        <f>INDEX(TEMPLATE_DATA_POINT_FHD,B86,MATCH(TEMPLATE_SPHERE,TEMPLATE_SPHERE_LIST_FOR_NOTE,0))</f>
        <v>По нормативам потребления коммунальных услуг и нормативам потребления коммунальных ресурсов</v>
      </c>
      <c r="K86" s="1012">
        <f>INDEX(TEMPLATE_NOTE_POINT_FHD,B86,MATCH(TEMPLATE_SPHERE,TEMPLATE_SPHERE_LIST_FOR_NOTE,0))</f>
        <v>0</v>
      </c>
      <c r="L86" s="850" t="str">
        <f>IF(I86=0,"",I86)</f>
        <v>10.3</v>
      </c>
      <c r="M86" s="850" t="str">
        <f>IF(J86=0,"",J86)</f>
        <v>По нормативам потребления коммунальных услуг и нормативам потребления коммунальных ресурсов</v>
      </c>
      <c r="N86" s="850" t="str">
        <f>IF(K86=0,"",K86)</f>
        <v/>
      </c>
      <c r="O86" s="964" t="s">
        <v>2315</v>
      </c>
      <c r="P86" s="964"/>
      <c r="Q86" s="964"/>
      <c r="R86" s="964"/>
      <c r="S86" s="964"/>
      <c r="T86" s="849" t="s">
        <v>2316</v>
      </c>
      <c r="U86" s="849"/>
      <c r="V86" s="849"/>
      <c r="W86" s="849"/>
      <c r="X86" s="849"/>
      <c r="Y86" s="1007"/>
      <c r="Z86" s="852"/>
      <c r="AA86" s="855"/>
      <c r="AB86" s="852"/>
      <c r="AC86" s="852"/>
      <c r="AD86" s="852"/>
    </row>
    <row customHeight="1" ht="36">
      <c r="A87" s="851"/>
      <c r="B87" s="905">
        <v>70</v>
      </c>
      <c r="C87" s="849" t="s">
        <v>2317</v>
      </c>
      <c r="D87" s="974"/>
      <c r="E87" s="849"/>
      <c r="F87" s="849"/>
      <c r="G87" s="849"/>
      <c r="H87" s="897"/>
      <c r="I87" s="1012" t="str">
        <f>INDEX(TEMPLATE_NUMBER_POINT_FHD,B87,MATCH(TEMPLATE_SPHERE,TEMPLATE_SPHERE_LIST_FOR_NOTE,0))</f>
        <v>11</v>
      </c>
      <c r="J87" s="1012"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12">
        <f>INDEX(TEMPLATE_NOTE_POINT_FHD,B87,MATCH(TEMPLATE_SPHERE,TEMPLATE_SPHERE_LIST_FOR_NOTE,0))</f>
        <v>0</v>
      </c>
      <c r="L87" s="850" t="str">
        <f>IF(I87=0,"",I87)</f>
        <v>11</v>
      </c>
      <c r="M87" s="850" t="str">
        <f>IF(J87=0,"",J87)</f>
        <v>Нормативы технологических потерь при передаче тепловой энергии, теплоносителя по тепловым сетям, утвержденные уполномоченным органом</v>
      </c>
      <c r="N87" s="850" t="str">
        <f>IF(K87=0,"",K87)</f>
        <v/>
      </c>
      <c r="O87" s="964" t="s">
        <v>143</v>
      </c>
      <c r="P87" s="964"/>
      <c r="Q87" s="964"/>
      <c r="R87" s="964"/>
      <c r="S87" s="964"/>
      <c r="T87" s="849" t="s">
        <v>2318</v>
      </c>
      <c r="U87" s="849"/>
      <c r="V87" s="849"/>
      <c r="W87" s="849"/>
      <c r="X87" s="849"/>
      <c r="Y87" s="1007"/>
      <c r="Z87" s="852"/>
      <c r="AA87" s="855"/>
      <c r="AB87" s="852"/>
      <c r="AC87" s="852"/>
      <c r="AD87" s="852"/>
    </row>
    <row customHeight="1" ht="18">
      <c r="A88" s="851"/>
      <c r="B88" s="905">
        <v>71</v>
      </c>
      <c r="C88" s="849" t="s">
        <v>2319</v>
      </c>
      <c r="D88" s="974"/>
      <c r="E88" s="849"/>
      <c r="F88" s="849"/>
      <c r="G88" s="849"/>
      <c r="H88" s="897"/>
      <c r="I88" s="1012" t="str">
        <f>INDEX(TEMPLATE_NUMBER_POINT_FHD,B88,MATCH(TEMPLATE_SPHERE,TEMPLATE_SPHERE_LIST_FOR_NOTE,0))</f>
        <v>12</v>
      </c>
      <c r="J88" s="1012" t="str">
        <f>INDEX(TEMPLATE_DATA_POINT_FHD,B88,MATCH(TEMPLATE_SPHERE,TEMPLATE_SPHERE_LIST_FOR_NOTE,0))</f>
        <v>Фактический объем потерь при передаче тепловой энергии</v>
      </c>
      <c r="K88" s="1012">
        <f>INDEX(TEMPLATE_NOTE_POINT_FHD,B88,MATCH(TEMPLATE_SPHERE,TEMPLATE_SPHERE_LIST_FOR_NOTE,0))</f>
        <v>0</v>
      </c>
      <c r="L88" s="850" t="str">
        <f>IF(I88=0,"",I88)</f>
        <v>12</v>
      </c>
      <c r="M88" s="850" t="str">
        <f>IF(J88=0,"",J88)</f>
        <v>Фактический объем потерь при передаче тепловой энергии</v>
      </c>
      <c r="N88" s="850" t="str">
        <f>IF(K88=0,"",K88)</f>
        <v/>
      </c>
      <c r="O88" s="964" t="s">
        <v>148</v>
      </c>
      <c r="P88" s="964"/>
      <c r="Q88" s="964"/>
      <c r="R88" s="964"/>
      <c r="S88" s="964"/>
      <c r="T88" s="849" t="s">
        <v>2320</v>
      </c>
      <c r="U88" s="849"/>
      <c r="V88" s="849"/>
      <c r="W88" s="849"/>
      <c r="X88" s="849"/>
      <c r="Y88" s="1007"/>
      <c r="Z88" s="852"/>
      <c r="AA88" s="855"/>
      <c r="AB88" s="852"/>
      <c r="AC88" s="852"/>
      <c r="AD88" s="852"/>
    </row>
    <row customHeight="1" ht="18">
      <c r="A89" s="851"/>
      <c r="B89" s="905">
        <v>72</v>
      </c>
      <c r="C89" s="849" t="s">
        <v>2321</v>
      </c>
      <c r="D89" s="974" t="s">
        <v>2317</v>
      </c>
      <c r="E89" s="849" t="s">
        <v>2317</v>
      </c>
      <c r="F89" s="849" t="s">
        <v>2282</v>
      </c>
      <c r="G89" s="849"/>
      <c r="H89" s="897"/>
      <c r="I89" s="1012" t="str">
        <f>INDEX(TEMPLATE_NUMBER_POINT_FHD,B89,MATCH(TEMPLATE_SPHERE,TEMPLATE_SPHERE_LIST_FOR_NOTE,0))</f>
        <v>13</v>
      </c>
      <c r="J89" s="1012" t="str">
        <f>INDEX(TEMPLATE_DATA_POINT_FHD,B89,MATCH(TEMPLATE_SPHERE,TEMPLATE_SPHERE_LIST_FOR_NOTE,0))</f>
        <v>Среднесписочная численность основного производственного персонала</v>
      </c>
      <c r="K89" s="1012">
        <f>INDEX(TEMPLATE_NOTE_POINT_FHD,B89,MATCH(TEMPLATE_SPHERE,TEMPLATE_SPHERE_LIST_FOR_NOTE,0))</f>
        <v>0</v>
      </c>
      <c r="L89" s="850" t="str">
        <f>IF(I89=0,"",I89)</f>
        <v>13</v>
      </c>
      <c r="M89" s="850" t="str">
        <f>IF(J89=0,"",J89)</f>
        <v>Среднесписочная численность основного производственного персонала</v>
      </c>
      <c r="N89" s="850" t="str">
        <f>IF(K89=0,"",K89)</f>
        <v/>
      </c>
      <c r="O89" s="964" t="s">
        <v>152</v>
      </c>
      <c r="P89" s="964" t="s">
        <v>148</v>
      </c>
      <c r="Q89" s="964" t="s">
        <v>148</v>
      </c>
      <c r="R89" s="964" t="s">
        <v>139</v>
      </c>
      <c r="S89" s="964"/>
      <c r="T89" s="849" t="s">
        <v>2322</v>
      </c>
      <c r="U89" s="849" t="s">
        <v>2322</v>
      </c>
      <c r="V89" s="849" t="s">
        <v>2322</v>
      </c>
      <c r="W89" s="849" t="s">
        <v>2322</v>
      </c>
      <c r="X89" s="849"/>
      <c r="Y89" s="1007"/>
      <c r="Z89" s="852"/>
      <c r="AA89" s="855"/>
      <c r="AB89" s="852"/>
      <c r="AC89" s="852"/>
      <c r="AD89" s="852"/>
    </row>
    <row customHeight="1" ht="27">
      <c r="A90" s="851"/>
      <c r="B90" s="905">
        <v>73</v>
      </c>
      <c r="C90" s="849" t="s">
        <v>2323</v>
      </c>
      <c r="D90" s="974"/>
      <c r="E90" s="849"/>
      <c r="F90" s="849"/>
      <c r="G90" s="849"/>
      <c r="H90" s="897"/>
      <c r="I90" s="1012" t="str">
        <f>INDEX(TEMPLATE_NUMBER_POINT_FHD,B90,MATCH(TEMPLATE_SPHERE,TEMPLATE_SPHERE_LIST_FOR_NOTE,0))</f>
        <v>14</v>
      </c>
      <c r="J90" s="1012" t="str">
        <f>INDEX(TEMPLATE_DATA_POINT_FHD,B90,MATCH(TEMPLATE_SPHERE,TEMPLATE_SPHERE_LIST_FOR_NOTE,0))</f>
        <v>Среднесписочная численность административно-управленческого персонала</v>
      </c>
      <c r="K90" s="1012">
        <f>INDEX(TEMPLATE_NOTE_POINT_FHD,B90,MATCH(TEMPLATE_SPHERE,TEMPLATE_SPHERE_LIST_FOR_NOTE,0))</f>
        <v>0</v>
      </c>
      <c r="L90" s="850" t="str">
        <f>IF(I90=0,"",I90)</f>
        <v>14</v>
      </c>
      <c r="M90" s="850" t="str">
        <f>IF(J90=0,"",J90)</f>
        <v>Среднесписочная численность административно-управленческого персонала</v>
      </c>
      <c r="N90" s="850" t="str">
        <f>IF(K90=0,"",K90)</f>
        <v/>
      </c>
      <c r="O90" s="964" t="s">
        <v>157</v>
      </c>
      <c r="P90" s="964"/>
      <c r="Q90" s="964"/>
      <c r="R90" s="964"/>
      <c r="S90" s="964"/>
      <c r="T90" s="849" t="s">
        <v>2324</v>
      </c>
      <c r="U90" s="849"/>
      <c r="V90" s="849"/>
      <c r="W90" s="849"/>
      <c r="X90" s="849"/>
      <c r="Y90" s="1007"/>
      <c r="Z90" s="852"/>
      <c r="AA90" s="855"/>
      <c r="AB90" s="852"/>
      <c r="AC90" s="852"/>
      <c r="AD90" s="852"/>
    </row>
    <row customHeight="1" ht="18">
      <c r="A91" s="851"/>
      <c r="B91" s="905">
        <v>74</v>
      </c>
      <c r="C91" s="849"/>
      <c r="D91" s="974" t="s">
        <v>2319</v>
      </c>
      <c r="E91" s="849" t="s">
        <v>2319</v>
      </c>
      <c r="F91" s="849"/>
      <c r="G91" s="849"/>
      <c r="H91" s="897"/>
      <c r="I91" s="1012">
        <f>INDEX(TEMPLATE_NUMBER_POINT_FHD,B91,MATCH(TEMPLATE_SPHERE,TEMPLATE_SPHERE_LIST_FOR_NOTE,0))</f>
        <v>0</v>
      </c>
      <c r="J91" s="1012">
        <f>INDEX(TEMPLATE_DATA_POINT_FHD,B91,MATCH(TEMPLATE_SPHERE,TEMPLATE_SPHERE_LIST_FOR_NOTE,0))</f>
        <v>0</v>
      </c>
      <c r="K91" s="1012">
        <f>INDEX(TEMPLATE_NOTE_POINT_FHD,B91,MATCH(TEMPLATE_SPHERE,TEMPLATE_SPHERE_LIST_FOR_NOTE,0))</f>
        <v>0</v>
      </c>
      <c r="L91" s="850" t="str">
        <f>IF(I91=0,"",I91)</f>
        <v/>
      </c>
      <c r="M91" s="850" t="str">
        <f>IF(J91=0,"",J91)</f>
        <v/>
      </c>
      <c r="N91" s="850" t="str">
        <f>IF(K91=0,"",K91)</f>
        <v/>
      </c>
      <c r="O91" s="964"/>
      <c r="P91" s="964" t="s">
        <v>152</v>
      </c>
      <c r="Q91" s="964" t="s">
        <v>152</v>
      </c>
      <c r="R91" s="964"/>
      <c r="S91" s="964"/>
      <c r="T91" s="849"/>
      <c r="U91" s="849" t="s">
        <v>2325</v>
      </c>
      <c r="V91" s="849" t="s">
        <v>2325</v>
      </c>
      <c r="W91" s="849"/>
      <c r="X91" s="849"/>
      <c r="Y91" s="1007"/>
      <c r="Z91" s="852"/>
      <c r="AA91" s="855"/>
      <c r="AB91" s="852"/>
      <c r="AC91" s="852"/>
      <c r="AD91" s="852"/>
    </row>
    <row customHeight="1" ht="27">
      <c r="A92" s="851"/>
      <c r="B92" s="905">
        <v>75</v>
      </c>
      <c r="C92" s="849"/>
      <c r="D92" s="974" t="s">
        <v>2321</v>
      </c>
      <c r="E92" s="849"/>
      <c r="F92" s="849"/>
      <c r="G92" s="849"/>
      <c r="H92" s="897"/>
      <c r="I92" s="1012">
        <f>INDEX(TEMPLATE_NUMBER_POINT_FHD,B92,MATCH(TEMPLATE_SPHERE,TEMPLATE_SPHERE_LIST_FOR_NOTE,0))</f>
        <v>0</v>
      </c>
      <c r="J92" s="1012">
        <f>INDEX(TEMPLATE_DATA_POINT_FHD,B92,MATCH(TEMPLATE_SPHERE,TEMPLATE_SPHERE_LIST_FOR_NOTE,0))</f>
        <v>0</v>
      </c>
      <c r="K92" s="1012">
        <f>INDEX(TEMPLATE_NOTE_POINT_FHD,B92,MATCH(TEMPLATE_SPHERE,TEMPLATE_SPHERE_LIST_FOR_NOTE,0))</f>
        <v>0</v>
      </c>
      <c r="L92" s="850" t="str">
        <f>IF(I92=0,"",I92)</f>
        <v/>
      </c>
      <c r="M92" s="850" t="str">
        <f>IF(J92=0,"",J92)</f>
        <v/>
      </c>
      <c r="N92" s="850" t="str">
        <f>IF(K92=0,"",K92)</f>
        <v/>
      </c>
      <c r="O92" s="964"/>
      <c r="P92" s="964" t="s">
        <v>157</v>
      </c>
      <c r="Q92" s="964"/>
      <c r="R92" s="964"/>
      <c r="S92" s="964"/>
      <c r="T92" s="849"/>
      <c r="U92" s="849" t="s">
        <v>2326</v>
      </c>
      <c r="V92" s="849"/>
      <c r="W92" s="849"/>
      <c r="X92" s="849"/>
      <c r="Y92" s="1007"/>
      <c r="Z92" s="852"/>
      <c r="AA92" s="855" t="s">
        <v>2327</v>
      </c>
      <c r="AB92" s="852"/>
      <c r="AC92" s="852"/>
      <c r="AD92" s="852"/>
    </row>
    <row customHeight="1" ht="27">
      <c r="A93" s="851"/>
      <c r="B93" s="905">
        <v>76</v>
      </c>
      <c r="C93" s="849"/>
      <c r="D93" s="974"/>
      <c r="E93" s="849"/>
      <c r="F93" s="849"/>
      <c r="G93" s="849"/>
      <c r="H93" s="897"/>
      <c r="I93" s="1012">
        <f>INDEX(TEMPLATE_NUMBER_POINT_FHD,B93,MATCH(TEMPLATE_SPHERE,TEMPLATE_SPHERE_LIST_FOR_NOTE,0))</f>
        <v>0</v>
      </c>
      <c r="J93" s="1012">
        <f>INDEX(TEMPLATE_DATA_POINT_FHD,B93,MATCH(TEMPLATE_SPHERE,TEMPLATE_SPHERE_LIST_FOR_NOTE,0))</f>
        <v>0</v>
      </c>
      <c r="K93" s="1012">
        <f>INDEX(TEMPLATE_NOTE_POINT_FHD,B93,MATCH(TEMPLATE_SPHERE,TEMPLATE_SPHERE_LIST_FOR_NOTE,0))</f>
        <v>0</v>
      </c>
      <c r="L93" s="850" t="str">
        <f>IF(I93=0,"",I93)</f>
        <v/>
      </c>
      <c r="M93" s="850" t="str">
        <f>IF(J93=0,"",J93)</f>
        <v/>
      </c>
      <c r="N93" s="850" t="str">
        <f>IF(K93=0,"",K93)</f>
        <v/>
      </c>
      <c r="O93" s="964"/>
      <c r="P93" s="964" t="s">
        <v>2226</v>
      </c>
      <c r="Q93" s="964"/>
      <c r="R93" s="964"/>
      <c r="S93" s="964"/>
      <c r="T93" s="849"/>
      <c r="U93" s="849" t="s">
        <v>2328</v>
      </c>
      <c r="V93" s="849"/>
      <c r="W93" s="849"/>
      <c r="X93" s="849"/>
      <c r="Y93" s="1007"/>
      <c r="Z93" s="852"/>
      <c r="AA93" s="855" t="s">
        <v>2329</v>
      </c>
      <c r="AB93" s="852"/>
      <c r="AC93" s="852"/>
      <c r="AD93" s="852"/>
    </row>
    <row customHeight="1" ht="45">
      <c r="A94" s="851"/>
      <c r="B94" s="905">
        <v>77</v>
      </c>
      <c r="C94" s="849"/>
      <c r="D94" s="974" t="s">
        <v>2323</v>
      </c>
      <c r="E94" s="849"/>
      <c r="F94" s="849"/>
      <c r="G94" s="849"/>
      <c r="H94" s="897"/>
      <c r="I94" s="1012">
        <f>INDEX(TEMPLATE_NUMBER_POINT_FHD,B94,MATCH(TEMPLATE_SPHERE,TEMPLATE_SPHERE_LIST_FOR_NOTE,0))</f>
        <v>0</v>
      </c>
      <c r="J94" s="1012">
        <f>INDEX(TEMPLATE_DATA_POINT_FHD,B94,MATCH(TEMPLATE_SPHERE,TEMPLATE_SPHERE_LIST_FOR_NOTE,0))</f>
        <v>0</v>
      </c>
      <c r="K94" s="1012">
        <f>INDEX(TEMPLATE_NOTE_POINT_FHD,B94,MATCH(TEMPLATE_SPHERE,TEMPLATE_SPHERE_LIST_FOR_NOTE,0))</f>
        <v>0</v>
      </c>
      <c r="L94" s="850" t="str">
        <f>IF(I94=0,"",I94)</f>
        <v/>
      </c>
      <c r="M94" s="850" t="str">
        <f>IF(J94=0,"",J94)</f>
        <v/>
      </c>
      <c r="N94" s="850" t="str">
        <f>IF(K94=0,"",K94)</f>
        <v/>
      </c>
      <c r="O94" s="964"/>
      <c r="P94" s="964" t="s">
        <v>159</v>
      </c>
      <c r="Q94" s="964"/>
      <c r="R94" s="964"/>
      <c r="S94" s="964"/>
      <c r="T94" s="849"/>
      <c r="U94" s="849" t="s">
        <v>2330</v>
      </c>
      <c r="V94" s="849"/>
      <c r="W94" s="849"/>
      <c r="X94" s="849"/>
      <c r="Y94" s="1007"/>
      <c r="Z94" s="852"/>
      <c r="AA94" s="855" t="s">
        <v>2331</v>
      </c>
      <c r="AB94" s="852"/>
      <c r="AC94" s="852"/>
      <c r="AD94" s="852"/>
    </row>
    <row customHeight="1" ht="99">
      <c r="A95" s="851"/>
      <c r="B95" s="905">
        <v>78</v>
      </c>
      <c r="C95" s="849" t="s">
        <v>2332</v>
      </c>
      <c r="D95" s="974"/>
      <c r="E95" s="849"/>
      <c r="F95" s="849"/>
      <c r="G95" s="849"/>
      <c r="H95" s="897"/>
      <c r="I95" s="1012" t="str">
        <f>INDEX(TEMPLATE_NUMBER_POINT_FHD,B95,MATCH(TEMPLATE_SPHERE,TEMPLATE_SPHERE_LIST_FOR_NOTE,0))</f>
        <v>15</v>
      </c>
      <c r="J95" s="1012"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12">
        <f>INDEX(TEMPLATE_NOTE_POINT_FHD,B95,MATCH(TEMPLATE_SPHERE,TEMPLATE_SPHERE_LIST_FOR_NOTE,0))</f>
        <v>0</v>
      </c>
      <c r="L95" s="850" t="str">
        <f>IF(I95=0,"",I95)</f>
        <v>15</v>
      </c>
      <c r="M95" s="850"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50" t="str">
        <f>IF(K95=0,"",K95)</f>
        <v/>
      </c>
      <c r="O95" s="964" t="s">
        <v>159</v>
      </c>
      <c r="P95" s="964"/>
      <c r="Q95" s="964"/>
      <c r="R95" s="964"/>
      <c r="S95" s="964"/>
      <c r="T95" s="849" t="s">
        <v>2333</v>
      </c>
      <c r="U95" s="849"/>
      <c r="V95" s="849"/>
      <c r="W95" s="849"/>
      <c r="X95" s="849"/>
      <c r="Y95" s="1007"/>
      <c r="Z95" s="852"/>
      <c r="AA95" s="855"/>
      <c r="AB95" s="852"/>
      <c r="AC95" s="852"/>
      <c r="AD95" s="852"/>
    </row>
    <row customHeight="1" ht="99">
      <c r="A96" s="851"/>
      <c r="B96" s="905">
        <v>79</v>
      </c>
      <c r="C96" s="849" t="s">
        <v>1286</v>
      </c>
      <c r="D96" s="974"/>
      <c r="E96" s="849"/>
      <c r="F96" s="849"/>
      <c r="G96" s="849"/>
      <c r="H96" s="897"/>
      <c r="I96" s="1012" t="str">
        <f>INDEX(TEMPLATE_NUMBER_POINT_FHD,B96,MATCH(TEMPLATE_SPHERE,TEMPLATE_SPHERE_LIST_FOR_NOTE,0))</f>
        <v>16</v>
      </c>
      <c r="J96" s="1012"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12"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50" t="str">
        <f>IF(I96=0,"",I96)</f>
        <v>16</v>
      </c>
      <c r="M96" s="850"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50"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64" t="s">
        <v>166</v>
      </c>
      <c r="P96" s="964"/>
      <c r="Q96" s="964"/>
      <c r="R96" s="964"/>
      <c r="S96" s="964"/>
      <c r="T96" s="849" t="s">
        <v>2334</v>
      </c>
      <c r="U96" s="849"/>
      <c r="V96" s="849"/>
      <c r="W96" s="849"/>
      <c r="X96" s="849"/>
      <c r="Y96" s="1007"/>
      <c r="Z96" s="852" t="s">
        <v>2335</v>
      </c>
      <c r="AA96" s="855"/>
      <c r="AB96" s="852"/>
      <c r="AC96" s="852"/>
      <c r="AD96" s="852"/>
    </row>
    <row customHeight="1" ht="63">
      <c r="A97" s="851"/>
      <c r="B97" s="905">
        <v>80</v>
      </c>
      <c r="C97" s="849" t="s">
        <v>2336</v>
      </c>
      <c r="D97" s="974"/>
      <c r="E97" s="849"/>
      <c r="F97" s="849"/>
      <c r="G97" s="849"/>
      <c r="H97" s="897"/>
      <c r="I97" s="1012" t="str">
        <f>INDEX(TEMPLATE_NUMBER_POINT_FHD,B97,MATCH(TEMPLATE_SPHERE,TEMPLATE_SPHERE_LIST_FOR_NOTE,0))</f>
        <v>17</v>
      </c>
      <c r="J97" s="1012"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12"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50" t="str">
        <f>IF(I97=0,"",I97)</f>
        <v>17</v>
      </c>
      <c r="M97" s="850"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50" t="str">
        <f>IF(K97=0,"",K97)</f>
        <v>Регулируемыми организациями указывается информация с по договорам, заключенным в рамках осуществления регулируемой деятельности.</v>
      </c>
      <c r="O97" s="964" t="s">
        <v>170</v>
      </c>
      <c r="P97" s="964"/>
      <c r="Q97" s="964"/>
      <c r="R97" s="964"/>
      <c r="S97" s="964"/>
      <c r="T97" s="849" t="s">
        <v>2337</v>
      </c>
      <c r="U97" s="849"/>
      <c r="V97" s="849"/>
      <c r="W97" s="849"/>
      <c r="X97" s="849"/>
      <c r="Y97" s="1007"/>
      <c r="Z97" s="852" t="s">
        <v>2338</v>
      </c>
      <c r="AA97" s="855"/>
      <c r="AB97" s="852"/>
      <c r="AC97" s="852"/>
      <c r="AD97" s="852"/>
    </row>
    <row customHeight="1" ht="63">
      <c r="A98" s="851"/>
      <c r="B98" s="905">
        <v>81</v>
      </c>
      <c r="C98" s="849" t="s">
        <v>2339</v>
      </c>
      <c r="D98" s="974"/>
      <c r="E98" s="849"/>
      <c r="F98" s="849"/>
      <c r="G98" s="849"/>
      <c r="H98" s="897"/>
      <c r="I98" s="1012" t="str">
        <f>INDEX(TEMPLATE_NUMBER_POINT_FHD,B98,MATCH(TEMPLATE_SPHERE,TEMPLATE_SPHERE_LIST_FOR_NOTE,0))</f>
        <v>18</v>
      </c>
      <c r="J98" s="1012"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12"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50" t="str">
        <f>IF(I98=0,"",I98)</f>
        <v>18</v>
      </c>
      <c r="M98" s="850"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50" t="str">
        <f>IF(K98=0,"",K98)</f>
        <v>Регулируемыми организациями указывается информация с по договорам, заключенным в рамках осуществления регулируемой деятельности.</v>
      </c>
      <c r="O98" s="964" t="s">
        <v>175</v>
      </c>
      <c r="P98" s="964"/>
      <c r="Q98" s="964"/>
      <c r="R98" s="964"/>
      <c r="S98" s="964"/>
      <c r="T98" s="849" t="s">
        <v>2340</v>
      </c>
      <c r="U98" s="849"/>
      <c r="V98" s="849"/>
      <c r="W98" s="849"/>
      <c r="X98" s="849"/>
      <c r="Y98" s="1007"/>
      <c r="Z98" s="852" t="s">
        <v>2338</v>
      </c>
      <c r="AA98" s="855"/>
      <c r="AB98" s="852"/>
      <c r="AC98" s="852"/>
      <c r="AD98" s="852"/>
    </row>
    <row customHeight="1" ht="90">
      <c r="A99" s="851"/>
      <c r="B99" s="905">
        <v>82</v>
      </c>
      <c r="C99" s="849" t="s">
        <v>2341</v>
      </c>
      <c r="D99" s="974"/>
      <c r="E99" s="849"/>
      <c r="F99" s="849"/>
      <c r="G99" s="849"/>
      <c r="H99" s="897"/>
      <c r="I99" s="1012" t="str">
        <f>INDEX(TEMPLATE_NUMBER_POINT_FHD,B99,MATCH(TEMPLATE_SPHERE,TEMPLATE_SPHERE_LIST_FOR_NOTE,0))</f>
        <v>19</v>
      </c>
      <c r="J99" s="1012"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12" t="str">
        <f>INDEX(TEMPLATE_NOTE_POINT_FHD,B99,MATCH(TEMPLATE_SPHERE,TEMPLATE_SPHERE_LIST_FOR_NOTE,0))</f>
        <v>Указывается ссылка на документ, предварительно загруженный в хранилище файлов ФГИС ЕИАС.</v>
      </c>
      <c r="L99" s="850" t="str">
        <f>IF(I99=0,"",I99)</f>
        <v>19</v>
      </c>
      <c r="M99" s="850"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50" t="str">
        <f>IF(K99=0,"",K99)</f>
        <v>Указывается ссылка на документ, предварительно загруженный в хранилище файлов ФГИС ЕИАС.</v>
      </c>
      <c r="O99" s="964" t="s">
        <v>180</v>
      </c>
      <c r="P99" s="964"/>
      <c r="Q99" s="964"/>
      <c r="R99" s="964"/>
      <c r="S99" s="964"/>
      <c r="T99" s="849" t="s">
        <v>2342</v>
      </c>
      <c r="U99" s="849"/>
      <c r="V99" s="849"/>
      <c r="W99" s="849"/>
      <c r="X99" s="849"/>
      <c r="Y99" s="1007"/>
      <c r="Z99" s="852" t="s">
        <v>1010</v>
      </c>
      <c r="AA99" s="855"/>
      <c r="AB99" s="852"/>
      <c r="AC99" s="852"/>
      <c r="AD99" s="852"/>
    </row>
    <row customHeight="1" ht="27">
      <c r="A100" s="851"/>
      <c r="B100" s="905">
        <v>83</v>
      </c>
      <c r="C100" s="849"/>
      <c r="D100" s="974"/>
      <c r="E100" s="849"/>
      <c r="F100" s="849"/>
      <c r="G100" s="849"/>
      <c r="H100" s="897"/>
      <c r="I100" s="1012" t="str">
        <f>INDEX(TEMPLATE_NUMBER_POINT_FHD,B100,MATCH(TEMPLATE_SPHERE,TEMPLATE_SPHERE_LIST_FOR_NOTE,0))</f>
        <v>19.1</v>
      </c>
      <c r="J100" s="1012" t="str">
        <f>INDEX(TEMPLATE_DATA_POINT_FHD,B100,MATCH(TEMPLATE_SPHERE,TEMPLATE_SPHERE_LIST_FOR_NOTE,0))</f>
        <v>Информация о показателях физического износа объектов теплоснабжения</v>
      </c>
      <c r="K100" s="1012" t="str">
        <f>INDEX(TEMPLATE_NOTE_POINT_FHD,B100,MATCH(TEMPLATE_SPHERE,TEMPLATE_SPHERE_LIST_FOR_NOTE,0))</f>
        <v>Указывается ссылка на документ, предварительно загруженный в хранилище файлов ФГИС ЕИАС.</v>
      </c>
      <c r="L100" s="850" t="str">
        <f>IF(I100=0,"",I100)</f>
        <v>19.1</v>
      </c>
      <c r="M100" s="850" t="str">
        <f>IF(J100=0,"",J100)</f>
        <v>Информация о показателях физического износа объектов теплоснабжения</v>
      </c>
      <c r="N100" s="850" t="str">
        <f>IF(K100=0,"",K100)</f>
        <v>Указывается ссылка на документ, предварительно загруженный в хранилище файлов ФГИС ЕИАС.</v>
      </c>
      <c r="O100" s="964" t="s">
        <v>2343</v>
      </c>
      <c r="P100" s="964"/>
      <c r="Q100" s="964"/>
      <c r="R100" s="964"/>
      <c r="S100" s="964"/>
      <c r="T100" s="849" t="s">
        <v>2344</v>
      </c>
      <c r="U100" s="849"/>
      <c r="V100" s="849"/>
      <c r="W100" s="849"/>
      <c r="X100" s="849"/>
      <c r="Y100" s="1007"/>
      <c r="Z100" s="852" t="s">
        <v>1010</v>
      </c>
      <c r="AA100" s="855"/>
      <c r="AB100" s="852"/>
      <c r="AC100" s="852"/>
      <c r="AD100" s="852"/>
    </row>
    <row customHeight="1" ht="27">
      <c r="A101" s="851"/>
      <c r="B101" s="905">
        <v>84</v>
      </c>
      <c r="C101" s="849"/>
      <c r="D101" s="974"/>
      <c r="E101" s="849"/>
      <c r="F101" s="849"/>
      <c r="G101" s="849"/>
      <c r="H101" s="897"/>
      <c r="I101" s="1012" t="str">
        <f>INDEX(TEMPLATE_NUMBER_POINT_FHD,B101,MATCH(TEMPLATE_SPHERE,TEMPLATE_SPHERE_LIST_FOR_NOTE,0))</f>
        <v>19.2</v>
      </c>
      <c r="J101" s="1012" t="str">
        <f>INDEX(TEMPLATE_DATA_POINT_FHD,B101,MATCH(TEMPLATE_SPHERE,TEMPLATE_SPHERE_LIST_FOR_NOTE,0))</f>
        <v>Информация о показателях энергетической эффективности объектов теплоснабжения</v>
      </c>
      <c r="K101" s="1012" t="str">
        <f>INDEX(TEMPLATE_NOTE_POINT_FHD,B101,MATCH(TEMPLATE_SPHERE,TEMPLATE_SPHERE_LIST_FOR_NOTE,0))</f>
        <v>Указывается ссылка на документ, предварительно загруженный в хранилище файлов ФГИС ЕИАС.</v>
      </c>
      <c r="L101" s="850" t="str">
        <f>IF(I101=0,"",I101)</f>
        <v>19.2</v>
      </c>
      <c r="M101" s="850" t="str">
        <f>IF(J101=0,"",J101)</f>
        <v>Информация о показателях энергетической эффективности объектов теплоснабжения</v>
      </c>
      <c r="N101" s="850" t="str">
        <f>IF(K101=0,"",K101)</f>
        <v>Указывается ссылка на документ, предварительно загруженный в хранилище файлов ФГИС ЕИАС.</v>
      </c>
      <c r="O101" s="964" t="s">
        <v>2345</v>
      </c>
      <c r="P101" s="964"/>
      <c r="Q101" s="964"/>
      <c r="R101" s="964"/>
      <c r="S101" s="964"/>
      <c r="T101" s="849" t="s">
        <v>2346</v>
      </c>
      <c r="U101" s="849"/>
      <c r="V101" s="849"/>
      <c r="W101" s="849"/>
      <c r="X101" s="849"/>
      <c r="Y101" s="1007"/>
      <c r="Z101" s="852" t="s">
        <v>1010</v>
      </c>
      <c r="AA101" s="855"/>
      <c r="AB101" s="852"/>
      <c r="AC101" s="852"/>
      <c r="AD101" s="852"/>
    </row>
    <row customHeight="1" ht="9">
      <c r="A102" s="851"/>
      <c r="B102" s="851"/>
      <c r="C102" s="849"/>
      <c r="D102" s="849"/>
      <c r="E102" s="849"/>
      <c r="F102" s="849"/>
      <c r="G102" s="849"/>
      <c r="H102" s="897"/>
      <c r="I102" s="897"/>
      <c r="J102" s="897"/>
      <c r="K102" s="897"/>
      <c r="L102" s="897"/>
      <c r="M102" s="849"/>
      <c r="N102" s="896"/>
      <c r="O102" s="964"/>
      <c r="P102" s="964"/>
      <c r="Q102" s="964"/>
      <c r="R102" s="964"/>
      <c r="S102" s="849"/>
      <c r="T102" s="849"/>
      <c r="U102" s="849"/>
      <c r="V102" s="849"/>
      <c r="W102" s="849"/>
      <c r="X102" s="849"/>
      <c r="Y102" s="1007"/>
      <c r="Z102" s="852"/>
      <c r="AA102" s="855"/>
      <c r="AB102" s="852"/>
      <c r="AC102" s="852"/>
      <c r="AD102" s="852"/>
    </row>
    <row customHeight="1" ht="9">
      <c r="A103" s="851"/>
      <c r="B103" s="851"/>
      <c r="C103" s="849"/>
      <c r="D103" s="849"/>
      <c r="E103" s="849"/>
      <c r="F103" s="849"/>
      <c r="G103" s="849"/>
      <c r="H103" s="897"/>
      <c r="I103" s="897"/>
      <c r="J103" s="897"/>
      <c r="K103" s="897"/>
      <c r="L103" s="897"/>
      <c r="M103" s="849"/>
      <c r="N103" s="896"/>
      <c r="O103" s="964"/>
      <c r="P103" s="964"/>
      <c r="Q103" s="964"/>
      <c r="R103" s="964"/>
      <c r="S103" s="849"/>
      <c r="T103" s="849"/>
      <c r="U103" s="849"/>
      <c r="V103" s="849"/>
      <c r="W103" s="849"/>
      <c r="X103" s="849"/>
      <c r="Y103" s="1007"/>
      <c r="Z103" s="852"/>
      <c r="AA103" s="855"/>
      <c r="AB103" s="852"/>
      <c r="AC103" s="852"/>
      <c r="AD103" s="852"/>
    </row>
    <row customHeight="1" ht="9">
      <c r="A104" s="851"/>
      <c r="B104" s="851"/>
      <c r="C104" s="849"/>
      <c r="D104" s="849"/>
      <c r="E104" s="849"/>
      <c r="F104" s="849"/>
      <c r="G104" s="849"/>
      <c r="H104" s="897"/>
      <c r="I104" s="897"/>
      <c r="J104" s="897"/>
      <c r="K104" s="897"/>
      <c r="L104" s="897"/>
      <c r="M104" s="849"/>
      <c r="N104" s="896"/>
      <c r="O104" s="964"/>
      <c r="P104" s="964"/>
      <c r="Q104" s="964"/>
      <c r="R104" s="964"/>
      <c r="S104" s="849"/>
      <c r="T104" s="849"/>
      <c r="U104" s="849"/>
      <c r="V104" s="849"/>
      <c r="W104" s="849"/>
      <c r="X104" s="849"/>
      <c r="Y104" s="1007"/>
      <c r="Z104" s="852"/>
      <c r="AA104" s="855"/>
      <c r="AB104" s="852"/>
      <c r="AC104" s="852"/>
      <c r="AD104" s="852"/>
    </row>
    <row customHeight="1" ht="9">
      <c r="A105" s="851"/>
      <c r="B105" s="851"/>
      <c r="C105" s="849"/>
      <c r="D105" s="849"/>
      <c r="E105" s="849"/>
      <c r="F105" s="849"/>
      <c r="G105" s="849"/>
      <c r="H105" s="897"/>
      <c r="I105" s="897"/>
      <c r="J105" s="897"/>
      <c r="K105" s="897"/>
      <c r="L105" s="897"/>
      <c r="M105" s="849"/>
      <c r="N105" s="896"/>
      <c r="O105" s="964"/>
      <c r="P105" s="964"/>
      <c r="Q105" s="964"/>
      <c r="R105" s="964"/>
      <c r="S105" s="849"/>
      <c r="T105" s="849"/>
      <c r="U105" s="849"/>
      <c r="V105" s="849"/>
      <c r="W105" s="849"/>
      <c r="X105" s="849"/>
      <c r="Y105" s="1007"/>
      <c r="Z105" s="852"/>
      <c r="AA105" s="855"/>
      <c r="AB105" s="852"/>
      <c r="AC105" s="852"/>
      <c r="AD105" s="852"/>
    </row>
    <row customHeight="1" ht="9">
      <c r="A106" s="851"/>
      <c r="B106" s="851"/>
      <c r="C106" s="849"/>
      <c r="D106" s="849"/>
      <c r="E106" s="849"/>
      <c r="F106" s="849"/>
      <c r="G106" s="849"/>
      <c r="H106" s="897"/>
      <c r="I106" s="897"/>
      <c r="J106" s="897"/>
      <c r="K106" s="897"/>
      <c r="L106" s="897"/>
      <c r="M106" s="849"/>
      <c r="N106" s="896"/>
      <c r="O106" s="964"/>
      <c r="P106" s="964"/>
      <c r="Q106" s="964"/>
      <c r="R106" s="964"/>
      <c r="S106" s="849"/>
      <c r="T106" s="849"/>
      <c r="U106" s="849"/>
      <c r="V106" s="849"/>
      <c r="W106" s="849"/>
      <c r="X106" s="849"/>
      <c r="Y106" s="1007"/>
      <c r="Z106" s="852"/>
      <c r="AA106" s="855"/>
      <c r="AB106" s="852"/>
      <c r="AC106" s="852"/>
      <c r="AD106" s="852"/>
    </row>
    <row customHeight="1" ht="9">
      <c r="A107" s="851"/>
      <c r="B107" s="851"/>
      <c r="C107" s="849"/>
      <c r="D107" s="849"/>
      <c r="E107" s="849"/>
      <c r="F107" s="849"/>
      <c r="G107" s="849"/>
      <c r="H107" s="897"/>
      <c r="I107" s="897"/>
      <c r="J107" s="897"/>
      <c r="K107" s="897"/>
      <c r="L107" s="897"/>
      <c r="M107" s="849"/>
      <c r="N107" s="896"/>
      <c r="O107" s="964"/>
      <c r="P107" s="964"/>
      <c r="Q107" s="964"/>
      <c r="R107" s="964"/>
      <c r="S107" s="849"/>
      <c r="T107" s="849"/>
      <c r="U107" s="849"/>
      <c r="V107" s="849"/>
      <c r="W107" s="849"/>
      <c r="X107" s="849"/>
      <c r="Y107" s="1007"/>
      <c r="Z107" s="852"/>
      <c r="AA107" s="855"/>
      <c r="AB107" s="852"/>
      <c r="AC107" s="852"/>
      <c r="AD107" s="852"/>
    </row>
    <row customHeight="1" ht="9">
      <c r="A108" s="851"/>
      <c r="B108" s="851"/>
      <c r="C108" s="849"/>
      <c r="D108" s="849"/>
      <c r="E108" s="849"/>
      <c r="F108" s="849"/>
      <c r="G108" s="849"/>
      <c r="H108" s="897"/>
      <c r="I108" s="897"/>
      <c r="J108" s="897"/>
      <c r="K108" s="897"/>
      <c r="L108" s="897"/>
      <c r="M108" s="849"/>
      <c r="N108" s="896"/>
      <c r="O108" s="964"/>
      <c r="P108" s="964"/>
      <c r="Q108" s="964"/>
      <c r="R108" s="964"/>
      <c r="S108" s="849"/>
      <c r="T108" s="849"/>
      <c r="U108" s="849"/>
      <c r="V108" s="849"/>
      <c r="W108" s="849"/>
      <c r="X108" s="849"/>
      <c r="Y108" s="1007"/>
      <c r="Z108" s="852"/>
      <c r="AA108" s="855"/>
      <c r="AB108" s="852"/>
      <c r="AC108" s="852"/>
      <c r="AD108" s="852"/>
    </row>
    <row customHeight="1" ht="9">
      <c r="A109" s="851"/>
      <c r="B109" s="851"/>
      <c r="C109" s="849"/>
      <c r="D109" s="849"/>
      <c r="E109" s="849"/>
      <c r="F109" s="849"/>
      <c r="G109" s="849"/>
      <c r="H109" s="897"/>
      <c r="I109" s="897"/>
      <c r="J109" s="897"/>
      <c r="K109" s="897"/>
      <c r="L109" s="897"/>
      <c r="M109" s="849"/>
      <c r="N109" s="896"/>
      <c r="O109" s="964"/>
      <c r="P109" s="964"/>
      <c r="Q109" s="964"/>
      <c r="R109" s="964"/>
      <c r="S109" s="849"/>
      <c r="T109" s="849"/>
      <c r="U109" s="849"/>
      <c r="V109" s="849"/>
      <c r="W109" s="849"/>
      <c r="X109" s="849"/>
      <c r="Y109" s="1007"/>
      <c r="Z109" s="852"/>
      <c r="AA109" s="855"/>
      <c r="AB109" s="852"/>
      <c r="AC109" s="852"/>
      <c r="AD109" s="852"/>
    </row>
    <row customHeight="1" ht="9">
      <c r="A110" s="851"/>
      <c r="B110" s="851"/>
      <c r="C110" s="849"/>
      <c r="D110" s="849"/>
      <c r="E110" s="849"/>
      <c r="F110" s="849"/>
      <c r="G110" s="849"/>
      <c r="H110" s="897"/>
      <c r="I110" s="897"/>
      <c r="J110" s="897"/>
      <c r="K110" s="897"/>
      <c r="L110" s="897"/>
      <c r="M110" s="849"/>
      <c r="N110" s="896"/>
      <c r="O110" s="964"/>
      <c r="P110" s="964"/>
      <c r="Q110" s="964"/>
      <c r="R110" s="964"/>
      <c r="S110" s="849"/>
      <c r="T110" s="849"/>
      <c r="U110" s="849"/>
      <c r="V110" s="849"/>
      <c r="W110" s="849"/>
      <c r="X110" s="849"/>
      <c r="Y110" s="1007"/>
      <c r="Z110" s="852"/>
      <c r="AA110" s="855"/>
      <c r="AB110" s="852"/>
      <c r="AC110" s="852"/>
      <c r="AD110" s="852"/>
    </row>
    <row customHeight="1" ht="9">
      <c r="A111" s="851"/>
      <c r="B111" s="851"/>
      <c r="C111" s="849"/>
      <c r="D111" s="849"/>
      <c r="E111" s="849"/>
      <c r="F111" s="849"/>
      <c r="G111" s="849"/>
      <c r="H111" s="897"/>
      <c r="I111" s="897"/>
      <c r="J111" s="897"/>
      <c r="K111" s="897"/>
      <c r="L111" s="897"/>
      <c r="M111" s="849"/>
      <c r="N111" s="896"/>
      <c r="O111" s="964"/>
      <c r="P111" s="964"/>
      <c r="Q111" s="964"/>
      <c r="R111" s="964"/>
      <c r="S111" s="849"/>
      <c r="T111" s="849"/>
      <c r="U111" s="849"/>
      <c r="V111" s="849"/>
      <c r="W111" s="849"/>
      <c r="X111" s="849"/>
      <c r="Y111" s="1007"/>
      <c r="Z111" s="852"/>
      <c r="AA111" s="855"/>
      <c r="AB111" s="852"/>
      <c r="AC111" s="852"/>
      <c r="AD111" s="852"/>
    </row>
    <row customHeight="1" ht="9">
      <c r="A112" s="851"/>
      <c r="B112" s="851"/>
      <c r="C112" s="849"/>
      <c r="D112" s="849"/>
      <c r="E112" s="849"/>
      <c r="F112" s="849"/>
      <c r="G112" s="849"/>
      <c r="H112" s="897"/>
      <c r="I112" s="897"/>
      <c r="J112" s="897"/>
      <c r="K112" s="897"/>
      <c r="L112" s="897"/>
      <c r="M112" s="849"/>
      <c r="N112" s="896"/>
      <c r="O112" s="964"/>
      <c r="P112" s="964"/>
      <c r="Q112" s="964"/>
      <c r="R112" s="964"/>
      <c r="S112" s="849"/>
      <c r="T112" s="849"/>
      <c r="U112" s="849"/>
      <c r="V112" s="849"/>
      <c r="W112" s="849"/>
      <c r="X112" s="849"/>
      <c r="Y112" s="1007"/>
      <c r="Z112" s="852"/>
      <c r="AA112" s="855"/>
      <c r="AB112" s="852"/>
      <c r="AC112" s="852"/>
      <c r="AD112" s="852"/>
    </row>
    <row customHeight="1" ht="9">
      <c r="A113" s="851"/>
      <c r="B113" s="851"/>
      <c r="C113" s="849"/>
      <c r="D113" s="849"/>
      <c r="E113" s="849"/>
      <c r="F113" s="849"/>
      <c r="G113" s="849"/>
      <c r="H113" s="897"/>
      <c r="I113" s="897"/>
      <c r="J113" s="897"/>
      <c r="K113" s="897"/>
      <c r="L113" s="897"/>
      <c r="M113" s="849"/>
      <c r="N113" s="896"/>
      <c r="O113" s="964"/>
      <c r="P113" s="964"/>
      <c r="Q113" s="964"/>
      <c r="R113" s="964"/>
      <c r="S113" s="849"/>
      <c r="T113" s="849"/>
      <c r="U113" s="849"/>
      <c r="V113" s="849"/>
      <c r="W113" s="849"/>
      <c r="X113" s="849"/>
      <c r="Y113" s="1007"/>
      <c r="Z113" s="852"/>
      <c r="AA113" s="855"/>
      <c r="AB113" s="852"/>
      <c r="AC113" s="852"/>
      <c r="AD113" s="852"/>
    </row>
    <row customHeight="1" ht="9">
      <c r="A114" s="851"/>
      <c r="B114" s="851"/>
      <c r="C114" s="849"/>
      <c r="D114" s="849"/>
      <c r="E114" s="849"/>
      <c r="F114" s="849"/>
      <c r="G114" s="849"/>
      <c r="H114" s="897"/>
      <c r="I114" s="897"/>
      <c r="J114" s="897"/>
      <c r="K114" s="897"/>
      <c r="L114" s="897"/>
      <c r="M114" s="849"/>
      <c r="N114" s="896"/>
      <c r="O114" s="964"/>
      <c r="P114" s="964"/>
      <c r="Q114" s="964"/>
      <c r="R114" s="964"/>
      <c r="S114" s="849"/>
      <c r="T114" s="849"/>
      <c r="U114" s="849"/>
      <c r="V114" s="849"/>
      <c r="W114" s="849"/>
      <c r="X114" s="849"/>
      <c r="Y114" s="1007"/>
      <c r="Z114" s="852"/>
      <c r="AA114" s="855"/>
      <c r="AB114" s="852"/>
      <c r="AC114" s="852"/>
      <c r="AD114" s="852"/>
    </row>
    <row customHeight="1" ht="9">
      <c r="A115" s="851"/>
      <c r="B115" s="851"/>
      <c r="C115" s="849"/>
      <c r="D115" s="849"/>
      <c r="E115" s="849"/>
      <c r="F115" s="849"/>
      <c r="G115" s="849"/>
      <c r="H115" s="897"/>
      <c r="I115" s="897"/>
      <c r="J115" s="897"/>
      <c r="K115" s="897"/>
      <c r="L115" s="897"/>
      <c r="M115" s="849"/>
      <c r="N115" s="896"/>
      <c r="O115" s="964"/>
      <c r="P115" s="964"/>
      <c r="Q115" s="964"/>
      <c r="R115" s="964"/>
      <c r="S115" s="849"/>
      <c r="T115" s="849"/>
      <c r="U115" s="849"/>
      <c r="V115" s="849"/>
      <c r="W115" s="849"/>
      <c r="X115" s="849"/>
      <c r="Y115" s="1007"/>
      <c r="Z115" s="852"/>
      <c r="AA115" s="855"/>
      <c r="AB115" s="852"/>
      <c r="AC115" s="852"/>
      <c r="AD115" s="852"/>
    </row>
    <row customHeight="1" ht="9">
      <c r="A116" s="851"/>
      <c r="B116" s="851"/>
      <c r="C116" s="849"/>
      <c r="D116" s="849"/>
      <c r="E116" s="849"/>
      <c r="F116" s="849"/>
      <c r="G116" s="849"/>
      <c r="H116" s="897"/>
      <c r="I116" s="897"/>
      <c r="J116" s="897"/>
      <c r="K116" s="897"/>
      <c r="L116" s="897"/>
      <c r="M116" s="849"/>
      <c r="N116" s="896"/>
      <c r="O116" s="964"/>
      <c r="P116" s="964"/>
      <c r="Q116" s="964"/>
      <c r="R116" s="964"/>
      <c r="S116" s="849"/>
      <c r="T116" s="849"/>
      <c r="U116" s="849"/>
      <c r="V116" s="849"/>
      <c r="W116" s="849"/>
      <c r="X116" s="849"/>
      <c r="Y116" s="1007"/>
      <c r="Z116" s="852"/>
      <c r="AA116" s="855"/>
      <c r="AB116" s="852"/>
      <c r="AC116" s="852"/>
      <c r="AD116" s="852"/>
    </row>
    <row customHeight="1" ht="9">
      <c r="A117" s="851"/>
      <c r="B117" s="851"/>
      <c r="C117" s="849"/>
      <c r="D117" s="849"/>
      <c r="E117" s="849"/>
      <c r="F117" s="849"/>
      <c r="G117" s="849"/>
      <c r="H117" s="897"/>
      <c r="I117" s="897"/>
      <c r="J117" s="897"/>
      <c r="K117" s="897"/>
      <c r="L117" s="897"/>
      <c r="M117" s="849"/>
      <c r="N117" s="896"/>
      <c r="O117" s="964"/>
      <c r="P117" s="964"/>
      <c r="Q117" s="964"/>
      <c r="R117" s="964"/>
      <c r="S117" s="849"/>
      <c r="T117" s="849"/>
      <c r="U117" s="849"/>
      <c r="V117" s="849"/>
      <c r="W117" s="849"/>
      <c r="X117" s="849"/>
      <c r="Y117" s="1007"/>
      <c r="Z117" s="852"/>
      <c r="AA117" s="855"/>
      <c r="AB117" s="852"/>
      <c r="AC117" s="852"/>
      <c r="AD117" s="852"/>
    </row>
    <row customHeight="1" ht="9">
      <c r="A118" s="851"/>
      <c r="B118" s="851"/>
      <c r="C118" s="849"/>
      <c r="D118" s="849"/>
      <c r="E118" s="849"/>
      <c r="F118" s="849"/>
      <c r="G118" s="849"/>
      <c r="H118" s="897"/>
      <c r="I118" s="897"/>
      <c r="J118" s="897"/>
      <c r="K118" s="897"/>
      <c r="L118" s="897"/>
      <c r="M118" s="849"/>
      <c r="N118" s="896"/>
      <c r="O118" s="964"/>
      <c r="P118" s="964"/>
      <c r="Q118" s="964"/>
      <c r="R118" s="964"/>
      <c r="S118" s="849"/>
      <c r="T118" s="849"/>
      <c r="U118" s="849"/>
      <c r="V118" s="849"/>
      <c r="W118" s="849"/>
      <c r="X118" s="849"/>
      <c r="Y118" s="1007"/>
      <c r="Z118" s="852"/>
      <c r="AA118" s="855"/>
      <c r="AB118" s="852"/>
      <c r="AC118" s="852"/>
      <c r="AD118" s="852"/>
    </row>
    <row customHeight="1" ht="9">
      <c r="A119" s="851"/>
      <c r="B119" s="851"/>
      <c r="C119" s="849"/>
      <c r="D119" s="849"/>
      <c r="E119" s="849"/>
      <c r="F119" s="849"/>
      <c r="G119" s="849"/>
      <c r="H119" s="897"/>
      <c r="I119" s="897"/>
      <c r="J119" s="897"/>
      <c r="K119" s="897"/>
      <c r="L119" s="897"/>
      <c r="M119" s="849"/>
      <c r="N119" s="896"/>
      <c r="O119" s="964"/>
      <c r="P119" s="964"/>
      <c r="Q119" s="964"/>
      <c r="R119" s="964"/>
      <c r="S119" s="849"/>
      <c r="T119" s="849"/>
      <c r="U119" s="849"/>
      <c r="V119" s="849"/>
      <c r="W119" s="849"/>
      <c r="X119" s="849"/>
      <c r="Y119" s="1007"/>
      <c r="Z119" s="852"/>
      <c r="AA119" s="855"/>
      <c r="AB119" s="852"/>
      <c r="AC119" s="852"/>
      <c r="AD119" s="852"/>
    </row>
    <row customHeight="1" ht="9">
      <c r="A120" s="851"/>
      <c r="B120" s="851"/>
      <c r="C120" s="849"/>
      <c r="D120" s="849"/>
      <c r="E120" s="849"/>
      <c r="F120" s="849"/>
      <c r="G120" s="849"/>
      <c r="H120" s="897"/>
      <c r="I120" s="897"/>
      <c r="J120" s="897"/>
      <c r="K120" s="897"/>
      <c r="L120" s="897"/>
      <c r="M120" s="849"/>
      <c r="N120" s="896"/>
      <c r="O120" s="964"/>
      <c r="P120" s="964"/>
      <c r="Q120" s="964"/>
      <c r="R120" s="964"/>
      <c r="S120" s="849"/>
      <c r="T120" s="849"/>
      <c r="U120" s="849"/>
      <c r="V120" s="849"/>
      <c r="W120" s="849"/>
      <c r="X120" s="849"/>
      <c r="Y120" s="1007"/>
      <c r="Z120" s="852"/>
      <c r="AA120" s="855"/>
      <c r="AB120" s="852"/>
      <c r="AC120" s="852"/>
      <c r="AD120" s="852"/>
    </row>
    <row customHeight="1" ht="9">
      <c r="A121" s="851"/>
      <c r="B121" s="851"/>
      <c r="C121" s="849"/>
      <c r="D121" s="849"/>
      <c r="E121" s="849"/>
      <c r="F121" s="849"/>
      <c r="G121" s="849"/>
      <c r="H121" s="897"/>
      <c r="I121" s="897"/>
      <c r="J121" s="897"/>
      <c r="K121" s="897"/>
      <c r="L121" s="897"/>
      <c r="M121" s="849"/>
      <c r="N121" s="896"/>
      <c r="O121" s="964"/>
      <c r="P121" s="964"/>
      <c r="Q121" s="964"/>
      <c r="R121" s="964"/>
      <c r="S121" s="849"/>
      <c r="T121" s="849"/>
      <c r="U121" s="849"/>
      <c r="V121" s="849"/>
      <c r="W121" s="849"/>
      <c r="X121" s="849"/>
      <c r="Y121" s="1007"/>
      <c r="Z121" s="852"/>
      <c r="AA121" s="855"/>
      <c r="AB121" s="852"/>
      <c r="AC121" s="852"/>
      <c r="AD121" s="852"/>
    </row>
    <row customHeight="1" ht="9">
      <c r="A122" s="851"/>
      <c r="B122" s="851"/>
      <c r="C122" s="849"/>
      <c r="D122" s="849"/>
      <c r="E122" s="849"/>
      <c r="F122" s="849"/>
      <c r="G122" s="849"/>
      <c r="H122" s="897"/>
      <c r="I122" s="897"/>
      <c r="J122" s="897"/>
      <c r="K122" s="897"/>
      <c r="L122" s="897"/>
      <c r="M122" s="849"/>
      <c r="N122" s="896"/>
      <c r="O122" s="964"/>
      <c r="P122" s="964"/>
      <c r="Q122" s="964"/>
      <c r="R122" s="964"/>
      <c r="S122" s="849"/>
      <c r="T122" s="849"/>
      <c r="U122" s="849"/>
      <c r="V122" s="849"/>
      <c r="W122" s="849"/>
      <c r="X122" s="849"/>
      <c r="Y122" s="1007"/>
      <c r="Z122" s="852"/>
      <c r="AA122" s="855"/>
      <c r="AB122" s="852"/>
      <c r="AC122" s="852"/>
      <c r="AD122" s="852"/>
    </row>
    <row customHeight="1" ht="9">
      <c r="A123" s="851"/>
      <c r="B123" s="851"/>
      <c r="C123" s="849"/>
      <c r="D123" s="849"/>
      <c r="E123" s="849"/>
      <c r="F123" s="849"/>
      <c r="G123" s="849"/>
      <c r="H123" s="897"/>
      <c r="I123" s="897"/>
      <c r="J123" s="897"/>
      <c r="K123" s="897"/>
      <c r="L123" s="897"/>
      <c r="M123" s="849"/>
      <c r="N123" s="896"/>
      <c r="O123" s="964"/>
      <c r="P123" s="964"/>
      <c r="Q123" s="964"/>
      <c r="R123" s="964"/>
      <c r="S123" s="849"/>
      <c r="T123" s="849"/>
      <c r="U123" s="849"/>
      <c r="V123" s="849"/>
      <c r="W123" s="849"/>
      <c r="X123" s="849"/>
      <c r="Y123" s="1007"/>
      <c r="Z123" s="852"/>
      <c r="AA123" s="855"/>
      <c r="AB123" s="852"/>
      <c r="AC123" s="852"/>
      <c r="AD123" s="852"/>
    </row>
    <row customHeight="1" ht="9">
      <c r="A124" s="851"/>
      <c r="B124" s="851"/>
      <c r="C124" s="849"/>
      <c r="D124" s="849"/>
      <c r="E124" s="849"/>
      <c r="F124" s="849"/>
      <c r="G124" s="849"/>
      <c r="H124" s="897"/>
      <c r="I124" s="897"/>
      <c r="J124" s="897"/>
      <c r="K124" s="897"/>
      <c r="L124" s="897"/>
      <c r="M124" s="849"/>
      <c r="N124" s="896"/>
      <c r="O124" s="964"/>
      <c r="P124" s="964"/>
      <c r="Q124" s="964"/>
      <c r="R124" s="964"/>
      <c r="S124" s="849"/>
      <c r="T124" s="849"/>
      <c r="U124" s="849"/>
      <c r="V124" s="849"/>
      <c r="W124" s="849"/>
      <c r="X124" s="849"/>
      <c r="Y124" s="1007"/>
      <c r="Z124" s="852"/>
      <c r="AA124" s="855"/>
      <c r="AB124" s="852"/>
      <c r="AC124" s="852"/>
      <c r="AD124" s="852"/>
    </row>
    <row customHeight="1" ht="9">
      <c r="A125" s="851"/>
      <c r="B125" s="851"/>
      <c r="C125" s="849"/>
      <c r="D125" s="849"/>
      <c r="E125" s="849"/>
      <c r="F125" s="849"/>
      <c r="G125" s="849"/>
      <c r="H125" s="897"/>
      <c r="I125" s="897"/>
      <c r="J125" s="897"/>
      <c r="K125" s="897"/>
      <c r="L125" s="897"/>
      <c r="M125" s="849"/>
      <c r="N125" s="896"/>
      <c r="O125" s="964"/>
      <c r="P125" s="964"/>
      <c r="Q125" s="964"/>
      <c r="R125" s="964"/>
      <c r="S125" s="849"/>
      <c r="T125" s="849"/>
      <c r="U125" s="849"/>
      <c r="V125" s="849"/>
      <c r="W125" s="849"/>
      <c r="X125" s="849"/>
      <c r="Y125" s="1007"/>
      <c r="Z125" s="852"/>
      <c r="AA125" s="855"/>
      <c r="AB125" s="852"/>
      <c r="AC125" s="852"/>
      <c r="AD125" s="852"/>
    </row>
    <row customHeight="1" ht="9">
      <c r="A126" s="851"/>
      <c r="B126" s="851"/>
      <c r="C126" s="849"/>
      <c r="D126" s="849"/>
      <c r="E126" s="849"/>
      <c r="F126" s="849"/>
      <c r="G126" s="849"/>
      <c r="H126" s="897"/>
      <c r="I126" s="897"/>
      <c r="J126" s="897"/>
      <c r="K126" s="897"/>
      <c r="L126" s="897"/>
      <c r="M126" s="849"/>
      <c r="N126" s="896"/>
      <c r="O126" s="964"/>
      <c r="P126" s="964"/>
      <c r="Q126" s="964"/>
      <c r="R126" s="964"/>
      <c r="S126" s="849"/>
      <c r="T126" s="849"/>
      <c r="U126" s="849"/>
      <c r="V126" s="849"/>
      <c r="W126" s="849"/>
      <c r="X126" s="849"/>
      <c r="Y126" s="1007"/>
      <c r="Z126" s="852"/>
      <c r="AA126" s="855"/>
      <c r="AB126" s="852"/>
      <c r="AC126" s="852"/>
      <c r="AD126" s="852"/>
    </row>
    <row customHeight="1" ht="9">
      <c r="A127" s="851"/>
      <c r="B127" s="851"/>
      <c r="C127" s="849"/>
      <c r="D127" s="849"/>
      <c r="E127" s="849"/>
      <c r="F127" s="849"/>
      <c r="G127" s="849"/>
      <c r="H127" s="897"/>
      <c r="I127" s="897"/>
      <c r="J127" s="897"/>
      <c r="K127" s="897"/>
      <c r="L127" s="897"/>
      <c r="M127" s="849"/>
      <c r="N127" s="896"/>
      <c r="O127" s="964"/>
      <c r="P127" s="964"/>
      <c r="Q127" s="964"/>
      <c r="R127" s="964"/>
      <c r="S127" s="849"/>
      <c r="T127" s="849"/>
      <c r="U127" s="849"/>
      <c r="V127" s="849"/>
      <c r="W127" s="849"/>
      <c r="X127" s="849"/>
      <c r="Y127" s="1007"/>
      <c r="Z127" s="852"/>
      <c r="AA127" s="855"/>
      <c r="AB127" s="852"/>
      <c r="AC127" s="852"/>
      <c r="AD127" s="852"/>
    </row>
    <row customHeight="1" ht="9">
      <c r="A128" s="851"/>
      <c r="B128" s="851"/>
      <c r="C128" s="849"/>
      <c r="D128" s="849"/>
      <c r="E128" s="849"/>
      <c r="F128" s="849"/>
      <c r="G128" s="849"/>
      <c r="H128" s="897"/>
      <c r="I128" s="897"/>
      <c r="J128" s="897"/>
      <c r="K128" s="897"/>
      <c r="L128" s="897"/>
      <c r="M128" s="849"/>
      <c r="N128" s="896"/>
      <c r="O128" s="964"/>
      <c r="P128" s="964"/>
      <c r="Q128" s="964"/>
      <c r="R128" s="964"/>
      <c r="S128" s="849"/>
      <c r="T128" s="849"/>
      <c r="U128" s="849"/>
      <c r="V128" s="849"/>
      <c r="W128" s="849"/>
      <c r="X128" s="849"/>
      <c r="Y128" s="1007"/>
      <c r="Z128" s="852"/>
      <c r="AA128" s="855"/>
      <c r="AB128" s="852"/>
      <c r="AC128" s="852"/>
      <c r="AD128" s="852"/>
    </row>
    <row customHeight="1" ht="9">
      <c r="A129" s="851"/>
      <c r="B129" s="851"/>
      <c r="C129" s="849"/>
      <c r="D129" s="849"/>
      <c r="E129" s="849"/>
      <c r="F129" s="849"/>
      <c r="G129" s="849"/>
      <c r="H129" s="897"/>
      <c r="I129" s="897"/>
      <c r="J129" s="897"/>
      <c r="K129" s="897"/>
      <c r="L129" s="897"/>
      <c r="M129" s="849"/>
      <c r="N129" s="896"/>
      <c r="O129" s="964"/>
      <c r="P129" s="964"/>
      <c r="Q129" s="964"/>
      <c r="R129" s="964"/>
      <c r="S129" s="849"/>
      <c r="T129" s="849"/>
      <c r="U129" s="849"/>
      <c r="V129" s="849"/>
      <c r="W129" s="849"/>
      <c r="X129" s="849"/>
      <c r="Y129" s="1007"/>
      <c r="Z129" s="852"/>
      <c r="AA129" s="855"/>
      <c r="AB129" s="852"/>
      <c r="AC129" s="852"/>
      <c r="AD129" s="852"/>
    </row>
    <row customHeight="1" ht="9">
      <c r="A130" s="851"/>
      <c r="B130" s="851"/>
      <c r="C130" s="849"/>
      <c r="D130" s="849"/>
      <c r="E130" s="849"/>
      <c r="F130" s="849"/>
      <c r="G130" s="849"/>
      <c r="H130" s="897"/>
      <c r="I130" s="897"/>
      <c r="J130" s="897"/>
      <c r="K130" s="897"/>
      <c r="L130" s="897"/>
      <c r="M130" s="849"/>
      <c r="N130" s="896"/>
      <c r="O130" s="966"/>
      <c r="P130" s="966"/>
      <c r="Q130" s="966"/>
      <c r="R130" s="966"/>
      <c r="S130" s="849"/>
      <c r="T130" s="849"/>
      <c r="U130" s="849"/>
      <c r="V130" s="849"/>
      <c r="W130" s="849"/>
      <c r="X130" s="849"/>
      <c r="Y130" s="1007"/>
      <c r="Z130" s="852"/>
      <c r="AA130" s="855"/>
      <c r="AB130" s="852"/>
      <c r="AC130" s="852"/>
      <c r="AD130" s="852"/>
    </row>
    <row customHeight="1" ht="9">
      <c r="A131" s="851"/>
      <c r="B131" s="851"/>
      <c r="C131" s="849"/>
      <c r="D131" s="849"/>
      <c r="E131" s="849"/>
      <c r="F131" s="849"/>
      <c r="G131" s="849"/>
      <c r="H131" s="897"/>
      <c r="I131" s="897"/>
      <c r="J131" s="897"/>
      <c r="K131" s="897"/>
      <c r="L131" s="897"/>
      <c r="M131" s="849"/>
      <c r="N131" s="896"/>
      <c r="O131" s="967"/>
      <c r="P131" s="967"/>
      <c r="Q131" s="967"/>
      <c r="R131" s="967"/>
      <c r="S131" s="849"/>
      <c r="T131" s="849"/>
      <c r="U131" s="849"/>
      <c r="V131" s="849"/>
      <c r="W131" s="849"/>
      <c r="X131" s="849"/>
      <c r="Y131" s="1007"/>
      <c r="Z131" s="852"/>
      <c r="AA131" s="855"/>
      <c r="AB131" s="852"/>
      <c r="AC131" s="852"/>
      <c r="AD131" s="852"/>
    </row>
    <row customHeight="1" ht="9">
      <c r="A132" s="851"/>
      <c r="B132" s="851"/>
      <c r="C132" s="849"/>
      <c r="D132" s="849"/>
      <c r="E132" s="849"/>
      <c r="F132" s="849"/>
      <c r="G132" s="849"/>
      <c r="H132" s="897"/>
      <c r="I132" s="897"/>
      <c r="J132" s="897"/>
      <c r="K132" s="897"/>
      <c r="L132" s="897"/>
      <c r="M132" s="849"/>
      <c r="N132" s="896"/>
      <c r="O132" s="966"/>
      <c r="P132" s="966"/>
      <c r="Q132" s="966"/>
      <c r="R132" s="966"/>
      <c r="S132" s="849"/>
      <c r="T132" s="849"/>
      <c r="U132" s="849"/>
      <c r="V132" s="849"/>
      <c r="W132" s="849"/>
      <c r="X132" s="849"/>
      <c r="Y132" s="1007"/>
      <c r="Z132" s="852"/>
      <c r="AA132" s="855"/>
      <c r="AB132" s="852"/>
      <c r="AC132" s="852"/>
      <c r="AD132" s="852"/>
    </row>
    <row customHeight="1" ht="9">
      <c r="A133" s="851"/>
      <c r="B133" s="851"/>
      <c r="C133" s="849"/>
      <c r="D133" s="849"/>
      <c r="E133" s="849"/>
      <c r="F133" s="849"/>
      <c r="G133" s="849"/>
      <c r="H133" s="897"/>
      <c r="I133" s="897"/>
      <c r="J133" s="897"/>
      <c r="K133" s="897"/>
      <c r="L133" s="897"/>
      <c r="M133" s="849"/>
      <c r="N133" s="896"/>
      <c r="O133" s="967"/>
      <c r="P133" s="967"/>
      <c r="Q133" s="967"/>
      <c r="R133" s="967"/>
      <c r="S133" s="849"/>
      <c r="T133" s="849"/>
      <c r="U133" s="849"/>
      <c r="V133" s="849"/>
      <c r="W133" s="849"/>
      <c r="X133" s="849"/>
      <c r="Y133" s="1007"/>
      <c r="Z133" s="852"/>
      <c r="AA133" s="855"/>
      <c r="AB133" s="852"/>
      <c r="AC133" s="852"/>
      <c r="AD133" s="852"/>
    </row>
    <row customHeight="1" ht="9">
      <c r="A134" s="851"/>
      <c r="B134" s="851"/>
      <c r="C134" s="849"/>
      <c r="D134" s="849"/>
      <c r="E134" s="849"/>
      <c r="F134" s="849"/>
      <c r="G134" s="849"/>
      <c r="H134" s="897"/>
      <c r="I134" s="897"/>
      <c r="J134" s="897"/>
      <c r="K134" s="897"/>
      <c r="L134" s="897"/>
      <c r="M134" s="849"/>
      <c r="N134" s="896"/>
      <c r="O134" s="964"/>
      <c r="P134" s="964"/>
      <c r="Q134" s="964"/>
      <c r="R134" s="964"/>
      <c r="S134" s="849"/>
      <c r="T134" s="849"/>
      <c r="U134" s="849"/>
      <c r="V134" s="849"/>
      <c r="W134" s="849"/>
      <c r="X134" s="849"/>
      <c r="Y134" s="1007"/>
      <c r="Z134" s="852"/>
      <c r="AA134" s="855"/>
      <c r="AB134" s="852"/>
      <c r="AC134" s="852"/>
      <c r="AD134" s="852"/>
    </row>
    <row customHeight="1" ht="9">
      <c r="A135" s="851"/>
      <c r="B135" s="851"/>
      <c r="C135" s="849"/>
      <c r="D135" s="849"/>
      <c r="E135" s="849"/>
      <c r="F135" s="849"/>
      <c r="G135" s="849"/>
      <c r="H135" s="897"/>
      <c r="I135" s="897"/>
      <c r="J135" s="897"/>
      <c r="K135" s="897"/>
      <c r="L135" s="897"/>
      <c r="M135" s="849"/>
      <c r="N135" s="896"/>
      <c r="O135" s="964"/>
      <c r="P135" s="964"/>
      <c r="Q135" s="964"/>
      <c r="R135" s="964"/>
      <c r="S135" s="849"/>
      <c r="T135" s="849"/>
      <c r="U135" s="849"/>
      <c r="V135" s="849"/>
      <c r="W135" s="849"/>
      <c r="X135" s="849"/>
      <c r="Y135" s="1007"/>
      <c r="Z135" s="852"/>
      <c r="AA135" s="855"/>
      <c r="AB135" s="852"/>
      <c r="AC135" s="852"/>
      <c r="AD135" s="852"/>
    </row>
    <row customHeight="1" ht="9">
      <c r="A136" s="851"/>
      <c r="B136" s="851"/>
      <c r="C136" s="849"/>
      <c r="D136" s="849"/>
      <c r="E136" s="849"/>
      <c r="F136" s="849"/>
      <c r="G136" s="849"/>
      <c r="H136" s="897"/>
      <c r="I136" s="897"/>
      <c r="J136" s="897"/>
      <c r="K136" s="897"/>
      <c r="L136" s="897"/>
      <c r="M136" s="849"/>
      <c r="N136" s="896"/>
      <c r="O136" s="964"/>
      <c r="P136" s="964"/>
      <c r="Q136" s="964"/>
      <c r="R136" s="964"/>
      <c r="S136" s="849"/>
      <c r="T136" s="849"/>
      <c r="U136" s="849"/>
      <c r="V136" s="849"/>
      <c r="W136" s="849"/>
      <c r="X136" s="849"/>
      <c r="Y136" s="1007"/>
      <c r="Z136" s="852"/>
      <c r="AA136" s="855"/>
      <c r="AB136" s="852"/>
      <c r="AC136" s="852"/>
      <c r="AD136" s="852"/>
    </row>
    <row customHeight="1" ht="9">
      <c r="A137" s="851"/>
      <c r="B137" s="851"/>
      <c r="C137" s="849"/>
      <c r="D137" s="849"/>
      <c r="E137" s="849"/>
      <c r="F137" s="849"/>
      <c r="G137" s="849"/>
      <c r="H137" s="897"/>
      <c r="I137" s="897"/>
      <c r="J137" s="897"/>
      <c r="K137" s="897"/>
      <c r="L137" s="897"/>
      <c r="M137" s="849"/>
      <c r="N137" s="896"/>
      <c r="O137" s="968"/>
      <c r="P137" s="968"/>
      <c r="Q137" s="968"/>
      <c r="R137" s="968"/>
      <c r="S137" s="849"/>
      <c r="T137" s="849"/>
      <c r="U137" s="849"/>
      <c r="V137" s="849"/>
      <c r="W137" s="849"/>
      <c r="X137" s="849"/>
      <c r="Y137" s="1007"/>
      <c r="Z137" s="852"/>
      <c r="AA137" s="855"/>
      <c r="AB137" s="852"/>
      <c r="AC137" s="852"/>
      <c r="AD137" s="852"/>
    </row>
    <row customHeight="1" ht="9">
      <c r="A138" s="851"/>
      <c r="B138" s="851"/>
      <c r="C138" s="849"/>
      <c r="D138" s="849"/>
      <c r="E138" s="849"/>
      <c r="F138" s="849"/>
      <c r="G138" s="849"/>
      <c r="H138" s="897"/>
      <c r="I138" s="897"/>
      <c r="J138" s="897"/>
      <c r="K138" s="897"/>
      <c r="L138" s="897"/>
      <c r="M138" s="849"/>
      <c r="N138" s="896"/>
      <c r="O138" s="965"/>
      <c r="P138" s="965"/>
      <c r="Q138" s="965"/>
      <c r="R138" s="965"/>
      <c r="S138" s="849"/>
      <c r="T138" s="849"/>
      <c r="U138" s="849"/>
      <c r="V138" s="849"/>
      <c r="W138" s="849"/>
      <c r="X138" s="849"/>
      <c r="Y138" s="1007"/>
      <c r="Z138" s="852"/>
      <c r="AA138" s="855"/>
      <c r="AB138" s="852"/>
      <c r="AC138" s="852"/>
      <c r="AD138" s="852"/>
    </row>
    <row customHeight="1" ht="9">
      <c r="A139" s="851"/>
      <c r="B139" s="851"/>
      <c r="C139" s="849"/>
      <c r="D139" s="849"/>
      <c r="E139" s="849"/>
      <c r="F139" s="849"/>
      <c r="G139" s="849"/>
      <c r="H139" s="897"/>
      <c r="I139" s="897"/>
      <c r="J139" s="897"/>
      <c r="K139" s="897"/>
      <c r="L139" s="897"/>
      <c r="M139" s="849"/>
      <c r="N139" s="896"/>
      <c r="O139" s="849"/>
      <c r="P139" s="849"/>
      <c r="Q139" s="849"/>
      <c r="R139" s="849"/>
      <c r="S139" s="849"/>
      <c r="T139" s="849"/>
      <c r="U139" s="849"/>
      <c r="V139" s="849"/>
      <c r="W139" s="849"/>
      <c r="X139" s="849"/>
      <c r="Y139" s="1007"/>
      <c r="Z139" s="852"/>
      <c r="AA139" s="855"/>
      <c r="AB139" s="852"/>
      <c r="AC139" s="852"/>
      <c r="AD139" s="852"/>
    </row>
    <row customHeight="1" ht="9">
      <c r="A140" s="851"/>
      <c r="B140" s="851"/>
      <c r="C140" s="849"/>
      <c r="D140" s="849"/>
      <c r="E140" s="849"/>
      <c r="F140" s="849"/>
      <c r="G140" s="849"/>
      <c r="H140" s="897"/>
      <c r="I140" s="897"/>
      <c r="J140" s="897"/>
      <c r="K140" s="897"/>
      <c r="L140" s="897"/>
      <c r="M140" s="849"/>
      <c r="N140" s="896"/>
      <c r="O140" s="849"/>
      <c r="P140" s="849"/>
      <c r="Q140" s="849"/>
      <c r="R140" s="849"/>
      <c r="S140" s="849"/>
      <c r="T140" s="849"/>
      <c r="U140" s="849"/>
      <c r="V140" s="849"/>
      <c r="W140" s="849"/>
      <c r="X140" s="849"/>
      <c r="Y140" s="1007"/>
      <c r="Z140" s="852"/>
      <c r="AA140" s="855"/>
      <c r="AB140" s="852"/>
      <c r="AC140" s="852"/>
      <c r="AD140" s="852"/>
    </row>
    <row customHeight="1" ht="9">
      <c r="A141" s="851"/>
      <c r="B141" s="851"/>
      <c r="C141" s="849"/>
      <c r="D141" s="849"/>
      <c r="E141" s="849"/>
      <c r="F141" s="849"/>
      <c r="G141" s="849"/>
      <c r="H141" s="897"/>
      <c r="I141" s="897"/>
      <c r="J141" s="897"/>
      <c r="K141" s="897"/>
      <c r="L141" s="897"/>
      <c r="M141" s="849"/>
      <c r="N141" s="896"/>
      <c r="O141" s="849"/>
      <c r="P141" s="849"/>
      <c r="Q141" s="849"/>
      <c r="R141" s="849"/>
      <c r="S141" s="849"/>
      <c r="T141" s="849"/>
      <c r="U141" s="849"/>
      <c r="V141" s="849"/>
      <c r="W141" s="849"/>
      <c r="X141" s="849"/>
      <c r="Y141" s="1007"/>
      <c r="Z141" s="852"/>
      <c r="AA141" s="855"/>
      <c r="AB141" s="852"/>
      <c r="AC141" s="852"/>
      <c r="AD141" s="852"/>
    </row>
    <row customHeight="1" ht="9">
      <c r="A142" s="851"/>
      <c r="B142" s="851"/>
      <c r="C142" s="849"/>
      <c r="D142" s="849"/>
      <c r="E142" s="849"/>
      <c r="F142" s="849"/>
      <c r="G142" s="849"/>
      <c r="H142" s="897"/>
      <c r="I142" s="897"/>
      <c r="J142" s="897"/>
      <c r="K142" s="897"/>
      <c r="L142" s="897"/>
      <c r="M142" s="849"/>
      <c r="N142" s="896"/>
      <c r="O142" s="849"/>
      <c r="P142" s="849"/>
      <c r="Q142" s="849"/>
      <c r="R142" s="849"/>
      <c r="S142" s="849"/>
      <c r="T142" s="849"/>
      <c r="U142" s="849"/>
      <c r="V142" s="849"/>
      <c r="W142" s="849"/>
      <c r="X142" s="849"/>
      <c r="Y142" s="1007"/>
      <c r="Z142" s="852"/>
      <c r="AA142" s="855"/>
      <c r="AB142" s="852"/>
      <c r="AC142" s="852"/>
      <c r="AD142" s="852"/>
    </row>
    <row customHeight="1" ht="9">
      <c r="A143" s="851"/>
      <c r="B143" s="851"/>
      <c r="C143" s="849"/>
      <c r="D143" s="849"/>
      <c r="E143" s="849"/>
      <c r="F143" s="849"/>
      <c r="G143" s="849"/>
      <c r="H143" s="897"/>
      <c r="I143" s="897"/>
      <c r="J143" s="897"/>
      <c r="K143" s="897"/>
      <c r="L143" s="897"/>
      <c r="M143" s="849"/>
      <c r="N143" s="896"/>
      <c r="O143" s="849"/>
      <c r="P143" s="849"/>
      <c r="Q143" s="849"/>
      <c r="R143" s="849"/>
      <c r="S143" s="849"/>
      <c r="T143" s="849"/>
      <c r="U143" s="849"/>
      <c r="V143" s="849"/>
      <c r="W143" s="849"/>
      <c r="X143" s="849"/>
      <c r="Y143" s="1007"/>
      <c r="Z143" s="852"/>
      <c r="AA143" s="855"/>
      <c r="AB143" s="852"/>
      <c r="AC143" s="852"/>
      <c r="AD143" s="852"/>
    </row>
    <row customHeight="1" ht="9">
      <c r="A144" s="851"/>
      <c r="B144" s="851"/>
      <c r="C144" s="849"/>
      <c r="D144" s="849"/>
      <c r="E144" s="849"/>
      <c r="F144" s="849"/>
      <c r="G144" s="849"/>
      <c r="H144" s="897"/>
      <c r="I144" s="897"/>
      <c r="J144" s="897"/>
      <c r="K144" s="897"/>
      <c r="L144" s="897"/>
      <c r="M144" s="849"/>
      <c r="N144" s="896"/>
      <c r="O144" s="849"/>
      <c r="P144" s="849"/>
      <c r="Q144" s="849"/>
      <c r="R144" s="849"/>
      <c r="S144" s="849"/>
      <c r="T144" s="849"/>
      <c r="U144" s="849"/>
      <c r="V144" s="849"/>
      <c r="W144" s="849"/>
      <c r="X144" s="849"/>
      <c r="Y144" s="1007"/>
      <c r="Z144" s="852"/>
      <c r="AA144" s="855"/>
      <c r="AB144" s="852"/>
      <c r="AC144" s="852"/>
      <c r="AD144" s="852"/>
    </row>
    <row customHeight="1" ht="9">
      <c r="A145" s="851"/>
      <c r="B145" s="851"/>
      <c r="C145" s="849"/>
      <c r="D145" s="849"/>
      <c r="E145" s="849"/>
      <c r="F145" s="849"/>
      <c r="G145" s="849"/>
      <c r="H145" s="897"/>
      <c r="I145" s="897"/>
      <c r="J145" s="897"/>
      <c r="K145" s="897"/>
      <c r="L145" s="897"/>
      <c r="M145" s="849"/>
      <c r="N145" s="896"/>
      <c r="O145" s="849"/>
      <c r="P145" s="849"/>
      <c r="Q145" s="849"/>
      <c r="R145" s="849"/>
      <c r="S145" s="849"/>
      <c r="T145" s="849"/>
      <c r="U145" s="849"/>
      <c r="V145" s="849"/>
      <c r="W145" s="849"/>
      <c r="X145" s="849"/>
      <c r="Y145" s="1007"/>
      <c r="Z145" s="852"/>
      <c r="AA145" s="855"/>
      <c r="AB145" s="852"/>
      <c r="AC145" s="852"/>
      <c r="AD145" s="852"/>
    </row>
    <row customHeight="1" ht="9">
      <c r="A146" s="851"/>
      <c r="B146" s="851"/>
      <c r="C146" s="849"/>
      <c r="D146" s="849"/>
      <c r="E146" s="849"/>
      <c r="F146" s="849"/>
      <c r="G146" s="849"/>
      <c r="H146" s="897"/>
      <c r="I146" s="897"/>
      <c r="J146" s="897"/>
      <c r="K146" s="897"/>
      <c r="L146" s="897"/>
      <c r="M146" s="849"/>
      <c r="N146" s="896"/>
      <c r="O146" s="849"/>
      <c r="P146" s="849"/>
      <c r="Q146" s="849"/>
      <c r="R146" s="849"/>
      <c r="S146" s="849"/>
      <c r="T146" s="849"/>
      <c r="U146" s="849"/>
      <c r="V146" s="849"/>
      <c r="W146" s="849"/>
      <c r="X146" s="849"/>
      <c r="Y146" s="1007"/>
      <c r="Z146" s="852"/>
      <c r="AA146" s="855"/>
      <c r="AB146" s="852"/>
      <c r="AC146" s="852"/>
      <c r="AD146" s="852"/>
    </row>
    <row customHeight="1" ht="9">
      <c r="A147" s="851"/>
      <c r="B147" s="851"/>
      <c r="C147" s="851"/>
      <c r="D147" s="851"/>
      <c r="E147" s="851"/>
      <c r="F147" s="851"/>
      <c r="G147" s="851"/>
      <c r="H147" s="851"/>
      <c r="I147" s="851"/>
      <c r="J147" s="851"/>
      <c r="K147" s="851"/>
      <c r="L147" s="851"/>
      <c r="M147" s="851"/>
      <c r="N147" s="851"/>
      <c r="O147" s="851"/>
      <c r="P147" s="851"/>
      <c r="Q147" s="851"/>
      <c r="R147" s="851"/>
      <c r="S147" s="851"/>
      <c r="T147" s="851"/>
      <c r="U147" s="851"/>
      <c r="V147" s="851"/>
      <c r="W147" s="851"/>
      <c r="X147" s="851"/>
      <c r="Y147" s="851"/>
      <c r="Z147" s="851"/>
      <c r="AA147" s="851"/>
      <c r="AB147" s="851"/>
      <c r="AC147" s="851"/>
      <c r="AD147" s="851"/>
    </row>
    <row customHeight="1" ht="90">
      <c r="A148" s="851" t="s">
        <v>1874</v>
      </c>
      <c r="B148" s="851"/>
      <c r="C148" s="849" t="s">
        <v>2347</v>
      </c>
      <c r="D148" s="849" t="s">
        <v>1782</v>
      </c>
      <c r="E148" s="849" t="s">
        <v>100</v>
      </c>
      <c r="F148" s="849" t="s">
        <v>2348</v>
      </c>
      <c r="G148" s="849"/>
      <c r="H148" s="849"/>
      <c r="I148" s="970"/>
      <c r="J148" s="970"/>
      <c r="K148" s="970"/>
      <c r="L148" s="970"/>
      <c r="M148" s="899"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54"/>
      <c r="O148" s="849"/>
      <c r="P148" s="850"/>
      <c r="Q148" s="850"/>
      <c r="R148" s="850"/>
      <c r="S148" s="849"/>
      <c r="T148" s="849" t="s">
        <v>2349</v>
      </c>
      <c r="U148" s="85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50"/>
      <c r="W148" s="850"/>
      <c r="X148" s="849" t="s">
        <v>2350</v>
      </c>
      <c r="Y148" s="1007"/>
      <c r="Z148" s="852"/>
      <c r="AA148" s="855"/>
      <c r="AB148" s="852"/>
      <c r="AC148" s="852"/>
      <c r="AD148" s="852"/>
    </row>
    <row customHeight="1" ht="9">
      <c r="A149" s="851"/>
      <c r="B149" s="851"/>
      <c r="C149" s="851"/>
      <c r="D149" s="851"/>
      <c r="E149" s="851"/>
      <c r="F149" s="851"/>
      <c r="G149" s="851"/>
      <c r="H149" s="851"/>
      <c r="I149" s="851"/>
      <c r="J149" s="851"/>
      <c r="K149" s="851"/>
      <c r="L149" s="851"/>
      <c r="M149" s="851"/>
      <c r="N149" s="851"/>
      <c r="O149" s="851"/>
      <c r="P149" s="851"/>
      <c r="Q149" s="851"/>
      <c r="R149" s="851"/>
      <c r="S149" s="851"/>
      <c r="T149" s="851"/>
      <c r="U149" s="851"/>
      <c r="V149" s="851"/>
      <c r="W149" s="851"/>
      <c r="X149" s="851"/>
      <c r="Y149" s="851"/>
      <c r="Z149" s="851"/>
      <c r="AA149" s="851"/>
      <c r="AB149" s="851"/>
      <c r="AC149" s="851"/>
      <c r="AD149" s="851"/>
    </row>
    <row customHeight="1" ht="9">
      <c r="A150" s="851" t="s">
        <v>1877</v>
      </c>
      <c r="B150" s="851"/>
      <c r="C150" s="849"/>
      <c r="D150" s="849"/>
      <c r="E150" s="849"/>
      <c r="F150" s="849"/>
      <c r="G150" s="849"/>
      <c r="H150" s="849"/>
      <c r="I150" s="849"/>
      <c r="J150" s="849"/>
      <c r="K150" s="849"/>
      <c r="L150" s="849"/>
      <c r="M150" s="849"/>
      <c r="N150" s="849"/>
      <c r="O150" s="849"/>
      <c r="P150" s="849"/>
      <c r="Q150" s="849"/>
      <c r="R150" s="849"/>
      <c r="S150" s="849"/>
      <c r="T150" s="849"/>
      <c r="U150" s="849"/>
      <c r="V150" s="849"/>
      <c r="W150" s="849"/>
      <c r="X150" s="849"/>
      <c r="Y150" s="1007"/>
      <c r="Z150" s="852"/>
      <c r="AA150" s="855"/>
      <c r="AB150" s="852"/>
      <c r="AC150" s="852"/>
      <c r="AD150" s="852"/>
    </row>
    <row customHeight="1" ht="9">
      <c r="A151" s="851"/>
      <c r="B151" s="851"/>
      <c r="C151" s="851"/>
      <c r="D151" s="851"/>
      <c r="E151" s="851"/>
      <c r="F151" s="851"/>
      <c r="G151" s="851"/>
      <c r="H151" s="851"/>
      <c r="I151" s="851"/>
      <c r="J151" s="851"/>
      <c r="K151" s="851"/>
      <c r="L151" s="851"/>
      <c r="M151" s="851"/>
      <c r="N151" s="851"/>
      <c r="O151" s="851"/>
      <c r="P151" s="851"/>
      <c r="Q151" s="851"/>
      <c r="R151" s="851"/>
      <c r="S151" s="851"/>
      <c r="T151" s="851"/>
      <c r="U151" s="851"/>
      <c r="V151" s="851"/>
      <c r="W151" s="851"/>
      <c r="X151" s="851"/>
      <c r="Y151" s="851"/>
      <c r="Z151" s="851"/>
      <c r="AA151" s="851"/>
      <c r="AB151" s="851"/>
      <c r="AC151" s="851"/>
      <c r="AD151" s="851"/>
    </row>
    <row customHeight="1" ht="9">
      <c r="A152" s="851" t="s">
        <v>1880</v>
      </c>
      <c r="B152" s="851"/>
      <c r="C152" s="849"/>
      <c r="D152" s="849"/>
      <c r="E152" s="849"/>
      <c r="F152" s="849"/>
      <c r="G152" s="849"/>
      <c r="H152" s="849"/>
      <c r="I152" s="849"/>
      <c r="J152" s="849"/>
      <c r="K152" s="849"/>
      <c r="L152" s="849"/>
      <c r="M152" s="849"/>
      <c r="N152" s="849"/>
      <c r="O152" s="849"/>
      <c r="P152" s="849"/>
      <c r="Q152" s="849"/>
      <c r="R152" s="849"/>
      <c r="S152" s="849"/>
      <c r="T152" s="849"/>
      <c r="U152" s="849"/>
      <c r="V152" s="849"/>
      <c r="W152" s="849"/>
      <c r="X152" s="849"/>
      <c r="Y152" s="1007"/>
      <c r="Z152" s="852"/>
      <c r="AA152" s="855"/>
      <c r="AB152" s="852"/>
      <c r="AC152" s="852"/>
      <c r="AD152" s="852"/>
    </row>
    <row customHeight="1" ht="9">
      <c r="A153" s="851"/>
      <c r="B153" s="851"/>
      <c r="C153" s="851"/>
      <c r="D153" s="851"/>
      <c r="E153" s="851"/>
      <c r="F153" s="851"/>
      <c r="G153" s="851"/>
      <c r="H153" s="851"/>
      <c r="I153" s="851"/>
      <c r="J153" s="851"/>
      <c r="K153" s="851"/>
      <c r="L153" s="851"/>
      <c r="M153" s="851"/>
      <c r="N153" s="851"/>
      <c r="O153" s="851"/>
      <c r="P153" s="851"/>
      <c r="Q153" s="851"/>
      <c r="R153" s="851"/>
      <c r="S153" s="851"/>
      <c r="T153" s="851"/>
      <c r="U153" s="851"/>
      <c r="V153" s="851"/>
      <c r="W153" s="851"/>
      <c r="X153" s="851"/>
      <c r="Y153" s="851"/>
      <c r="Z153" s="851"/>
      <c r="AA153" s="851"/>
      <c r="AB153" s="851"/>
      <c r="AC153" s="851"/>
      <c r="AD153" s="851"/>
    </row>
    <row customHeight="1" ht="9">
      <c r="A154" s="851" t="s">
        <v>1885</v>
      </c>
      <c r="B154" s="851"/>
      <c r="C154" s="849"/>
      <c r="D154" s="849"/>
      <c r="E154" s="849"/>
      <c r="F154" s="849"/>
      <c r="G154" s="849"/>
      <c r="H154" s="849"/>
      <c r="I154" s="849"/>
      <c r="J154" s="849"/>
      <c r="K154" s="849"/>
      <c r="L154" s="849"/>
      <c r="M154" s="849"/>
      <c r="N154" s="849"/>
      <c r="O154" s="849"/>
      <c r="P154" s="849"/>
      <c r="Q154" s="849"/>
      <c r="R154" s="849"/>
      <c r="S154" s="849"/>
      <c r="T154" s="849"/>
      <c r="U154" s="849"/>
      <c r="V154" s="849"/>
      <c r="W154" s="849"/>
      <c r="X154" s="849"/>
      <c r="Y154" s="1007"/>
      <c r="Z154" s="852"/>
      <c r="AA154" s="855"/>
      <c r="AB154" s="852"/>
      <c r="AC154" s="852"/>
      <c r="AD154" s="852"/>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D930BC-539E-2011-9F0C-50413D767DF4}" mc:Ignorable="x14ac xr xr2 xr3">
  <sheetPr>
    <tabColor theme="6" tint="0.4"/>
  </sheetPr>
  <dimension ref="A1:AC40"/>
  <sheetViews>
    <sheetView topLeftCell="A1" showGridLines="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2.28125" hidden="1" customWidth="1"/>
    <col min="6" max="8" style="3334" width="12.28125" hidden="1" customWidth="1"/>
    <col min="9" max="9" style="13579" width="3.7109375" customWidth="1"/>
    <col min="10" max="11" style="3411" width="3.7109375" customWidth="1"/>
    <col min="12" max="12" style="3412" width="12.7109375" customWidth="1"/>
    <col min="13" max="13" style="2984" width="32.00390625" customWidth="1"/>
    <col min="14" max="14" style="2984" width="1.7109375" customWidth="1"/>
    <col min="15" max="18" style="2984" width="24.7109375" customWidth="1"/>
    <col min="19" max="19" style="2984" width="11.7109375" customWidth="1"/>
    <col min="20" max="20" style="2984" width="3.7109375" customWidth="1"/>
    <col min="21" max="21" style="2984" width="11.7109375" customWidth="1"/>
    <col min="22" max="22" style="2984" width="8.57421875" customWidth="1"/>
    <col min="23" max="23" style="2984" width="4.7109375" customWidth="1"/>
    <col min="24" max="24" style="2984" width="115.7109375" customWidth="1"/>
    <col min="25" max="26" style="2612" width="10.57421875"/>
    <col min="27" max="27" style="2612" width="11.140625" customWidth="1"/>
    <col min="28" max="29" style="2612" width="10.57421875"/>
  </cols>
  <sheetData>
    <row customHeight="1" ht="14.25" hidden="1">
      <c r="R1" s="323"/>
      <c r="S1" s="323"/>
    </row>
    <row customHeight="1" ht="14.25" hidden="1">
      <c r="V2" s="323"/>
    </row>
    <row customHeight="1" ht="14.25" hidden="1"/>
    <row customHeight="1" ht="14.25">
      <c r="J4" s="377"/>
      <c r="K4" s="377"/>
      <c r="L4" s="1305"/>
      <c r="M4" s="361"/>
      <c r="N4" s="361"/>
      <c r="O4" s="515"/>
      <c r="P4" s="515"/>
      <c r="Q4" s="515"/>
      <c r="R4" s="515"/>
      <c r="S4" s="515"/>
      <c r="T4" s="515"/>
      <c r="U4" s="515"/>
      <c r="V4" s="515"/>
    </row>
    <row customHeight="1" ht="64.5">
      <c r="J5" s="377"/>
      <c r="K5" s="377"/>
      <c r="L5" s="2441" t="s">
        <v>2351</v>
      </c>
      <c r="M5" s="2441"/>
      <c r="N5" s="2441"/>
      <c r="O5" s="2441"/>
      <c r="P5" s="2441"/>
      <c r="Q5" s="2441"/>
      <c r="R5" s="2441"/>
      <c r="S5" s="2441"/>
      <c r="T5" s="2441"/>
      <c r="U5" s="2441"/>
      <c r="V5" s="1261"/>
    </row>
    <row customHeight="1" ht="14.25">
      <c r="J6" s="377"/>
      <c r="K6" s="377"/>
      <c r="L6" s="2442" t="str">
        <f>IF(org=0,"Не определено",org)</f>
        <v>АО "Мурманэнергосбыт"</v>
      </c>
      <c r="M6" s="2442"/>
      <c r="N6" s="2442"/>
      <c r="O6" s="2442"/>
      <c r="P6" s="2442"/>
      <c r="Q6" s="2442"/>
      <c r="R6" s="2442"/>
      <c r="S6" s="2442"/>
      <c r="T6" s="2442"/>
      <c r="U6" s="2442"/>
      <c r="V6" s="1261"/>
    </row>
    <row customHeight="1" ht="14.25">
      <c r="J7" s="377"/>
      <c r="K7" s="377"/>
      <c r="L7" s="1305"/>
      <c r="M7" s="361"/>
      <c r="N7" s="361"/>
      <c r="O7" s="316"/>
      <c r="P7" s="316"/>
      <c r="Q7" s="316"/>
      <c r="R7" s="316"/>
      <c r="S7" s="316"/>
      <c r="T7" s="316"/>
      <c r="U7" s="316"/>
      <c r="V7" s="316"/>
      <c r="W7" s="515"/>
    </row>
    <row s="3345" customFormat="1" customHeight="1" ht="45">
      <c r="A8" s="1398"/>
      <c r="B8" s="1398"/>
      <c r="C8" s="1398"/>
      <c r="D8" s="1398"/>
      <c r="E8" s="1398"/>
      <c r="F8" s="1398"/>
      <c r="G8" s="1398"/>
      <c r="H8" s="1398"/>
      <c r="L8" s="1306"/>
      <c r="M8" s="283" t="s">
        <v>38</v>
      </c>
      <c r="N8" s="292"/>
      <c r="O8" s="2100" t="str">
        <f>IF(TITLE_NAME_OR_PR_CHANGE="",IF(TITLE_NAME_OR_PR="","",TITLE_NAME_OR_PR),TITLE_NAME_OR_PR_CHANGE)</f>
        <v>Комитет по тарифному регулированию Мурманской области</v>
      </c>
      <c r="P8" s="2100"/>
      <c r="Q8" s="2100"/>
      <c r="R8" s="2100"/>
      <c r="S8" s="2100"/>
      <c r="T8" s="2100"/>
      <c r="U8" s="2100"/>
      <c r="V8" s="322"/>
      <c r="W8" s="322"/>
      <c r="X8" s="268"/>
      <c r="Y8" s="368"/>
      <c r="Z8" s="368"/>
      <c r="AA8" s="368"/>
      <c r="AB8" s="368"/>
      <c r="AC8" s="368"/>
    </row>
    <row s="3345" customFormat="1" customHeight="1" ht="22.5">
      <c r="A9" s="1398"/>
      <c r="B9" s="1398"/>
      <c r="C9" s="1398"/>
      <c r="D9" s="1398"/>
      <c r="E9" s="1398"/>
      <c r="F9" s="1398"/>
      <c r="G9" s="1398"/>
      <c r="H9" s="1398"/>
      <c r="L9" s="1306"/>
      <c r="M9" s="283" t="s">
        <v>635</v>
      </c>
      <c r="N9" s="292"/>
      <c r="O9" s="2100" t="str">
        <f>IF(TITLE_DATE_CHANGE_PERIOD="",IF(TITLE_DATE_PR="","",TITLE_DATE_PR),TITLE_DATE_CHANGE_PERIOD)</f>
        <v>45175</v>
      </c>
      <c r="P9" s="2100"/>
      <c r="Q9" s="2100"/>
      <c r="R9" s="2100"/>
      <c r="S9" s="2100"/>
      <c r="T9" s="2100"/>
      <c r="U9" s="2100"/>
      <c r="V9" s="322"/>
      <c r="W9" s="322"/>
      <c r="X9" s="268"/>
      <c r="Y9" s="368"/>
      <c r="Z9" s="368"/>
      <c r="AA9" s="368"/>
      <c r="AB9" s="368"/>
      <c r="AC9" s="368"/>
    </row>
    <row s="3345" customFormat="1" customHeight="1" ht="22.5">
      <c r="A10" s="1398"/>
      <c r="B10" s="1398"/>
      <c r="C10" s="1398"/>
      <c r="D10" s="1398"/>
      <c r="E10" s="1398"/>
      <c r="F10" s="1398"/>
      <c r="G10" s="1398"/>
      <c r="H10" s="1398"/>
      <c r="L10" s="1269"/>
      <c r="M10" s="283" t="s">
        <v>636</v>
      </c>
      <c r="N10" s="292"/>
      <c r="O10" s="2100" t="str">
        <f>IF(TITLE_NUMBER_PR_CHANGE="",IF(TITLE_NUMBER_PR="","",TITLE_NUMBER_PR),TITLE_NUMBER_PR_CHANGE)</f>
        <v>36/2</v>
      </c>
      <c r="P10" s="2100"/>
      <c r="Q10" s="2100"/>
      <c r="R10" s="2100"/>
      <c r="S10" s="2100"/>
      <c r="T10" s="2100"/>
      <c r="U10" s="2100"/>
      <c r="V10" s="322"/>
      <c r="W10" s="322"/>
      <c r="X10" s="268"/>
      <c r="Y10" s="368"/>
      <c r="Z10" s="368"/>
      <c r="AA10" s="368"/>
      <c r="AB10" s="368"/>
      <c r="AC10" s="368"/>
    </row>
    <row s="3345" customFormat="1" customHeight="1" ht="22.5">
      <c r="A11" s="1398"/>
      <c r="B11" s="1398"/>
      <c r="C11" s="1398"/>
      <c r="D11" s="1398"/>
      <c r="E11" s="1398"/>
      <c r="F11" s="1398"/>
      <c r="G11" s="1398"/>
      <c r="H11" s="1398"/>
      <c r="L11" s="1269"/>
      <c r="M11" s="283" t="s">
        <v>40</v>
      </c>
      <c r="N11" s="292"/>
      <c r="O11" s="2100" t="str">
        <f>IF(TITLE_IST_PUB_CHANGE="",IF(TITLE_IST_PUB="","",TITLE_IST_PUB),TITLE_IST_PUB_CHANGE)</f>
        <v>https://npa.gov-murman.ru/bitrix/components/b1team/govmurman.element.file/download.php?ID=495002&amp;FID=732763</v>
      </c>
      <c r="P11" s="2100"/>
      <c r="Q11" s="2100"/>
      <c r="R11" s="2100"/>
      <c r="S11" s="2100"/>
      <c r="T11" s="2100"/>
      <c r="U11" s="2100"/>
      <c r="V11" s="322"/>
      <c r="W11" s="322"/>
      <c r="X11" s="268"/>
      <c r="Y11" s="368"/>
      <c r="Z11" s="368"/>
      <c r="AA11" s="368"/>
      <c r="AB11" s="368"/>
      <c r="AC11" s="368"/>
    </row>
    <row s="3345" customFormat="1" customHeight="1" ht="11.25" hidden="1">
      <c r="A12" s="1398"/>
      <c r="B12" s="1398"/>
      <c r="C12" s="1398"/>
      <c r="D12" s="1398"/>
      <c r="E12" s="1398"/>
      <c r="F12" s="1398"/>
      <c r="G12" s="1398"/>
      <c r="H12" s="1398"/>
      <c r="L12" s="2440"/>
      <c r="M12" s="2440"/>
      <c r="N12" s="1317"/>
      <c r="O12" s="322"/>
      <c r="P12" s="322"/>
      <c r="Q12" s="322"/>
      <c r="R12" s="322"/>
      <c r="S12" s="322"/>
      <c r="T12" s="322"/>
      <c r="U12" s="322"/>
      <c r="V12" s="266" t="s">
        <v>639</v>
      </c>
      <c r="Y12" s="368"/>
      <c r="Z12" s="368"/>
      <c r="AA12" s="368"/>
      <c r="AB12" s="368"/>
      <c r="AC12" s="368"/>
    </row>
    <row customHeight="1" ht="14.25">
      <c r="J13" s="377"/>
      <c r="K13" s="377"/>
      <c r="L13" s="1305"/>
      <c r="M13" s="361"/>
      <c r="N13" s="1262"/>
      <c r="O13" s="2124"/>
      <c r="P13" s="2124"/>
      <c r="Q13" s="2124"/>
      <c r="R13" s="2124"/>
      <c r="S13" s="2124"/>
      <c r="T13" s="2124"/>
      <c r="U13" s="2124"/>
      <c r="V13" s="2124"/>
    </row>
    <row customHeight="1" ht="14.25">
      <c r="J14" s="377"/>
      <c r="K14" s="377"/>
      <c r="L14" s="1971" t="s">
        <v>513</v>
      </c>
      <c r="M14" s="1971"/>
      <c r="N14" s="1971"/>
      <c r="O14" s="1971"/>
      <c r="P14" s="1971"/>
      <c r="Q14" s="1971"/>
      <c r="R14" s="1971"/>
      <c r="S14" s="1971"/>
      <c r="T14" s="1971"/>
      <c r="U14" s="1971"/>
      <c r="V14" s="1971"/>
      <c r="W14" s="1971"/>
      <c r="X14" s="1971" t="s">
        <v>514</v>
      </c>
    </row>
    <row customHeight="1" ht="14.25">
      <c r="J15" s="377"/>
      <c r="K15" s="377"/>
      <c r="L15" s="2125" t="s">
        <v>89</v>
      </c>
      <c r="M15" s="2062" t="s">
        <v>640</v>
      </c>
      <c r="N15" s="289"/>
      <c r="O15" s="2126" t="s">
        <v>2352</v>
      </c>
      <c r="P15" s="2127"/>
      <c r="Q15" s="2127"/>
      <c r="R15" s="2127"/>
      <c r="S15" s="2127"/>
      <c r="T15" s="2127"/>
      <c r="U15" s="2128"/>
      <c r="V15" s="2129" t="s">
        <v>642</v>
      </c>
      <c r="W15" s="2132" t="s">
        <v>1283</v>
      </c>
      <c r="X15" s="1971"/>
    </row>
    <row customHeight="1" ht="33.75">
      <c r="J16" s="377"/>
      <c r="K16" s="377"/>
      <c r="L16" s="2125"/>
      <c r="M16" s="2062"/>
      <c r="N16" s="1038"/>
      <c r="O16" s="2135" t="s">
        <v>645</v>
      </c>
      <c r="P16" s="2135" t="s">
        <v>646</v>
      </c>
      <c r="Q16" s="2118" t="s">
        <v>647</v>
      </c>
      <c r="R16" s="2120"/>
      <c r="S16" s="2118" t="s">
        <v>660</v>
      </c>
      <c r="T16" s="2119"/>
      <c r="U16" s="2120"/>
      <c r="V16" s="2130"/>
      <c r="W16" s="2133"/>
      <c r="X16" s="1971"/>
    </row>
    <row customHeight="1" ht="33.75">
      <c r="A17" s="1400" t="s">
        <v>215</v>
      </c>
      <c r="B17" s="1400" t="s">
        <v>216</v>
      </c>
      <c r="C17" s="1400" t="s">
        <v>217</v>
      </c>
      <c r="D17" s="1400" t="s">
        <v>218</v>
      </c>
      <c r="E17" s="1400"/>
      <c r="J17" s="377"/>
      <c r="K17" s="377"/>
      <c r="L17" s="2125"/>
      <c r="M17" s="2062"/>
      <c r="N17" s="290"/>
      <c r="O17" s="2136"/>
      <c r="P17" s="2136"/>
      <c r="Q17" s="1237" t="s">
        <v>656</v>
      </c>
      <c r="R17" s="1237" t="s">
        <v>657</v>
      </c>
      <c r="S17" s="1322" t="s">
        <v>658</v>
      </c>
      <c r="T17" s="2121" t="s">
        <v>659</v>
      </c>
      <c r="U17" s="2122"/>
      <c r="V17" s="2131"/>
      <c r="W17" s="2134"/>
      <c r="X17" s="1971"/>
    </row>
    <row s="2611" customFormat="1" customHeight="1" ht="11.25">
      <c r="A18" s="1400"/>
      <c r="B18" s="1400"/>
      <c r="C18" s="1400"/>
      <c r="D18" s="1400"/>
      <c r="E18" s="1400"/>
      <c r="F18" s="1392"/>
      <c r="G18" s="1392"/>
      <c r="H18" s="1392"/>
      <c r="I18" s="1264"/>
      <c r="J18" s="1265"/>
      <c r="K18" s="1280">
        <v>1</v>
      </c>
      <c r="L18" s="1307" t="s">
        <v>193</v>
      </c>
      <c r="M18" s="1281" t="s">
        <v>104</v>
      </c>
      <c r="N18" s="1263" t="str">
        <f>OFFSET(N18,0,-1)</f>
        <v>2</v>
      </c>
      <c r="O18" s="1319">
        <f>OFFSET(O18,0,-1)+1</f>
        <v>3</v>
      </c>
      <c r="P18" s="1319"/>
      <c r="Q18" s="1319">
        <f>OFFSET(Q18,0,-1)+1</f>
        <v>1</v>
      </c>
      <c r="R18" s="1319">
        <f>OFFSET(R18,0,-1)+1</f>
        <v>2</v>
      </c>
      <c r="S18" s="1319">
        <f>OFFSET(S18,0,-1)+1</f>
        <v>3</v>
      </c>
      <c r="T18" s="2123">
        <f>OFFSET(T18,0,-1)+1</f>
        <v>4</v>
      </c>
      <c r="U18" s="2123"/>
      <c r="V18" s="1319">
        <f>OFFSET(V18,0,-2)+1</f>
        <v>5</v>
      </c>
      <c r="W18" s="1263">
        <f>OFFSET(W18,0,-1)</f>
        <v>5</v>
      </c>
      <c r="X18" s="1319">
        <f>OFFSET(X18,0,-1)+1</f>
        <v>6</v>
      </c>
      <c r="Y18" s="517"/>
      <c r="Z18" s="517"/>
      <c r="AA18" s="517"/>
      <c r="AB18" s="517"/>
      <c r="AC18" s="517"/>
    </row>
    <row customHeight="1" ht="21">
      <c r="A19" s="1393" t="s">
        <v>246</v>
      </c>
      <c r="B19" s="1393" t="s">
        <v>247</v>
      </c>
      <c r="C19" s="1393" t="s">
        <v>248</v>
      </c>
      <c r="D19" s="1393" t="s">
        <v>249</v>
      </c>
      <c r="E19" s="1393"/>
      <c r="F19" s="1395"/>
      <c r="G19" s="1395"/>
      <c r="H19" s="1395"/>
      <c r="I19" s="357"/>
      <c r="J19" s="356"/>
      <c r="K19" s="351"/>
      <c r="L19" s="1323">
        <f>INDEX(PT_DIFFERENTIATION_NUM_NTAR,MATCH(A19,PT_DIFFERENTIATION_NTAR_ID,0))</f>
        <v>1</v>
      </c>
      <c r="M19" s="286" t="s">
        <v>204</v>
      </c>
      <c r="N19" s="288"/>
      <c r="O19" s="2434" t="str">
        <f>INDEX(PT_DIFFERENTIATION_NTAR,MATCH(A19,PT_DIFFERENTIATION_NTAR_ID,0))</f>
        <v>Тариф на теплоноситель, поставляемый потребителям</v>
      </c>
      <c r="P19" s="2434"/>
      <c r="Q19" s="2434"/>
      <c r="R19" s="2434"/>
      <c r="S19" s="2434"/>
      <c r="T19" s="2434"/>
      <c r="U19" s="2434"/>
      <c r="V19" s="2434"/>
      <c r="W19" s="2434"/>
      <c r="X19" s="1286" t="s">
        <v>611</v>
      </c>
      <c r="Z19" s="506"/>
      <c r="AA19" s="506" t="str">
        <f>IF(M19="","",M19)</f>
        <v>Наименование тарифа</v>
      </c>
      <c r="AB19" s="506"/>
      <c r="AC19" s="506"/>
    </row>
    <row customHeight="1" ht="21">
      <c r="A20" s="1393" t="s">
        <v>246</v>
      </c>
      <c r="B20" s="1393" t="s">
        <v>247</v>
      </c>
      <c r="C20" s="1393" t="s">
        <v>248</v>
      </c>
      <c r="D20" s="1393" t="s">
        <v>249</v>
      </c>
      <c r="E20" s="1393"/>
      <c r="F20" s="1395"/>
      <c r="G20" s="1395"/>
      <c r="H20" s="1395"/>
      <c r="I20" s="1320"/>
      <c r="J20" s="348"/>
      <c r="K20" s="349"/>
      <c r="L20" s="1323" t="str">
        <f>INDEX(PT_DIFFERENTIATION_NUM_TER,MATCH(B19,PT_DIFFERENTIATION_TER_ID,0))</f>
        <v>1.1</v>
      </c>
      <c r="M20" s="298" t="s">
        <v>612</v>
      </c>
      <c r="N20" s="288"/>
      <c r="O20" s="2434" t="str">
        <f>INDEX(PT_DIFFERENTIATION_TER,MATCH(B19,PT_DIFFERENTIATION_TER_ID,0))</f>
        <v>Территория 1</v>
      </c>
      <c r="P20" s="2434"/>
      <c r="Q20" s="2434"/>
      <c r="R20" s="2434"/>
      <c r="S20" s="2434"/>
      <c r="T20" s="2434"/>
      <c r="U20" s="2434"/>
      <c r="V20" s="2434"/>
      <c r="W20" s="2434"/>
      <c r="X20" s="1286" t="s">
        <v>613</v>
      </c>
      <c r="Z20" s="506"/>
      <c r="AA20" s="506" t="str">
        <f>IF(M20="","",M20)</f>
        <v>Территория действия тарифа</v>
      </c>
      <c r="AB20" s="506"/>
      <c r="AC20" s="506"/>
    </row>
    <row customHeight="1" ht="22.5">
      <c r="A21" s="1393" t="s">
        <v>246</v>
      </c>
      <c r="B21" s="1393" t="s">
        <v>247</v>
      </c>
      <c r="C21" s="1393" t="s">
        <v>248</v>
      </c>
      <c r="D21" s="1393" t="s">
        <v>249</v>
      </c>
      <c r="E21" s="1393"/>
      <c r="F21" s="1395"/>
      <c r="G21" s="1395"/>
      <c r="H21" s="1395"/>
      <c r="I21" s="350"/>
      <c r="J21" s="348"/>
      <c r="K21" s="349"/>
      <c r="L21" s="1323" t="str">
        <f>INDEX(PT_DIFFERENTIATION_NUM_CS,MATCH(C19,PT_DIFFERENTIATION_CS_ID,0))</f>
        <v>1.1.1</v>
      </c>
      <c r="M21" s="299" t="s">
        <v>614</v>
      </c>
      <c r="N21" s="288"/>
      <c r="O21" s="2434" t="str">
        <f>INDEX(PT_DIFFERENTIATION_CS,MATCH(C19,PT_DIFFERENTIATION_CS_ID,0))</f>
        <v>без дифференциации</v>
      </c>
      <c r="P21" s="2434"/>
      <c r="Q21" s="2434"/>
      <c r="R21" s="2434"/>
      <c r="S21" s="2434"/>
      <c r="T21" s="2434"/>
      <c r="U21" s="2434"/>
      <c r="V21" s="2434"/>
      <c r="W21" s="2434"/>
      <c r="X21" s="1286" t="s">
        <v>615</v>
      </c>
      <c r="Z21" s="506"/>
      <c r="AA21" s="506" t="str">
        <f>IF(M21="","",M21)</f>
        <v>Наименование системы теплоснабжения </v>
      </c>
      <c r="AB21" s="506"/>
      <c r="AC21" s="506"/>
    </row>
    <row customHeight="1" ht="21">
      <c r="A22" s="1393" t="s">
        <v>246</v>
      </c>
      <c r="B22" s="1393" t="s">
        <v>247</v>
      </c>
      <c r="C22" s="1393" t="s">
        <v>248</v>
      </c>
      <c r="D22" s="1393" t="s">
        <v>249</v>
      </c>
      <c r="E22" s="1393"/>
      <c r="F22" s="1395"/>
      <c r="G22" s="1395"/>
      <c r="H22" s="1395"/>
      <c r="I22" s="350"/>
      <c r="J22" s="348"/>
      <c r="K22" s="349"/>
      <c r="L22" s="1323" t="str">
        <f>INDEX(PT_DIFFERENTIATION_NUM_IST_TE,MATCH(D19,PT_DIFFERENTIATION_IST_TE_ID,0))</f>
        <v>1.1.1.1</v>
      </c>
      <c r="M22" s="300" t="s">
        <v>616</v>
      </c>
      <c r="N22" s="288"/>
      <c r="O22" s="2434" t="str">
        <f>INDEX(PT_DIFFERENTIATION_IST_TE,MATCH(D19,PT_DIFFERENTIATION_IST_TE_ID,0))</f>
        <v>г.о. город-герой Мурманск (с учетом транспортировки по сетям АО "Звездочка" филиал "35 СРЗ")</v>
      </c>
      <c r="P22" s="2434"/>
      <c r="Q22" s="2434"/>
      <c r="R22" s="2434"/>
      <c r="S22" s="2434"/>
      <c r="T22" s="2434"/>
      <c r="U22" s="2434"/>
      <c r="V22" s="2434"/>
      <c r="W22" s="2434"/>
      <c r="X22" s="1286" t="s">
        <v>617</v>
      </c>
      <c r="Z22" s="506"/>
      <c r="AA22" s="506" t="str">
        <f>IF(M22="","",M22)</f>
        <v>Источник тепловой энергии  </v>
      </c>
      <c r="AB22" s="506"/>
      <c r="AC22" s="506"/>
    </row>
    <row customHeight="1" ht="94.5">
      <c r="A23" s="1393" t="s">
        <v>246</v>
      </c>
      <c r="B23" s="1393" t="s">
        <v>247</v>
      </c>
      <c r="C23" s="1393" t="s">
        <v>248</v>
      </c>
      <c r="D23" s="1393" t="s">
        <v>249</v>
      </c>
      <c r="E23" s="1393"/>
      <c r="F23" s="2435" t="str">
        <f>L22&amp;".1"</f>
        <v>1.1.1.1.1</v>
      </c>
      <c r="I23" s="2111">
        <v>1</v>
      </c>
      <c r="J23" s="1321"/>
      <c r="K23" s="352"/>
      <c r="L23" s="1323" t="str">
        <f>$F$23</f>
        <v>1.1.1.1.1</v>
      </c>
      <c r="M23" s="273" t="s">
        <v>619</v>
      </c>
      <c r="N23" s="288"/>
      <c r="O23" s="2436"/>
      <c r="P23" s="2436"/>
      <c r="Q23" s="2436"/>
      <c r="R23" s="2436"/>
      <c r="S23" s="2436"/>
      <c r="T23" s="2436"/>
      <c r="U23" s="2436"/>
      <c r="V23" s="2436"/>
      <c r="W23" s="2436"/>
      <c r="X23" s="1286" t="s">
        <v>620</v>
      </c>
      <c r="Z23" s="506"/>
      <c r="AA23" s="506" t="str">
        <f>IF(M23="","",M23)</f>
        <v>Схема подключения теплопотребляющей установки к коллектору источника тепловой энергии</v>
      </c>
      <c r="AB23" s="506"/>
      <c r="AC23" s="506"/>
    </row>
    <row customHeight="1" ht="84">
      <c r="A24" s="1393" t="s">
        <v>246</v>
      </c>
      <c r="B24" s="1393" t="s">
        <v>247</v>
      </c>
      <c r="C24" s="1393" t="s">
        <v>248</v>
      </c>
      <c r="D24" s="1393" t="s">
        <v>249</v>
      </c>
      <c r="E24" s="1393"/>
      <c r="F24" s="2435"/>
      <c r="G24" s="2082" t="str">
        <f>F23&amp;".1"</f>
        <v>1.1.1.1.1.1</v>
      </c>
      <c r="I24" s="2111"/>
      <c r="J24" s="2111">
        <v>1</v>
      </c>
      <c r="K24" s="353"/>
      <c r="L24" s="1323" t="str">
        <f>$G$24</f>
        <v>1.1.1.1.1.1</v>
      </c>
      <c r="M24" s="274" t="s">
        <v>622</v>
      </c>
      <c r="N24" s="288"/>
      <c r="O24" s="2437"/>
      <c r="P24" s="2438"/>
      <c r="Q24" s="2438"/>
      <c r="R24" s="2438"/>
      <c r="S24" s="2438"/>
      <c r="T24" s="2438"/>
      <c r="U24" s="2438"/>
      <c r="V24" s="2438"/>
      <c r="W24" s="2439"/>
      <c r="X24" s="1286" t="s">
        <v>623</v>
      </c>
      <c r="Z24" s="506"/>
      <c r="AA24" s="506" t="str">
        <f>IF(M24="","",M24)</f>
        <v>Группа потребителей</v>
      </c>
      <c r="AB24" s="506"/>
      <c r="AC24" s="506"/>
    </row>
    <row customHeight="1" ht="11.25">
      <c r="A25" s="1393" t="s">
        <v>246</v>
      </c>
      <c r="B25" s="1393" t="s">
        <v>247</v>
      </c>
      <c r="C25" s="1393" t="s">
        <v>248</v>
      </c>
      <c r="D25" s="1393" t="s">
        <v>249</v>
      </c>
      <c r="E25" s="1393"/>
      <c r="F25" s="2435"/>
      <c r="G25" s="2082"/>
      <c r="H25" s="2082" t="str">
        <f>G24&amp;".1"</f>
        <v>1.1.1.1.1.1.1</v>
      </c>
      <c r="I25" s="2111"/>
      <c r="J25" s="2111"/>
      <c r="K25" s="353">
        <v>1</v>
      </c>
      <c r="L25" s="1323" t="str">
        <f>$H$25</f>
        <v>1.1.1.1.1.1.1</v>
      </c>
      <c r="M25" s="1287"/>
      <c r="N25" s="288"/>
      <c r="O25" s="757"/>
      <c r="P25" s="320"/>
      <c r="Q25" s="757"/>
      <c r="R25" s="1285"/>
      <c r="S25" s="2443"/>
      <c r="T25" s="1981" t="s">
        <v>63</v>
      </c>
      <c r="U25" s="2443"/>
      <c r="V25" s="1981" t="s">
        <v>58</v>
      </c>
      <c r="W25" s="320"/>
      <c r="X25" s="2137" t="s">
        <v>625</v>
      </c>
      <c r="Y25" s="517">
        <f>STRCHECKDATE(O26:W26)</f>
      </c>
      <c r="Z25" s="506"/>
      <c r="AA25" s="506" t="str">
        <f>IF(M25="","",M25)</f>
        <v/>
      </c>
      <c r="AB25" s="506"/>
      <c r="AC25" s="506"/>
    </row>
    <row customHeight="1" ht="11.25">
      <c r="A26" s="1393" t="s">
        <v>246</v>
      </c>
      <c r="B26" s="1393" t="s">
        <v>247</v>
      </c>
      <c r="C26" s="1393" t="s">
        <v>248</v>
      </c>
      <c r="D26" s="1393" t="s">
        <v>249</v>
      </c>
      <c r="E26" s="1393"/>
      <c r="F26" s="2435"/>
      <c r="G26" s="2082"/>
      <c r="H26" s="2082"/>
      <c r="I26" s="2111"/>
      <c r="J26" s="2111"/>
      <c r="K26" s="353"/>
      <c r="L26" s="1324"/>
      <c r="M26" s="288"/>
      <c r="N26" s="288"/>
      <c r="O26" s="320"/>
      <c r="P26" s="320"/>
      <c r="Q26" s="320"/>
      <c r="R26" s="324" t="str">
        <f>S25&amp;"-"&amp;U25</f>
        <v>-</v>
      </c>
      <c r="S26" s="2113"/>
      <c r="T26" s="1981"/>
      <c r="U26" s="2113"/>
      <c r="V26" s="1981"/>
      <c r="W26" s="320"/>
      <c r="X26" s="2138"/>
      <c r="Z26" s="506"/>
      <c r="AA26" s="506" t="str">
        <f>IF(M26="","",M26)</f>
        <v/>
      </c>
      <c r="AB26" s="506"/>
      <c r="AC26" s="506"/>
    </row>
    <row customHeight="1" ht="15">
      <c r="A27" s="1393" t="s">
        <v>246</v>
      </c>
      <c r="B27" s="1393" t="s">
        <v>247</v>
      </c>
      <c r="C27" s="1393" t="s">
        <v>248</v>
      </c>
      <c r="D27" s="1393" t="s">
        <v>249</v>
      </c>
      <c r="E27" s="1393"/>
      <c r="F27" s="2435"/>
      <c r="G27" s="2082"/>
      <c r="I27" s="2111"/>
      <c r="J27" s="2111"/>
      <c r="K27" s="352"/>
      <c r="L27" s="1308"/>
      <c r="M27" s="276" t="s">
        <v>626</v>
      </c>
      <c r="N27" s="367"/>
      <c r="O27" s="367"/>
      <c r="P27" s="367"/>
      <c r="Q27" s="367"/>
      <c r="R27" s="367"/>
      <c r="S27" s="367"/>
      <c r="T27" s="367"/>
      <c r="U27" s="367"/>
      <c r="V27" s="367"/>
      <c r="W27" s="319"/>
      <c r="X27" s="2139"/>
      <c r="Z27" s="506"/>
      <c r="AA27" s="506" t="str">
        <f>IF(M27="","",M27)</f>
        <v>Добавить вид теплоносителя (параметры теплоносителя)</v>
      </c>
      <c r="AB27" s="506"/>
      <c r="AC27" s="506"/>
    </row>
    <row customHeight="1" ht="15">
      <c r="A28" s="1393" t="s">
        <v>246</v>
      </c>
      <c r="B28" s="1393" t="s">
        <v>247</v>
      </c>
      <c r="C28" s="1393" t="s">
        <v>248</v>
      </c>
      <c r="D28" s="1393" t="s">
        <v>249</v>
      </c>
      <c r="E28" s="1393"/>
      <c r="F28" s="2435"/>
      <c r="I28" s="2111"/>
      <c r="J28" s="1321"/>
      <c r="K28" s="352"/>
      <c r="L28" s="1308"/>
      <c r="M28" s="275" t="s">
        <v>627</v>
      </c>
      <c r="N28" s="367"/>
      <c r="O28" s="367"/>
      <c r="P28" s="367"/>
      <c r="Q28" s="367"/>
      <c r="R28" s="367"/>
      <c r="S28" s="367"/>
      <c r="T28" s="367"/>
      <c r="U28" s="367"/>
      <c r="V28" s="366"/>
      <c r="W28" s="367"/>
      <c r="X28" s="291"/>
      <c r="Z28" s="506"/>
      <c r="AA28" s="506" t="str">
        <f>IF(M28="","",M28)</f>
        <v>Добавить группу потребителей</v>
      </c>
      <c r="AB28" s="506"/>
      <c r="AC28" s="506"/>
    </row>
    <row customHeight="1" ht="14.25">
      <c r="A29" s="1393" t="s">
        <v>246</v>
      </c>
      <c r="B29" s="1393" t="s">
        <v>247</v>
      </c>
      <c r="C29" s="1393" t="s">
        <v>248</v>
      </c>
      <c r="D29" s="1393" t="s">
        <v>249</v>
      </c>
      <c r="E29" s="1393"/>
      <c r="F29" s="1395"/>
      <c r="G29" s="1395"/>
      <c r="H29" s="543"/>
      <c r="I29" s="356"/>
      <c r="J29" s="376"/>
      <c r="K29" s="351"/>
      <c r="L29" s="1308"/>
      <c r="M29" s="364" t="s">
        <v>628</v>
      </c>
      <c r="N29" s="367"/>
      <c r="O29" s="367"/>
      <c r="P29" s="367"/>
      <c r="Q29" s="367"/>
      <c r="R29" s="367"/>
      <c r="S29" s="367"/>
      <c r="T29" s="367"/>
      <c r="U29" s="367"/>
      <c r="V29" s="366"/>
      <c r="W29" s="367"/>
      <c r="X29" s="291"/>
      <c r="Z29" s="506"/>
      <c r="AA29" s="506" t="str">
        <f>IF(M29="","",M29)</f>
        <v>Добавить схему подключения</v>
      </c>
      <c r="AB29" s="506"/>
      <c r="AC29" s="506"/>
    </row>
    <row customHeight="1" ht="14.25">
      <c r="A30" s="1393" t="s">
        <v>246</v>
      </c>
      <c r="B30" s="1393" t="s">
        <v>247</v>
      </c>
      <c r="C30" s="1393" t="s">
        <v>248</v>
      </c>
      <c r="D30" s="1393"/>
      <c r="E30" s="1393" t="s">
        <v>793</v>
      </c>
      <c r="F30" s="1395"/>
      <c r="G30" s="1395"/>
      <c r="H30" s="543"/>
      <c r="I30" s="356"/>
      <c r="J30" s="376"/>
      <c r="K30" s="351"/>
      <c r="L30" s="1309"/>
      <c r="M30" s="1298"/>
      <c r="N30" s="1299"/>
      <c r="O30" s="1299"/>
      <c r="P30" s="1299"/>
      <c r="Q30" s="1299"/>
      <c r="R30" s="1299"/>
      <c r="S30" s="1299"/>
      <c r="T30" s="1299"/>
      <c r="U30" s="1299"/>
      <c r="V30" s="1300"/>
      <c r="W30" s="1299"/>
      <c r="X30" s="1301"/>
      <c r="Z30" s="506"/>
      <c r="AA30" s="506" t="str">
        <f>IF(M30="","",M30)</f>
        <v/>
      </c>
      <c r="AB30" s="506"/>
      <c r="AC30" s="506"/>
    </row>
    <row customHeight="1" ht="14.25">
      <c r="A31" s="1393" t="s">
        <v>246</v>
      </c>
      <c r="B31" s="1393" t="s">
        <v>247</v>
      </c>
      <c r="C31" s="1393"/>
      <c r="D31" s="1393"/>
      <c r="E31" s="1393" t="s">
        <v>2353</v>
      </c>
      <c r="F31" s="1547"/>
      <c r="G31" s="1547"/>
      <c r="H31" s="543"/>
      <c r="I31" s="354"/>
      <c r="J31" s="376"/>
      <c r="K31" s="355"/>
      <c r="L31" s="1309"/>
      <c r="M31" s="1302"/>
      <c r="N31" s="1299"/>
      <c r="O31" s="1299"/>
      <c r="P31" s="1299"/>
      <c r="Q31" s="1299"/>
      <c r="R31" s="1299"/>
      <c r="S31" s="1299"/>
      <c r="T31" s="1299"/>
      <c r="U31" s="1299"/>
      <c r="V31" s="1300"/>
      <c r="W31" s="1299"/>
      <c r="X31" s="1301"/>
      <c r="Z31" s="506"/>
      <c r="AA31" s="506" t="str">
        <f>IF(M31="","",M31)</f>
        <v/>
      </c>
      <c r="AB31" s="506"/>
      <c r="AC31" s="506"/>
    </row>
    <row customHeight="1" ht="14.25">
      <c r="A32" s="1393" t="s">
        <v>2354</v>
      </c>
      <c r="B32" s="1393"/>
      <c r="C32" s="1393"/>
      <c r="D32" s="1393"/>
      <c r="E32" s="1393" t="s">
        <v>188</v>
      </c>
      <c r="F32" s="1547"/>
      <c r="G32" s="1547"/>
      <c r="H32" s="543"/>
      <c r="I32" s="356"/>
      <c r="J32" s="376"/>
      <c r="K32" s="351"/>
      <c r="L32" s="1309"/>
      <c r="M32" s="1303"/>
      <c r="N32" s="1299"/>
      <c r="O32" s="1299"/>
      <c r="P32" s="1299"/>
      <c r="Q32" s="1299"/>
      <c r="R32" s="1299"/>
      <c r="S32" s="1299"/>
      <c r="T32" s="1299"/>
      <c r="U32" s="1299"/>
      <c r="V32" s="1300"/>
      <c r="W32" s="1299"/>
      <c r="X32" s="1301"/>
      <c r="Z32" s="506"/>
      <c r="AA32" s="506" t="str">
        <f>IF(M32="","",M32)</f>
        <v/>
      </c>
      <c r="AB32" s="506"/>
      <c r="AC32" s="506"/>
    </row>
    <row s="13084" customFormat="1" customHeight="1" ht="11.25">
      <c r="A33" s="1393"/>
      <c r="B33" s="1393"/>
      <c r="C33" s="1393"/>
      <c r="D33" s="1393"/>
      <c r="E33" s="1393" t="s">
        <v>398</v>
      </c>
      <c r="F33" s="1548"/>
      <c r="G33" s="1549"/>
      <c r="H33" s="543"/>
      <c r="L33" s="1310"/>
      <c r="M33" s="1304"/>
      <c r="N33" s="1299"/>
      <c r="O33" s="1299"/>
      <c r="P33" s="1299"/>
      <c r="Q33" s="1299"/>
      <c r="R33" s="1299"/>
      <c r="S33" s="1299"/>
      <c r="T33" s="1299"/>
      <c r="U33" s="1299"/>
      <c r="V33" s="1300"/>
      <c r="W33" s="1299"/>
      <c r="X33" s="1301"/>
      <c r="Y33" s="383"/>
      <c r="Z33" s="383"/>
      <c r="AA33" s="383"/>
      <c r="AB33" s="383"/>
      <c r="AC33" s="383"/>
    </row>
    <row customHeight="1" ht="11.25">
      <c r="F34" s="1168"/>
      <c r="G34" s="1168"/>
      <c r="H34" s="543"/>
      <c r="I34" s="1163"/>
      <c r="J34" s="1163"/>
      <c r="K34" s="1163"/>
      <c r="Y34" s="1163"/>
      <c r="Z34" s="1163"/>
      <c r="AA34" s="1163"/>
      <c r="AB34" s="1163"/>
      <c r="AC34" s="1163"/>
    </row>
    <row customHeight="1" ht="27">
      <c r="H35" s="543"/>
      <c r="L35" s="1318" t="s">
        <v>925</v>
      </c>
      <c r="M35" s="2106" t="s">
        <v>2355</v>
      </c>
      <c r="N35" s="2106"/>
      <c r="O35" s="2106"/>
      <c r="P35" s="2106"/>
      <c r="Q35" s="2106"/>
      <c r="R35" s="2106"/>
      <c r="S35" s="2106"/>
      <c r="T35" s="2106"/>
      <c r="U35" s="2106"/>
      <c r="V35" s="2106"/>
      <c r="W35" s="2106"/>
      <c r="X35" s="2106"/>
    </row>
    <row customHeight="1" ht="104.25">
      <c r="H36" s="543"/>
      <c r="I36" s="1333"/>
      <c r="M36" s="2106" t="s">
        <v>2356</v>
      </c>
      <c r="N36" s="2106"/>
      <c r="O36" s="2106"/>
      <c r="P36" s="2106"/>
      <c r="Q36" s="2106"/>
      <c r="R36" s="2106"/>
      <c r="S36" s="2106"/>
      <c r="T36" s="2106"/>
      <c r="U36" s="2106"/>
      <c r="V36" s="2106"/>
      <c r="W36" s="2106"/>
      <c r="X36" s="2106"/>
    </row>
    <row customHeight="1" ht="14.25">
      <c r="H37" s="543"/>
    </row>
    <row customHeight="1" ht="14.25">
      <c r="H38" s="543"/>
    </row>
    <row customHeight="1" ht="14.25">
      <c r="H39" s="543"/>
    </row>
    <row customHeight="1" ht="14.25">
      <c r="H40" s="543"/>
    </row>
  </sheetData>
  <sheetProtection formatColumns="0" formatRows="0" autoFilter="0" sort="0" insertRows="0" insertColumns="1" deleteRows="0" deleteColumns="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D12185-2B53-1828-4B47-964FABC696BE}" mc:Ignorable="x14ac xr xr2 xr3">
  <sheetPr>
    <tabColor theme="6" tint="0.4"/>
  </sheetPr>
  <dimension ref="A1:AC40"/>
  <sheetViews>
    <sheetView topLeftCell="A1" showGridLines="0" workbookViewId="0">
      <selection activeCell="A1" sqref="A1"/>
    </sheetView>
  </sheetViews>
  <sheetFormatPr defaultColWidth="10.57421875" customHeight="1" defaultRowHeight="14.25"/>
  <cols>
    <col min="1" max="1" style="2984" width="11.57421875" customWidth="1"/>
    <col min="2" max="2" style="2984" width="10.7109375" customWidth="1"/>
    <col min="3" max="3" style="2984" width="10.00390625" customWidth="1"/>
    <col min="4" max="4" style="2984" width="12.8515625" customWidth="1"/>
    <col min="5" max="5" style="2984" width="12.28125" customWidth="1"/>
    <col min="6" max="8" style="13579" width="12.28125" customWidth="1"/>
    <col min="9" max="9" style="13579" width="3.7109375" customWidth="1"/>
    <col min="10" max="11" style="3411" width="3.7109375" customWidth="1"/>
    <col min="12" max="12" style="3412" width="12.7109375" customWidth="1"/>
    <col min="13" max="13" style="2984" width="32.00390625" customWidth="1"/>
    <col min="14" max="14" style="2984" width="1.7109375" customWidth="1"/>
    <col min="15" max="18" style="2984" width="24.7109375" customWidth="1"/>
    <col min="19" max="19" style="2984" width="11.7109375" customWidth="1"/>
    <col min="20" max="20" style="2984" width="3.7109375" customWidth="1"/>
    <col min="21" max="21" style="2984" width="11.7109375" customWidth="1"/>
    <col min="22" max="22" style="2984" width="8.57421875" customWidth="1"/>
    <col min="23" max="23" style="2984" width="4.7109375" customWidth="1"/>
    <col min="24" max="24" style="2984" width="115.7109375" customWidth="1"/>
    <col min="25" max="26" style="2612" width="10.57421875"/>
    <col min="27" max="27" style="2612" width="11.140625" customWidth="1"/>
    <col min="28" max="29" style="2612" width="10.57421875"/>
  </cols>
  <sheetData>
    <row customHeight="1" ht="14.25" hidden="1">
      <c r="R1" s="323"/>
      <c r="S1" s="323"/>
    </row>
    <row customHeight="1" ht="14.25" hidden="1">
      <c r="V2" s="323"/>
    </row>
    <row customHeight="1" ht="14.25" hidden="1"/>
    <row customHeight="1" ht="14.25">
      <c r="J4" s="377"/>
      <c r="K4" s="377"/>
      <c r="L4" s="1305"/>
      <c r="M4" s="361"/>
      <c r="N4" s="361"/>
      <c r="O4" s="515"/>
      <c r="P4" s="515"/>
      <c r="Q4" s="515"/>
      <c r="R4" s="515"/>
      <c r="S4" s="515"/>
      <c r="T4" s="515"/>
      <c r="U4" s="515"/>
      <c r="V4" s="515"/>
    </row>
    <row customHeight="1" ht="64.5">
      <c r="J5" s="377"/>
      <c r="K5" s="377"/>
      <c r="L5" s="2441" t="s">
        <v>2351</v>
      </c>
      <c r="M5" s="2441"/>
      <c r="N5" s="2441"/>
      <c r="O5" s="2441"/>
      <c r="P5" s="2441"/>
      <c r="Q5" s="2441"/>
      <c r="R5" s="2441"/>
      <c r="S5" s="2441"/>
      <c r="T5" s="2441"/>
      <c r="U5" s="2441"/>
      <c r="V5" s="1261"/>
    </row>
    <row customHeight="1" ht="14.25">
      <c r="J6" s="377"/>
      <c r="K6" s="377"/>
      <c r="L6" s="2442" t="str">
        <f>IF(org=0,"Не определено",org)</f>
        <v>АО "Мурманэнергосбыт"</v>
      </c>
      <c r="M6" s="2442"/>
      <c r="N6" s="2442"/>
      <c r="O6" s="2442"/>
      <c r="P6" s="2442"/>
      <c r="Q6" s="2442"/>
      <c r="R6" s="2442"/>
      <c r="S6" s="2442"/>
      <c r="T6" s="2442"/>
      <c r="U6" s="2442"/>
      <c r="V6" s="1261"/>
    </row>
    <row customHeight="1" ht="14.25">
      <c r="J7" s="377"/>
      <c r="K7" s="377"/>
      <c r="L7" s="1305"/>
      <c r="M7" s="361"/>
      <c r="N7" s="361"/>
      <c r="O7" s="316"/>
      <c r="P7" s="316"/>
      <c r="Q7" s="316"/>
      <c r="R7" s="316"/>
      <c r="S7" s="316"/>
      <c r="T7" s="316"/>
      <c r="U7" s="316"/>
      <c r="V7" s="316"/>
      <c r="W7" s="515"/>
    </row>
    <row s="3345" customFormat="1" customHeight="1" ht="45">
      <c r="F8" s="1267"/>
      <c r="G8" s="1267"/>
      <c r="H8" s="1267"/>
      <c r="L8" s="1306"/>
      <c r="M8" s="283" t="s">
        <v>38</v>
      </c>
      <c r="N8" s="292"/>
      <c r="O8" s="2100" t="str">
        <f>IF(TITLE_NAME_OR_PR_CHANGE="",IF(TITLE_NAME_OR_PR="","",TITLE_NAME_OR_PR),TITLE_NAME_OR_PR_CHANGE)</f>
        <v>Комитет по тарифному регулированию Мурманской области</v>
      </c>
      <c r="P8" s="2100"/>
      <c r="Q8" s="2100"/>
      <c r="R8" s="2100"/>
      <c r="S8" s="2100"/>
      <c r="T8" s="2100"/>
      <c r="U8" s="2100"/>
      <c r="V8" s="322"/>
      <c r="W8" s="322"/>
      <c r="X8" s="268"/>
      <c r="Y8" s="368"/>
      <c r="Z8" s="368"/>
      <c r="AA8" s="368"/>
      <c r="AB8" s="368"/>
      <c r="AC8" s="368"/>
    </row>
    <row s="3345" customFormat="1" customHeight="1" ht="22.5">
      <c r="F9" s="1267"/>
      <c r="G9" s="1267"/>
      <c r="H9" s="1267"/>
      <c r="L9" s="1306"/>
      <c r="M9" s="283" t="s">
        <v>635</v>
      </c>
      <c r="N9" s="292"/>
      <c r="O9" s="2100" t="str">
        <f>IF(TITLE_DATE_CHANGE_PERIOD="",IF(TITLE_DATE_PR="","",TITLE_DATE_PR),TITLE_DATE_CHANGE_PERIOD)</f>
        <v>45175</v>
      </c>
      <c r="P9" s="2100"/>
      <c r="Q9" s="2100"/>
      <c r="R9" s="2100"/>
      <c r="S9" s="2100"/>
      <c r="T9" s="2100"/>
      <c r="U9" s="2100"/>
      <c r="V9" s="322"/>
      <c r="W9" s="322"/>
      <c r="X9" s="268"/>
      <c r="Y9" s="368"/>
      <c r="Z9" s="368"/>
      <c r="AA9" s="368"/>
      <c r="AB9" s="368"/>
      <c r="AC9" s="368"/>
    </row>
    <row s="3345" customFormat="1" customHeight="1" ht="22.5">
      <c r="F10" s="1267"/>
      <c r="G10" s="1267"/>
      <c r="H10" s="1267"/>
      <c r="L10" s="1269"/>
      <c r="M10" s="283" t="s">
        <v>636</v>
      </c>
      <c r="N10" s="292"/>
      <c r="O10" s="2100" t="str">
        <f>IF(TITLE_NUMBER_PR_CHANGE="",IF(TITLE_NUMBER_PR="","",TITLE_NUMBER_PR),TITLE_NUMBER_PR_CHANGE)</f>
        <v>36/2</v>
      </c>
      <c r="P10" s="2100"/>
      <c r="Q10" s="2100"/>
      <c r="R10" s="2100"/>
      <c r="S10" s="2100"/>
      <c r="T10" s="2100"/>
      <c r="U10" s="2100"/>
      <c r="V10" s="322"/>
      <c r="W10" s="322"/>
      <c r="X10" s="268"/>
      <c r="Y10" s="368"/>
      <c r="Z10" s="368"/>
      <c r="AA10" s="368"/>
      <c r="AB10" s="368"/>
      <c r="AC10" s="368"/>
    </row>
    <row s="3345" customFormat="1" customHeight="1" ht="22.5">
      <c r="F11" s="1267"/>
      <c r="G11" s="1267"/>
      <c r="H11" s="1267"/>
      <c r="L11" s="1269"/>
      <c r="M11" s="283" t="s">
        <v>40</v>
      </c>
      <c r="N11" s="292"/>
      <c r="O11" s="2100" t="str">
        <f>IF(TITLE_IST_PUB_CHANGE="",IF(TITLE_IST_PUB="","",TITLE_IST_PUB),TITLE_IST_PUB_CHANGE)</f>
        <v>https://npa.gov-murman.ru/bitrix/components/b1team/govmurman.element.file/download.php?ID=495002&amp;FID=732763</v>
      </c>
      <c r="P11" s="2100"/>
      <c r="Q11" s="2100"/>
      <c r="R11" s="2100"/>
      <c r="S11" s="2100"/>
      <c r="T11" s="2100"/>
      <c r="U11" s="2100"/>
      <c r="V11" s="322"/>
      <c r="W11" s="322"/>
      <c r="X11" s="268"/>
      <c r="Y11" s="368"/>
      <c r="Z11" s="368"/>
      <c r="AA11" s="368"/>
      <c r="AB11" s="368"/>
      <c r="AC11" s="368"/>
    </row>
    <row s="3345" customFormat="1" customHeight="1" ht="11.25" hidden="1">
      <c r="F12" s="1267"/>
      <c r="G12" s="1267"/>
      <c r="H12" s="1267"/>
      <c r="L12" s="2440"/>
      <c r="M12" s="2440"/>
      <c r="N12" s="1317"/>
      <c r="O12" s="322"/>
      <c r="P12" s="322"/>
      <c r="Q12" s="322"/>
      <c r="R12" s="322"/>
      <c r="S12" s="322"/>
      <c r="T12" s="322"/>
      <c r="U12" s="322"/>
      <c r="V12" s="266" t="s">
        <v>639</v>
      </c>
      <c r="Y12" s="368"/>
      <c r="Z12" s="368"/>
      <c r="AA12" s="368"/>
      <c r="AB12" s="368"/>
      <c r="AC12" s="368"/>
    </row>
    <row customHeight="1" ht="14.25">
      <c r="J13" s="377"/>
      <c r="K13" s="377"/>
      <c r="L13" s="1305"/>
      <c r="M13" s="361"/>
      <c r="N13" s="1262"/>
      <c r="O13" s="2124"/>
      <c r="P13" s="2124"/>
      <c r="Q13" s="2124"/>
      <c r="R13" s="2124"/>
      <c r="S13" s="2124"/>
      <c r="T13" s="2124"/>
      <c r="U13" s="2124"/>
      <c r="V13" s="2124"/>
    </row>
    <row customHeight="1" ht="14.25">
      <c r="J14" s="377"/>
      <c r="K14" s="377"/>
      <c r="L14" s="1971" t="s">
        <v>513</v>
      </c>
      <c r="M14" s="1971"/>
      <c r="N14" s="1971"/>
      <c r="O14" s="1971"/>
      <c r="P14" s="1971"/>
      <c r="Q14" s="1971"/>
      <c r="R14" s="1971"/>
      <c r="S14" s="1971"/>
      <c r="T14" s="1971"/>
      <c r="U14" s="1971"/>
      <c r="V14" s="1971"/>
      <c r="W14" s="1971"/>
      <c r="X14" s="1971" t="s">
        <v>514</v>
      </c>
    </row>
    <row customHeight="1" ht="14.25">
      <c r="J15" s="377"/>
      <c r="K15" s="377"/>
      <c r="L15" s="2125" t="s">
        <v>89</v>
      </c>
      <c r="M15" s="2062" t="s">
        <v>640</v>
      </c>
      <c r="N15" s="289"/>
      <c r="O15" s="2126" t="s">
        <v>2352</v>
      </c>
      <c r="P15" s="2127"/>
      <c r="Q15" s="2127"/>
      <c r="R15" s="2127"/>
      <c r="S15" s="2127"/>
      <c r="T15" s="2127"/>
      <c r="U15" s="2128"/>
      <c r="V15" s="2129" t="s">
        <v>642</v>
      </c>
      <c r="W15" s="2132" t="s">
        <v>1283</v>
      </c>
      <c r="X15" s="1971"/>
    </row>
    <row customHeight="1" ht="33.75">
      <c r="J16" s="377"/>
      <c r="K16" s="377"/>
      <c r="L16" s="2125"/>
      <c r="M16" s="2062"/>
      <c r="N16" s="1038"/>
      <c r="O16" s="2135" t="s">
        <v>645</v>
      </c>
      <c r="P16" s="2135" t="s">
        <v>646</v>
      </c>
      <c r="Q16" s="2118" t="s">
        <v>647</v>
      </c>
      <c r="R16" s="2120"/>
      <c r="S16" s="2118" t="s">
        <v>660</v>
      </c>
      <c r="T16" s="2119"/>
      <c r="U16" s="2120"/>
      <c r="V16" s="2130"/>
      <c r="W16" s="2133"/>
      <c r="X16" s="1971"/>
    </row>
    <row customHeight="1" ht="33.75">
      <c r="A17" s="1288" t="s">
        <v>215</v>
      </c>
      <c r="B17" s="1288" t="s">
        <v>216</v>
      </c>
      <c r="C17" s="1288" t="s">
        <v>217</v>
      </c>
      <c r="D17" s="1288" t="s">
        <v>218</v>
      </c>
      <c r="E17" s="1288"/>
      <c r="J17" s="377"/>
      <c r="K17" s="377"/>
      <c r="L17" s="2125"/>
      <c r="M17" s="2062"/>
      <c r="N17" s="290"/>
      <c r="O17" s="2136"/>
      <c r="P17" s="2136"/>
      <c r="Q17" s="1237" t="s">
        <v>656</v>
      </c>
      <c r="R17" s="1237" t="s">
        <v>657</v>
      </c>
      <c r="S17" s="1322" t="s">
        <v>658</v>
      </c>
      <c r="T17" s="2121" t="s">
        <v>659</v>
      </c>
      <c r="U17" s="2122"/>
      <c r="V17" s="2131"/>
      <c r="W17" s="2134"/>
      <c r="X17" s="1971"/>
    </row>
    <row s="2611" customFormat="1" customHeight="1" ht="11.25">
      <c r="A18" s="1288"/>
      <c r="B18" s="1288"/>
      <c r="C18" s="1288"/>
      <c r="D18" s="1288"/>
      <c r="E18" s="1288"/>
      <c r="F18" s="1316"/>
      <c r="G18" s="1316"/>
      <c r="H18" s="1316"/>
      <c r="I18" s="1264"/>
      <c r="J18" s="1265"/>
      <c r="K18" s="1280">
        <v>1</v>
      </c>
      <c r="L18" s="1307" t="s">
        <v>193</v>
      </c>
      <c r="M18" s="1281" t="s">
        <v>104</v>
      </c>
      <c r="N18" s="1263" t="str">
        <f>OFFSET(N18,0,-1)</f>
        <v>2</v>
      </c>
      <c r="O18" s="1319">
        <f>OFFSET(O18,0,-1)+1</f>
        <v>3</v>
      </c>
      <c r="P18" s="1319"/>
      <c r="Q18" s="1319">
        <f>OFFSET(Q18,0,-1)+1</f>
        <v>1</v>
      </c>
      <c r="R18" s="1319">
        <f>OFFSET(R18,0,-1)+1</f>
        <v>2</v>
      </c>
      <c r="S18" s="1319">
        <f>OFFSET(S18,0,-1)+1</f>
        <v>3</v>
      </c>
      <c r="T18" s="2123">
        <f>OFFSET(T18,0,-1)+1</f>
        <v>4</v>
      </c>
      <c r="U18" s="2123"/>
      <c r="V18" s="1319">
        <f>OFFSET(V18,0,-2)+1</f>
        <v>5</v>
      </c>
      <c r="W18" s="1263">
        <f>OFFSET(W18,0,-1)</f>
        <v>5</v>
      </c>
      <c r="X18" s="1319">
        <f>OFFSET(X18,0,-1)+1</f>
        <v>6</v>
      </c>
      <c r="Y18" s="517"/>
      <c r="Z18" s="517"/>
      <c r="AA18" s="517"/>
      <c r="AB18" s="517"/>
      <c r="AC18" s="517"/>
    </row>
    <row customHeight="1" ht="21">
      <c r="A19" s="1296" t="s">
        <v>2357</v>
      </c>
      <c r="B19" s="1296" t="s">
        <v>2358</v>
      </c>
      <c r="C19" s="1296" t="s">
        <v>2359</v>
      </c>
      <c r="D19" s="1296" t="s">
        <v>2360</v>
      </c>
      <c r="E19" s="1296"/>
      <c r="F19" s="694"/>
      <c r="G19" s="694"/>
      <c r="H19" s="694"/>
      <c r="I19" s="357"/>
      <c r="J19" s="356"/>
      <c r="K19" s="351"/>
      <c r="L19" s="1323">
        <f>INDEX(PT_DIFFERENTIATION_NUM_NTAR,MATCH(A19,PT_DIFFERENTIATION_NTAR_ID,0))</f>
      </c>
      <c r="M19" s="286" t="s">
        <v>204</v>
      </c>
      <c r="N19" s="288"/>
      <c r="O19" s="2434">
        <f>INDEX(PT_DIFFERENTIATION_NTAR,MATCH(A19,PT_DIFFERENTIATION_NTAR_ID,0))</f>
      </c>
      <c r="P19" s="2434"/>
      <c r="Q19" s="2434"/>
      <c r="R19" s="2434"/>
      <c r="S19" s="2434"/>
      <c r="T19" s="2434"/>
      <c r="U19" s="2434"/>
      <c r="V19" s="2434"/>
      <c r="W19" s="2434"/>
      <c r="X19" s="1286" t="s">
        <v>611</v>
      </c>
      <c r="Z19" s="506"/>
      <c r="AA19" s="506" t="str">
        <f>IF(M19="","",M19)</f>
        <v>Наименование тарифа</v>
      </c>
      <c r="AB19" s="506"/>
      <c r="AC19" s="506"/>
    </row>
    <row customHeight="1" ht="21">
      <c r="A20" s="1296" t="s">
        <v>2357</v>
      </c>
      <c r="B20" s="1296" t="s">
        <v>2358</v>
      </c>
      <c r="C20" s="1296" t="s">
        <v>2359</v>
      </c>
      <c r="D20" s="1296" t="s">
        <v>2360</v>
      </c>
      <c r="E20" s="1296"/>
      <c r="F20" s="694"/>
      <c r="G20" s="694"/>
      <c r="H20" s="694"/>
      <c r="I20" s="1320"/>
      <c r="J20" s="348"/>
      <c r="K20" s="349"/>
      <c r="L20" s="1323">
        <f>INDEX(PT_DIFFERENTIATION_NUM_TER,MATCH(B19,PT_DIFFERENTIATION_TER_ID,0))</f>
      </c>
      <c r="M20" s="298" t="s">
        <v>612</v>
      </c>
      <c r="N20" s="288"/>
      <c r="O20" s="2434">
        <f>INDEX(PT_DIFFERENTIATION_TER,MATCH(B19,PT_DIFFERENTIATION_TER_ID,0))</f>
      </c>
      <c r="P20" s="2434"/>
      <c r="Q20" s="2434"/>
      <c r="R20" s="2434"/>
      <c r="S20" s="2434"/>
      <c r="T20" s="2434"/>
      <c r="U20" s="2434"/>
      <c r="V20" s="2434"/>
      <c r="W20" s="2434"/>
      <c r="X20" s="1286" t="s">
        <v>613</v>
      </c>
      <c r="Z20" s="506"/>
      <c r="AA20" s="506" t="str">
        <f>IF(M20="","",M20)</f>
        <v>Территория действия тарифа</v>
      </c>
      <c r="AB20" s="506"/>
      <c r="AC20" s="506"/>
    </row>
    <row customHeight="1" ht="22.5">
      <c r="A21" s="1296" t="s">
        <v>2357</v>
      </c>
      <c r="B21" s="1296" t="s">
        <v>2358</v>
      </c>
      <c r="C21" s="1296" t="s">
        <v>2359</v>
      </c>
      <c r="D21" s="1296" t="s">
        <v>2360</v>
      </c>
      <c r="E21" s="1296"/>
      <c r="F21" s="694"/>
      <c r="G21" s="694"/>
      <c r="H21" s="694"/>
      <c r="I21" s="350"/>
      <c r="J21" s="348"/>
      <c r="K21" s="349"/>
      <c r="L21" s="1323">
        <f>INDEX(PT_DIFFERENTIATION_NUM_CS,MATCH(C19,PT_DIFFERENTIATION_CS_ID,0))</f>
      </c>
      <c r="M21" s="299" t="s">
        <v>614</v>
      </c>
      <c r="N21" s="288"/>
      <c r="O21" s="2434">
        <f>INDEX(PT_DIFFERENTIATION_CS,MATCH(C19,PT_DIFFERENTIATION_CS_ID,0))</f>
      </c>
      <c r="P21" s="2434"/>
      <c r="Q21" s="2434"/>
      <c r="R21" s="2434"/>
      <c r="S21" s="2434"/>
      <c r="T21" s="2434"/>
      <c r="U21" s="2434"/>
      <c r="V21" s="2434"/>
      <c r="W21" s="2434"/>
      <c r="X21" s="1286" t="s">
        <v>615</v>
      </c>
      <c r="Z21" s="506"/>
      <c r="AA21" s="506" t="str">
        <f>IF(M21="","",M21)</f>
        <v>Наименование системы теплоснабжения </v>
      </c>
      <c r="AB21" s="506"/>
      <c r="AC21" s="506"/>
    </row>
    <row customHeight="1" ht="21">
      <c r="A22" s="1296" t="s">
        <v>2357</v>
      </c>
      <c r="B22" s="1296" t="s">
        <v>2358</v>
      </c>
      <c r="C22" s="1296" t="s">
        <v>2359</v>
      </c>
      <c r="D22" s="1296" t="s">
        <v>2360</v>
      </c>
      <c r="E22" s="1296"/>
      <c r="F22" s="694"/>
      <c r="G22" s="694"/>
      <c r="H22" s="694"/>
      <c r="I22" s="350"/>
      <c r="J22" s="348"/>
      <c r="K22" s="349"/>
      <c r="L22" s="1323">
        <f>INDEX(PT_DIFFERENTIATION_NUM_IST_TE,MATCH(D19,PT_DIFFERENTIATION_IST_TE_ID,0))</f>
      </c>
      <c r="M22" s="300" t="s">
        <v>616</v>
      </c>
      <c r="N22" s="288"/>
      <c r="O22" s="2434">
        <f>INDEX(PT_DIFFERENTIATION_IST_TE,MATCH(D19,PT_DIFFERENTIATION_IST_TE_ID,0))</f>
      </c>
      <c r="P22" s="2434"/>
      <c r="Q22" s="2434"/>
      <c r="R22" s="2434"/>
      <c r="S22" s="2434"/>
      <c r="T22" s="2434"/>
      <c r="U22" s="2434"/>
      <c r="V22" s="2434"/>
      <c r="W22" s="2434"/>
      <c r="X22" s="1286" t="s">
        <v>617</v>
      </c>
      <c r="Z22" s="506"/>
      <c r="AA22" s="506" t="str">
        <f>IF(M22="","",M22)</f>
        <v>Источник тепловой энергии  </v>
      </c>
      <c r="AB22" s="506"/>
      <c r="AC22" s="506"/>
    </row>
    <row customHeight="1" ht="94.5">
      <c r="A23" s="1296" t="s">
        <v>2357</v>
      </c>
      <c r="B23" s="1296" t="s">
        <v>2358</v>
      </c>
      <c r="C23" s="1296" t="s">
        <v>2359</v>
      </c>
      <c r="D23" s="1296" t="s">
        <v>2360</v>
      </c>
      <c r="E23" s="1296"/>
      <c r="F23" s="1969">
        <f>L22&amp;".1"</f>
      </c>
      <c r="I23" s="2111">
        <v>1</v>
      </c>
      <c r="J23" s="1321"/>
      <c r="K23" s="352"/>
      <c r="L23" s="1323">
        <f>$F$23</f>
      </c>
      <c r="M23" s="273" t="s">
        <v>619</v>
      </c>
      <c r="N23" s="288"/>
      <c r="O23" s="2436"/>
      <c r="P23" s="2436"/>
      <c r="Q23" s="2436"/>
      <c r="R23" s="2436"/>
      <c r="S23" s="2436"/>
      <c r="T23" s="2436"/>
      <c r="U23" s="2436"/>
      <c r="V23" s="2436"/>
      <c r="W23" s="2436"/>
      <c r="X23" s="1286" t="s">
        <v>620</v>
      </c>
      <c r="Z23" s="506"/>
      <c r="AA23" s="506" t="str">
        <f>IF(M23="","",M23)</f>
        <v>Схема подключения теплопотребляющей установки к коллектору источника тепловой энергии</v>
      </c>
      <c r="AB23" s="506"/>
      <c r="AC23" s="506"/>
    </row>
    <row customHeight="1" ht="84">
      <c r="A24" s="1296" t="s">
        <v>2357</v>
      </c>
      <c r="B24" s="1296" t="s">
        <v>2358</v>
      </c>
      <c r="C24" s="1296" t="s">
        <v>2359</v>
      </c>
      <c r="D24" s="1296" t="s">
        <v>2360</v>
      </c>
      <c r="E24" s="1296"/>
      <c r="F24" s="1969"/>
      <c r="G24" s="1953">
        <f>F23&amp;".1"</f>
      </c>
      <c r="I24" s="2111"/>
      <c r="J24" s="2111">
        <v>1</v>
      </c>
      <c r="K24" s="353"/>
      <c r="L24" s="1323">
        <f>$G$24</f>
      </c>
      <c r="M24" s="274" t="s">
        <v>622</v>
      </c>
      <c r="N24" s="288"/>
      <c r="O24" s="2437"/>
      <c r="P24" s="2438"/>
      <c r="Q24" s="2438"/>
      <c r="R24" s="2438"/>
      <c r="S24" s="2438"/>
      <c r="T24" s="2438"/>
      <c r="U24" s="2438"/>
      <c r="V24" s="2438"/>
      <c r="W24" s="2439"/>
      <c r="X24" s="1286" t="s">
        <v>623</v>
      </c>
      <c r="Z24" s="506"/>
      <c r="AA24" s="506" t="str">
        <f>IF(M24="","",M24)</f>
        <v>Группа потребителей</v>
      </c>
      <c r="AB24" s="506"/>
      <c r="AC24" s="506"/>
    </row>
    <row customHeight="1" ht="11.25">
      <c r="A25" s="1296" t="s">
        <v>2357</v>
      </c>
      <c r="B25" s="1296" t="s">
        <v>2358</v>
      </c>
      <c r="C25" s="1296" t="s">
        <v>2359</v>
      </c>
      <c r="D25" s="1296" t="s">
        <v>2360</v>
      </c>
      <c r="E25" s="1296"/>
      <c r="F25" s="1969"/>
      <c r="G25" s="1953"/>
      <c r="H25" s="1953">
        <f>G24&amp;".1"</f>
      </c>
      <c r="I25" s="2111"/>
      <c r="J25" s="2111"/>
      <c r="K25" s="353">
        <v>1</v>
      </c>
      <c r="L25" s="1323">
        <f>$H$25</f>
      </c>
      <c r="M25" s="1287"/>
      <c r="N25" s="288"/>
      <c r="O25" s="757"/>
      <c r="P25" s="320"/>
      <c r="Q25" s="757"/>
      <c r="R25" s="1285"/>
      <c r="S25" s="2443"/>
      <c r="T25" s="1981" t="s">
        <v>63</v>
      </c>
      <c r="U25" s="2443"/>
      <c r="V25" s="1981" t="s">
        <v>58</v>
      </c>
      <c r="W25" s="320"/>
      <c r="X25" s="2137" t="s">
        <v>625</v>
      </c>
      <c r="Y25" s="517">
        <f>STRCHECKDATE(O26:W26)</f>
      </c>
      <c r="Z25" s="506"/>
      <c r="AA25" s="506" t="str">
        <f>IF(M25="","",M25)</f>
        <v/>
      </c>
      <c r="AB25" s="506"/>
      <c r="AC25" s="506"/>
    </row>
    <row customHeight="1" ht="11.25">
      <c r="A26" s="1296" t="s">
        <v>2357</v>
      </c>
      <c r="B26" s="1296" t="s">
        <v>2358</v>
      </c>
      <c r="C26" s="1296" t="s">
        <v>2359</v>
      </c>
      <c r="D26" s="1296" t="s">
        <v>2360</v>
      </c>
      <c r="E26" s="1296"/>
      <c r="F26" s="1969"/>
      <c r="G26" s="1953"/>
      <c r="H26" s="1953"/>
      <c r="I26" s="2111"/>
      <c r="J26" s="2111"/>
      <c r="K26" s="353"/>
      <c r="L26" s="1324"/>
      <c r="M26" s="288"/>
      <c r="N26" s="288"/>
      <c r="O26" s="320"/>
      <c r="P26" s="320"/>
      <c r="Q26" s="320"/>
      <c r="R26" s="324" t="str">
        <f>S25&amp;"-"&amp;U25</f>
        <v>-</v>
      </c>
      <c r="S26" s="2113"/>
      <c r="T26" s="1981"/>
      <c r="U26" s="2113"/>
      <c r="V26" s="1981"/>
      <c r="W26" s="320"/>
      <c r="X26" s="2138"/>
      <c r="Z26" s="506"/>
      <c r="AA26" s="506" t="str">
        <f>IF(M26="","",M26)</f>
        <v/>
      </c>
      <c r="AB26" s="506"/>
      <c r="AC26" s="506"/>
    </row>
    <row customHeight="1" ht="15">
      <c r="A27" s="1296" t="s">
        <v>2357</v>
      </c>
      <c r="B27" s="1296" t="s">
        <v>2358</v>
      </c>
      <c r="C27" s="1296" t="s">
        <v>2359</v>
      </c>
      <c r="D27" s="1296" t="s">
        <v>2360</v>
      </c>
      <c r="E27" s="1296"/>
      <c r="F27" s="1969"/>
      <c r="G27" s="1953"/>
      <c r="I27" s="2111"/>
      <c r="J27" s="2111"/>
      <c r="K27" s="352"/>
      <c r="L27" s="1308"/>
      <c r="M27" s="276" t="s">
        <v>626</v>
      </c>
      <c r="N27" s="367"/>
      <c r="O27" s="367"/>
      <c r="P27" s="367"/>
      <c r="Q27" s="367"/>
      <c r="R27" s="367"/>
      <c r="S27" s="367"/>
      <c r="T27" s="367"/>
      <c r="U27" s="367"/>
      <c r="V27" s="367"/>
      <c r="W27" s="319"/>
      <c r="X27" s="2139"/>
      <c r="Z27" s="506"/>
      <c r="AA27" s="506" t="str">
        <f>IF(M27="","",M27)</f>
        <v>Добавить вид теплоносителя (параметры теплоносителя)</v>
      </c>
      <c r="AB27" s="506"/>
      <c r="AC27" s="506"/>
    </row>
    <row customHeight="1" ht="15">
      <c r="A28" s="1296" t="s">
        <v>2357</v>
      </c>
      <c r="B28" s="1296" t="s">
        <v>2358</v>
      </c>
      <c r="C28" s="1296" t="s">
        <v>2359</v>
      </c>
      <c r="D28" s="1296" t="s">
        <v>2360</v>
      </c>
      <c r="E28" s="1296"/>
      <c r="F28" s="1969"/>
      <c r="I28" s="2111"/>
      <c r="J28" s="1321"/>
      <c r="K28" s="352"/>
      <c r="L28" s="1308"/>
      <c r="M28" s="275" t="s">
        <v>627</v>
      </c>
      <c r="N28" s="367"/>
      <c r="O28" s="367"/>
      <c r="P28" s="367"/>
      <c r="Q28" s="367"/>
      <c r="R28" s="367"/>
      <c r="S28" s="367"/>
      <c r="T28" s="367"/>
      <c r="U28" s="367"/>
      <c r="V28" s="366"/>
      <c r="W28" s="367"/>
      <c r="X28" s="291"/>
      <c r="Z28" s="506"/>
      <c r="AA28" s="506" t="str">
        <f>IF(M28="","",M28)</f>
        <v>Добавить группу потребителей</v>
      </c>
      <c r="AB28" s="506"/>
      <c r="AC28" s="506"/>
    </row>
    <row customHeight="1" ht="14.25">
      <c r="A29" s="1296" t="s">
        <v>2357</v>
      </c>
      <c r="B29" s="1296" t="s">
        <v>2358</v>
      </c>
      <c r="C29" s="1296" t="s">
        <v>2359</v>
      </c>
      <c r="D29" s="1296" t="s">
        <v>2360</v>
      </c>
      <c r="E29" s="1296"/>
      <c r="F29" s="694"/>
      <c r="G29" s="694"/>
      <c r="H29" s="515"/>
      <c r="I29" s="356"/>
      <c r="J29" s="376"/>
      <c r="K29" s="351"/>
      <c r="L29" s="1308"/>
      <c r="M29" s="364" t="s">
        <v>628</v>
      </c>
      <c r="N29" s="367"/>
      <c r="O29" s="367"/>
      <c r="P29" s="367"/>
      <c r="Q29" s="367"/>
      <c r="R29" s="367"/>
      <c r="S29" s="367"/>
      <c r="T29" s="367"/>
      <c r="U29" s="367"/>
      <c r="V29" s="366"/>
      <c r="W29" s="367"/>
      <c r="X29" s="291"/>
      <c r="Z29" s="506"/>
      <c r="AA29" s="506" t="str">
        <f>IF(M29="","",M29)</f>
        <v>Добавить схему подключения</v>
      </c>
      <c r="AB29" s="506"/>
      <c r="AC29" s="506"/>
    </row>
    <row customHeight="1" ht="14.25">
      <c r="A30" s="1296" t="s">
        <v>2357</v>
      </c>
      <c r="B30" s="1296" t="s">
        <v>2358</v>
      </c>
      <c r="C30" s="1296" t="s">
        <v>2359</v>
      </c>
      <c r="D30" s="1296"/>
      <c r="E30" s="1296" t="s">
        <v>793</v>
      </c>
      <c r="F30" s="694"/>
      <c r="G30" s="694"/>
      <c r="H30" s="515"/>
      <c r="I30" s="356"/>
      <c r="J30" s="376"/>
      <c r="K30" s="351"/>
      <c r="L30" s="1309"/>
      <c r="M30" s="1298"/>
      <c r="N30" s="1299"/>
      <c r="O30" s="1299"/>
      <c r="P30" s="1299"/>
      <c r="Q30" s="1299"/>
      <c r="R30" s="1299"/>
      <c r="S30" s="1299"/>
      <c r="T30" s="1299"/>
      <c r="U30" s="1299"/>
      <c r="V30" s="1300"/>
      <c r="W30" s="1299"/>
      <c r="X30" s="1301"/>
      <c r="Z30" s="506"/>
      <c r="AA30" s="506" t="str">
        <f>IF(M30="","",M30)</f>
        <v/>
      </c>
      <c r="AB30" s="506"/>
      <c r="AC30" s="506"/>
    </row>
    <row customHeight="1" ht="14.25">
      <c r="A31" s="1296" t="s">
        <v>2357</v>
      </c>
      <c r="B31" s="1296" t="s">
        <v>2358</v>
      </c>
      <c r="C31" s="1296"/>
      <c r="D31" s="1296"/>
      <c r="E31" s="1296" t="s">
        <v>2353</v>
      </c>
      <c r="F31" s="1283"/>
      <c r="G31" s="1283"/>
      <c r="H31" s="515"/>
      <c r="I31" s="354"/>
      <c r="J31" s="376"/>
      <c r="K31" s="355"/>
      <c r="L31" s="1309"/>
      <c r="M31" s="1302"/>
      <c r="N31" s="1299"/>
      <c r="O31" s="1299"/>
      <c r="P31" s="1299"/>
      <c r="Q31" s="1299"/>
      <c r="R31" s="1299"/>
      <c r="S31" s="1299"/>
      <c r="T31" s="1299"/>
      <c r="U31" s="1299"/>
      <c r="V31" s="1300"/>
      <c r="W31" s="1299"/>
      <c r="X31" s="1301"/>
      <c r="Z31" s="506"/>
      <c r="AA31" s="506" t="str">
        <f>IF(M31="","",M31)</f>
        <v/>
      </c>
      <c r="AB31" s="506"/>
      <c r="AC31" s="506"/>
    </row>
    <row customHeight="1" ht="14.25">
      <c r="A32" s="1296" t="s">
        <v>2361</v>
      </c>
      <c r="B32" s="1296"/>
      <c r="C32" s="1296"/>
      <c r="D32" s="1296"/>
      <c r="E32" s="1296" t="s">
        <v>188</v>
      </c>
      <c r="F32" s="1283"/>
      <c r="G32" s="1283"/>
      <c r="H32" s="515"/>
      <c r="I32" s="356"/>
      <c r="J32" s="376"/>
      <c r="K32" s="351"/>
      <c r="L32" s="1309"/>
      <c r="M32" s="1303"/>
      <c r="N32" s="1299"/>
      <c r="O32" s="1299"/>
      <c r="P32" s="1299"/>
      <c r="Q32" s="1299"/>
      <c r="R32" s="1299"/>
      <c r="S32" s="1299"/>
      <c r="T32" s="1299"/>
      <c r="U32" s="1299"/>
      <c r="V32" s="1300"/>
      <c r="W32" s="1299"/>
      <c r="X32" s="1301"/>
      <c r="Z32" s="506"/>
      <c r="AA32" s="506" t="str">
        <f>IF(M32="","",M32)</f>
        <v/>
      </c>
      <c r="AB32" s="506"/>
      <c r="AC32" s="506"/>
    </row>
    <row s="13084" customFormat="1" customHeight="1" ht="11.25">
      <c r="A33" s="1296"/>
      <c r="B33" s="1296"/>
      <c r="C33" s="1296"/>
      <c r="D33" s="1296"/>
      <c r="E33" s="1296" t="s">
        <v>398</v>
      </c>
      <c r="F33" s="1297"/>
      <c r="G33" s="1284"/>
      <c r="H33" s="515"/>
      <c r="L33" s="1310"/>
      <c r="M33" s="1304"/>
      <c r="N33" s="1299"/>
      <c r="O33" s="1299"/>
      <c r="P33" s="1299"/>
      <c r="Q33" s="1299"/>
      <c r="R33" s="1299"/>
      <c r="S33" s="1299"/>
      <c r="T33" s="1299"/>
      <c r="U33" s="1299"/>
      <c r="V33" s="1300"/>
      <c r="W33" s="1299"/>
      <c r="X33" s="1301"/>
      <c r="Y33" s="383"/>
      <c r="Z33" s="383"/>
      <c r="AA33" s="383"/>
      <c r="AB33" s="383"/>
      <c r="AC33" s="383"/>
    </row>
    <row customHeight="1" ht="11.25">
      <c r="F34" s="1163"/>
      <c r="G34" s="1163"/>
      <c r="H34" s="515"/>
      <c r="I34" s="1163"/>
      <c r="J34" s="1163"/>
      <c r="K34" s="1163"/>
      <c r="Y34" s="1163"/>
      <c r="Z34" s="1163"/>
      <c r="AA34" s="1163"/>
      <c r="AB34" s="1163"/>
      <c r="AC34" s="1163"/>
    </row>
    <row customHeight="1" ht="27">
      <c r="H35" s="515"/>
      <c r="L35" s="1318" t="s">
        <v>925</v>
      </c>
      <c r="M35" s="2106" t="s">
        <v>2355</v>
      </c>
      <c r="N35" s="2106"/>
      <c r="O35" s="2106"/>
      <c r="P35" s="2106"/>
      <c r="Q35" s="2106"/>
      <c r="R35" s="2106"/>
      <c r="S35" s="2106"/>
      <c r="T35" s="2106"/>
      <c r="U35" s="2106"/>
      <c r="V35" s="2106"/>
      <c r="W35" s="2106"/>
      <c r="X35" s="2106"/>
    </row>
    <row customHeight="1" ht="104.25">
      <c r="F36" s="1333"/>
      <c r="G36" s="1333"/>
      <c r="H36" s="515"/>
      <c r="I36" s="1333"/>
      <c r="M36" s="2106" t="s">
        <v>2356</v>
      </c>
      <c r="N36" s="2106"/>
      <c r="O36" s="2106"/>
      <c r="P36" s="2106"/>
      <c r="Q36" s="2106"/>
      <c r="R36" s="2106"/>
      <c r="S36" s="2106"/>
      <c r="T36" s="2106"/>
      <c r="U36" s="2106"/>
      <c r="V36" s="2106"/>
      <c r="W36" s="2106"/>
      <c r="X36" s="2106"/>
    </row>
    <row customHeight="1" ht="14.25">
      <c r="H37" s="515"/>
    </row>
    <row customHeight="1" ht="14.25">
      <c r="H38" s="515"/>
    </row>
    <row customHeight="1" ht="14.25">
      <c r="H39" s="515"/>
    </row>
    <row customHeight="1" ht="14.25">
      <c r="H40" s="515"/>
    </row>
  </sheetData>
  <sheetProtection formatColumns="0" formatRows="0" autoFilter="0" sort="0" insertRows="0" insertColumns="1" deleteRows="0" deleteColumns="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1F8504-D69B-FF4E-41BC-885CDA164BCB}" mc:Ignorable="x14ac xr xr2 xr3">
  <sheetPr>
    <tabColor rgb="FFCCCCFF"/>
  </sheetPr>
  <dimension ref="A1:BL49"/>
  <sheetViews>
    <sheetView topLeftCell="A1" showGridLines="0" zoomScale="90" workbookViewId="0">
      <selection activeCell="A1" sqref="A1"/>
    </sheetView>
  </sheetViews>
  <sheetFormatPr defaultColWidth="9.140625" customHeight="1" defaultRowHeight="11.25"/>
  <cols>
    <col min="1" max="2" style="2757" width="9.140625" hidden="1"/>
    <col min="3" max="4" style="2757" width="3.7109375" customWidth="1"/>
    <col min="5" max="6" style="2757" width="16.00390625" customWidth="1"/>
    <col min="7" max="7" style="2757" width="11.57421875" customWidth="1"/>
    <col min="8" max="9" style="2757" width="3.7109375" customWidth="1"/>
    <col min="10" max="10" style="2757" width="13.140625" customWidth="1"/>
    <col min="11" max="11" style="2757" width="0.28125" customWidth="1"/>
    <col min="12" max="13" style="2757" width="10.7109375" customWidth="1"/>
    <col min="14" max="15" style="2757" width="3.7109375" customWidth="1"/>
    <col min="16" max="16" style="2757" width="19.7109375" customWidth="1"/>
    <col min="17" max="17" style="2757" width="0.28125" customWidth="1"/>
    <col min="18" max="19" style="2757" width="10.7109375" customWidth="1"/>
    <col min="20" max="21" style="2757" width="3.7109375" customWidth="1"/>
    <col min="22" max="22" style="2757" width="25.7109375" customWidth="1"/>
    <col min="23" max="23" style="2757" width="0.28125" customWidth="1"/>
    <col min="24" max="25" style="2757" width="10.7109375" customWidth="1"/>
    <col min="26" max="27" style="2757" width="3.7109375" customWidth="1"/>
    <col min="28" max="28" style="2757" width="16.421875" customWidth="1"/>
    <col min="29" max="29" style="2757" width="0.28125" customWidth="1"/>
    <col min="30" max="31" style="2757" width="10.7109375" customWidth="1"/>
    <col min="32" max="33" style="2757" width="3.7109375" customWidth="1"/>
    <col min="34" max="34" style="2757" width="8.7109375" customWidth="1"/>
    <col min="35" max="35" style="2757" width="21.7109375" customWidth="1"/>
    <col min="36" max="36" style="2666" width="9.140625"/>
    <col min="37" max="37" style="2982" width="9.140625"/>
    <col min="38" max="64" style="2666" width="9.140625"/>
  </cols>
  <sheetData>
    <row s="2674" customFormat="1" customHeight="1" ht="11.25" hidden="1">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row>
    <row s="2978" customFormat="1" customHeight="1" ht="11.25" hidden="1">
      <c r="L2" s="1593" t="s">
        <v>492</v>
      </c>
      <c r="M2" s="1593" t="s">
        <v>493</v>
      </c>
      <c r="R2" s="1593" t="s">
        <v>494</v>
      </c>
      <c r="S2" s="1593" t="s">
        <v>493</v>
      </c>
      <c r="X2" s="1593" t="s">
        <v>492</v>
      </c>
      <c r="Y2" s="1593" t="s">
        <v>493</v>
      </c>
      <c r="AD2" s="1593" t="s">
        <v>492</v>
      </c>
      <c r="AE2" s="1593" t="s">
        <v>493</v>
      </c>
      <c r="AJ2" s="1615"/>
      <c r="AK2" s="1615"/>
      <c r="AL2" s="1615"/>
      <c r="AM2" s="1615"/>
      <c r="AN2" s="1615"/>
      <c r="AO2" s="1615"/>
      <c r="AP2" s="1615"/>
      <c r="AQ2" s="1615"/>
      <c r="AR2" s="1615"/>
      <c r="AS2" s="1615"/>
      <c r="AT2" s="1615"/>
      <c r="AU2" s="1615"/>
      <c r="AV2" s="1615"/>
      <c r="AW2" s="1615"/>
      <c r="AX2" s="1615"/>
      <c r="AY2" s="1615"/>
      <c r="AZ2" s="1615"/>
      <c r="BA2" s="1615"/>
      <c r="BB2" s="1615"/>
      <c r="BC2" s="1615"/>
      <c r="BD2" s="1615"/>
      <c r="BE2" s="1615"/>
      <c r="BF2" s="1615"/>
      <c r="BG2" s="1615"/>
      <c r="BH2" s="1615"/>
      <c r="BI2" s="1615"/>
      <c r="BJ2" s="1615"/>
      <c r="BK2" s="1615"/>
      <c r="BL2" s="1615"/>
    </row>
    <row s="2980" customFormat="1" customHeight="1" ht="11.25">
      <c r="AJ3" s="1614"/>
      <c r="AK3" s="295"/>
      <c r="AL3" s="1614"/>
      <c r="AM3" s="1614"/>
      <c r="AN3" s="1614"/>
      <c r="AO3" s="1614"/>
      <c r="AP3" s="1614"/>
      <c r="AQ3" s="1614"/>
      <c r="AR3" s="1614"/>
      <c r="AS3" s="1614"/>
      <c r="AT3" s="1614"/>
      <c r="AU3" s="1614"/>
      <c r="AV3" s="1614"/>
      <c r="AW3" s="1614"/>
      <c r="AX3" s="1614"/>
      <c r="AY3" s="1614"/>
      <c r="AZ3" s="1614"/>
      <c r="BA3" s="1614"/>
      <c r="BB3" s="1614"/>
      <c r="BC3" s="1614"/>
      <c r="BD3" s="1614"/>
      <c r="BE3" s="1614"/>
      <c r="BF3" s="1614"/>
      <c r="BG3" s="1614"/>
      <c r="BH3" s="1614"/>
      <c r="BI3" s="1614"/>
      <c r="BJ3" s="1614"/>
      <c r="BK3" s="1614"/>
      <c r="BL3" s="1614"/>
    </row>
    <row s="2657" customFormat="1" customHeight="1" ht="33">
      <c r="A4" s="1164"/>
      <c r="B4" s="1163"/>
      <c r="C4" s="1545"/>
      <c r="D4" s="2027" t="s">
        <v>495</v>
      </c>
      <c r="E4" s="2027"/>
      <c r="F4" s="2027"/>
      <c r="G4" s="2027"/>
      <c r="H4" s="2027"/>
      <c r="I4" s="2027"/>
      <c r="J4" s="2027"/>
      <c r="K4" s="705"/>
      <c r="T4" s="1595"/>
      <c r="AJ4" s="1616"/>
      <c r="AK4" s="1617"/>
      <c r="AL4" s="1616"/>
      <c r="AM4" s="1616"/>
      <c r="AN4" s="1616"/>
      <c r="AO4" s="1616"/>
      <c r="AP4" s="1616"/>
      <c r="AQ4" s="1616"/>
      <c r="AR4" s="1616"/>
      <c r="AS4" s="1616"/>
      <c r="AT4" s="1616"/>
      <c r="AU4" s="1616"/>
      <c r="AV4" s="1616"/>
      <c r="AW4" s="1616"/>
      <c r="AX4" s="1616"/>
      <c r="AY4" s="1616"/>
      <c r="AZ4" s="1616"/>
      <c r="BA4" s="1616"/>
      <c r="BB4" s="1616"/>
      <c r="BC4" s="1616"/>
      <c r="BD4" s="1616"/>
      <c r="BE4" s="1616"/>
      <c r="BF4" s="1616"/>
      <c r="BG4" s="1616"/>
      <c r="BH4" s="1616"/>
      <c r="BI4" s="1616"/>
      <c r="BJ4" s="1616"/>
      <c r="BK4" s="1616"/>
      <c r="BL4" s="1616"/>
    </row>
    <row s="2991" customFormat="1" customHeight="1" ht="14.25">
      <c r="A5" s="1672"/>
      <c r="B5" s="1671"/>
      <c r="C5" s="1545"/>
      <c r="D5" s="2053" t="str">
        <f>IF(org=0,"Не определено",org)</f>
        <v>АО "Мурманэнергосбыт"</v>
      </c>
      <c r="E5" s="2053"/>
      <c r="F5" s="2053"/>
      <c r="G5" s="2053"/>
      <c r="H5" s="2053"/>
      <c r="I5" s="2053"/>
      <c r="J5" s="2053"/>
      <c r="K5" s="705"/>
      <c r="T5" s="1595"/>
      <c r="AJ5" s="1616"/>
      <c r="AK5" s="1617"/>
      <c r="AL5" s="1616"/>
      <c r="AM5" s="1616"/>
      <c r="AN5" s="1616"/>
      <c r="AO5" s="1616"/>
      <c r="AP5" s="1616"/>
      <c r="AQ5" s="1616"/>
      <c r="AR5" s="1616"/>
      <c r="AS5" s="1616"/>
      <c r="AT5" s="1616"/>
      <c r="AU5" s="1616"/>
      <c r="AV5" s="1616"/>
      <c r="AW5" s="1616"/>
      <c r="AX5" s="1616"/>
      <c r="AY5" s="1616"/>
      <c r="AZ5" s="1616"/>
      <c r="BA5" s="1616"/>
      <c r="BB5" s="1616"/>
      <c r="BC5" s="1616"/>
      <c r="BD5" s="1616"/>
      <c r="BE5" s="1616"/>
      <c r="BF5" s="1616"/>
      <c r="BG5" s="1616"/>
      <c r="BH5" s="1616"/>
      <c r="BI5" s="1616"/>
      <c r="BJ5" s="1616"/>
      <c r="BK5" s="1616"/>
      <c r="BL5" s="1616"/>
    </row>
    <row s="2657" customFormat="1" customHeight="1" ht="14.25">
      <c r="A6" s="1164"/>
      <c r="B6" s="1163"/>
      <c r="C6" s="1545"/>
      <c r="D6" s="705"/>
      <c r="E6" s="705"/>
      <c r="F6" s="705"/>
      <c r="G6" s="705"/>
      <c r="H6" s="705"/>
      <c r="I6" s="705"/>
      <c r="J6" s="705"/>
      <c r="K6" s="705"/>
      <c r="T6" s="1595"/>
      <c r="AJ6" s="1616"/>
      <c r="AK6" s="1617"/>
      <c r="AL6" s="1616"/>
      <c r="AM6" s="1616"/>
      <c r="AN6" s="1616"/>
      <c r="AO6" s="1616"/>
      <c r="AP6" s="1616"/>
      <c r="AQ6" s="1616"/>
      <c r="AR6" s="1616"/>
      <c r="AS6" s="1616"/>
      <c r="AT6" s="1616"/>
      <c r="AU6" s="1616"/>
      <c r="AV6" s="1616"/>
      <c r="AW6" s="1616"/>
      <c r="AX6" s="1616"/>
      <c r="AY6" s="1616"/>
      <c r="AZ6" s="1616"/>
      <c r="BA6" s="1616"/>
      <c r="BB6" s="1616"/>
      <c r="BC6" s="1616"/>
      <c r="BD6" s="1616"/>
      <c r="BE6" s="1616"/>
      <c r="BF6" s="1616"/>
      <c r="BG6" s="1616"/>
      <c r="BH6" s="1616"/>
      <c r="BI6" s="1616"/>
      <c r="BJ6" s="1616"/>
      <c r="BK6" s="1616"/>
      <c r="BL6" s="1616"/>
    </row>
    <row s="2674" customFormat="1" customHeight="1" ht="0.75">
      <c r="AJ7" s="428"/>
      <c r="AK7" s="428"/>
      <c r="AL7" s="428"/>
      <c r="AM7" s="428"/>
      <c r="AN7" s="428"/>
      <c r="AO7" s="428"/>
      <c r="AP7" s="428"/>
      <c r="AQ7" s="428"/>
      <c r="AR7" s="428"/>
      <c r="AS7" s="428"/>
      <c r="AT7" s="428"/>
      <c r="AU7" s="428"/>
      <c r="AV7" s="428"/>
      <c r="AW7" s="428"/>
      <c r="AX7" s="428"/>
      <c r="AY7" s="428"/>
      <c r="AZ7" s="428"/>
      <c r="BA7" s="428"/>
      <c r="BB7" s="428"/>
      <c r="BC7" s="428"/>
      <c r="BD7" s="428"/>
      <c r="BE7" s="428"/>
      <c r="BF7" s="428"/>
      <c r="BG7" s="428"/>
      <c r="BH7" s="428"/>
      <c r="BI7" s="428"/>
      <c r="BJ7" s="428"/>
      <c r="BK7" s="428"/>
      <c r="BL7" s="428"/>
    </row>
    <row customHeight="1" ht="31.5">
      <c r="D8" s="1971" t="s">
        <v>89</v>
      </c>
      <c r="E8" s="1971" t="s">
        <v>189</v>
      </c>
      <c r="F8" s="2029" t="s">
        <v>203</v>
      </c>
      <c r="G8" s="2030"/>
      <c r="H8" s="2029" t="s">
        <v>89</v>
      </c>
      <c r="I8" s="2030"/>
      <c r="J8" s="1971" t="s">
        <v>204</v>
      </c>
      <c r="K8" s="1596"/>
      <c r="L8" s="2033" t="s">
        <v>496</v>
      </c>
      <c r="M8" s="2033"/>
      <c r="N8" s="2033"/>
      <c r="O8" s="2033"/>
      <c r="P8" s="2033"/>
      <c r="Q8" s="1597"/>
      <c r="R8" s="1950" t="s">
        <v>497</v>
      </c>
      <c r="S8" s="2034"/>
      <c r="T8" s="2034"/>
      <c r="U8" s="2034"/>
      <c r="V8" s="2034"/>
      <c r="W8" s="1597"/>
      <c r="X8" s="2035" t="s">
        <v>498</v>
      </c>
      <c r="Y8" s="2035"/>
      <c r="Z8" s="2035"/>
      <c r="AA8" s="2035"/>
      <c r="AB8" s="2035"/>
      <c r="AC8" s="1598"/>
      <c r="AD8" s="1971" t="s">
        <v>499</v>
      </c>
      <c r="AE8" s="1971"/>
      <c r="AF8" s="1971"/>
      <c r="AG8" s="1971"/>
      <c r="AH8" s="1955"/>
      <c r="AI8" s="1971" t="s">
        <v>500</v>
      </c>
      <c r="AJ8" s="1614"/>
    </row>
    <row customHeight="1" ht="22.5">
      <c r="D9" s="1971"/>
      <c r="E9" s="1971"/>
      <c r="F9" s="2028" t="s">
        <v>90</v>
      </c>
      <c r="G9" s="2028" t="s">
        <v>209</v>
      </c>
      <c r="H9" s="2031"/>
      <c r="I9" s="2032"/>
      <c r="J9" s="1955"/>
      <c r="K9" s="1599"/>
      <c r="L9" s="1971" t="s">
        <v>501</v>
      </c>
      <c r="M9" s="1955"/>
      <c r="N9" s="2029" t="s">
        <v>89</v>
      </c>
      <c r="O9" s="2030"/>
      <c r="P9" s="1971" t="s">
        <v>210</v>
      </c>
      <c r="Q9" s="1596"/>
      <c r="R9" s="1971" t="s">
        <v>501</v>
      </c>
      <c r="S9" s="1955"/>
      <c r="T9" s="2029" t="s">
        <v>89</v>
      </c>
      <c r="U9" s="2030"/>
      <c r="V9" s="1971" t="s">
        <v>210</v>
      </c>
      <c r="W9" s="1596"/>
      <c r="X9" s="1971" t="s">
        <v>501</v>
      </c>
      <c r="Y9" s="1955"/>
      <c r="Z9" s="2029" t="s">
        <v>89</v>
      </c>
      <c r="AA9" s="2030"/>
      <c r="AB9" s="1971" t="s">
        <v>502</v>
      </c>
      <c r="AC9" s="1596"/>
      <c r="AD9" s="1971" t="s">
        <v>501</v>
      </c>
      <c r="AE9" s="1955"/>
      <c r="AF9" s="2029" t="s">
        <v>89</v>
      </c>
      <c r="AG9" s="2030"/>
      <c r="AH9" s="1955" t="s">
        <v>502</v>
      </c>
      <c r="AI9" s="1971"/>
      <c r="AJ9" s="1614"/>
    </row>
    <row customHeight="1" ht="22.5">
      <c r="D10" s="2028"/>
      <c r="E10" s="2028"/>
      <c r="F10" s="2036"/>
      <c r="G10" s="2036"/>
      <c r="H10" s="2037"/>
      <c r="I10" s="2038"/>
      <c r="J10" s="2029"/>
      <c r="K10" s="1599"/>
      <c r="L10" s="1618" t="s">
        <v>503</v>
      </c>
      <c r="M10" s="1613" t="s">
        <v>504</v>
      </c>
      <c r="N10" s="2031"/>
      <c r="O10" s="2032"/>
      <c r="P10" s="2028"/>
      <c r="Q10" s="1596"/>
      <c r="R10" s="1618" t="s">
        <v>503</v>
      </c>
      <c r="S10" s="1613" t="s">
        <v>504</v>
      </c>
      <c r="T10" s="2031"/>
      <c r="U10" s="2032"/>
      <c r="V10" s="2028"/>
      <c r="W10" s="1596"/>
      <c r="X10" s="1618" t="s">
        <v>503</v>
      </c>
      <c r="Y10" s="1613" t="s">
        <v>504</v>
      </c>
      <c r="Z10" s="2031"/>
      <c r="AA10" s="2032"/>
      <c r="AB10" s="2028"/>
      <c r="AC10" s="1596"/>
      <c r="AD10" s="1618" t="s">
        <v>503</v>
      </c>
      <c r="AE10" s="1613" t="s">
        <v>504</v>
      </c>
      <c r="AF10" s="2031"/>
      <c r="AG10" s="2032"/>
      <c r="AH10" s="2029"/>
      <c r="AI10" s="2028"/>
      <c r="AJ10" s="1614"/>
      <c r="AK10" s="240" t="s">
        <v>505</v>
      </c>
      <c r="AL10" s="240" t="s">
        <v>211</v>
      </c>
    </row>
    <row customHeight="1" ht="14.25">
      <c r="D11" s="2039" t="s">
        <v>193</v>
      </c>
      <c r="E11" s="2041" t="s">
        <v>506</v>
      </c>
      <c r="F11" s="2041" t="s">
        <v>507</v>
      </c>
      <c r="G11" s="2044" t="s">
        <v>58</v>
      </c>
      <c r="H11" s="1639"/>
      <c r="I11" s="2046"/>
      <c r="J11" s="2002"/>
      <c r="K11" s="1544"/>
      <c r="L11" s="1989"/>
      <c r="M11" s="1989"/>
      <c r="N11" s="1624"/>
      <c r="O11" s="1989"/>
      <c r="P11" s="2002"/>
      <c r="Q11" s="1625"/>
      <c r="R11" s="1989"/>
      <c r="S11" s="1989"/>
      <c r="T11" s="1626"/>
      <c r="U11" s="1989"/>
      <c r="V11" s="2002"/>
      <c r="W11" s="1627"/>
      <c r="X11" s="1989"/>
      <c r="Y11" s="1989"/>
      <c r="Z11" s="1624"/>
      <c r="AA11" s="1989"/>
      <c r="AB11" s="2002"/>
      <c r="AC11" s="1628"/>
      <c r="AD11" s="1989"/>
      <c r="AE11" s="1989"/>
      <c r="AF11" s="1543"/>
      <c r="AG11" s="1543"/>
      <c r="AH11" s="1629"/>
      <c r="AI11" s="1326"/>
      <c r="AJ11" s="1614"/>
    </row>
    <row customHeight="1" ht="14.25">
      <c r="D12" s="2039"/>
      <c r="E12" s="2041"/>
      <c r="F12" s="2041"/>
      <c r="G12" s="2045"/>
      <c r="H12" s="1640"/>
      <c r="I12" s="2047"/>
      <c r="J12" s="2003"/>
      <c r="K12" s="1650"/>
      <c r="L12" s="1990"/>
      <c r="M12" s="1990"/>
      <c r="N12" s="1630"/>
      <c r="O12" s="1990"/>
      <c r="P12" s="2003"/>
      <c r="Q12" s="1631"/>
      <c r="R12" s="1990"/>
      <c r="S12" s="1990"/>
      <c r="T12" s="1632"/>
      <c r="U12" s="1990"/>
      <c r="V12" s="2003"/>
      <c r="W12" s="1633"/>
      <c r="X12" s="1990"/>
      <c r="Y12" s="1990"/>
      <c r="Z12" s="1630"/>
      <c r="AA12" s="1990"/>
      <c r="AB12" s="2003"/>
      <c r="AC12" s="1634"/>
      <c r="AD12" s="1990"/>
      <c r="AE12" s="1990"/>
      <c r="AF12" s="1635"/>
      <c r="AG12" s="1635"/>
      <c r="AH12" s="2050"/>
      <c r="AI12" s="2051"/>
      <c r="AJ12" s="1614"/>
    </row>
    <row customHeight="1" ht="14.25">
      <c r="D13" s="2039"/>
      <c r="E13" s="2041"/>
      <c r="F13" s="2041"/>
      <c r="G13" s="2045"/>
      <c r="H13" s="1640"/>
      <c r="I13" s="2047"/>
      <c r="J13" s="2003"/>
      <c r="K13" s="1650"/>
      <c r="L13" s="1990"/>
      <c r="M13" s="1990"/>
      <c r="N13" s="1630"/>
      <c r="O13" s="1990"/>
      <c r="P13" s="2003"/>
      <c r="Q13" s="1631"/>
      <c r="R13" s="1990"/>
      <c r="S13" s="1990"/>
      <c r="T13" s="1632"/>
      <c r="U13" s="1990"/>
      <c r="V13" s="2003"/>
      <c r="W13" s="1633"/>
      <c r="X13" s="1990"/>
      <c r="Y13" s="1990"/>
      <c r="Z13" s="1542"/>
      <c r="AA13" s="1635"/>
      <c r="AB13" s="2050"/>
      <c r="AC13" s="2050"/>
      <c r="AD13" s="2050"/>
      <c r="AE13" s="2050"/>
      <c r="AF13" s="2050"/>
      <c r="AG13" s="2050"/>
      <c r="AH13" s="2050"/>
      <c r="AI13" s="2051"/>
      <c r="AJ13" s="1614"/>
    </row>
    <row customHeight="1" ht="14.25">
      <c r="D14" s="2039"/>
      <c r="E14" s="2041"/>
      <c r="F14" s="2041"/>
      <c r="G14" s="2045"/>
      <c r="H14" s="1640"/>
      <c r="I14" s="2047"/>
      <c r="J14" s="2003"/>
      <c r="K14" s="1650"/>
      <c r="L14" s="1990"/>
      <c r="M14" s="1990"/>
      <c r="N14" s="1630"/>
      <c r="O14" s="1990"/>
      <c r="P14" s="2003"/>
      <c r="Q14" s="1631"/>
      <c r="R14" s="1990"/>
      <c r="S14" s="1990"/>
      <c r="T14" s="1636"/>
      <c r="U14" s="1637"/>
      <c r="V14" s="2050"/>
      <c r="W14" s="2050"/>
      <c r="X14" s="2050"/>
      <c r="Y14" s="2050"/>
      <c r="Z14" s="2050"/>
      <c r="AA14" s="2050"/>
      <c r="AB14" s="2050"/>
      <c r="AC14" s="2050"/>
      <c r="AD14" s="2050"/>
      <c r="AE14" s="2050"/>
      <c r="AF14" s="2050"/>
      <c r="AG14" s="2050"/>
      <c r="AH14" s="2050"/>
      <c r="AI14" s="2051"/>
      <c r="AJ14" s="1614"/>
    </row>
    <row customHeight="1" ht="11.25">
      <c r="D15" s="2039"/>
      <c r="E15" s="2041"/>
      <c r="F15" s="2041"/>
      <c r="G15" s="2045"/>
      <c r="H15" s="1641"/>
      <c r="I15" s="2047"/>
      <c r="J15" s="2003"/>
      <c r="K15" s="1650"/>
      <c r="L15" s="1990"/>
      <c r="M15" s="1990"/>
      <c r="N15" s="1635"/>
      <c r="O15" s="1635"/>
      <c r="P15" s="2050"/>
      <c r="Q15" s="2050"/>
      <c r="R15" s="2050"/>
      <c r="S15" s="2050"/>
      <c r="T15" s="2050"/>
      <c r="U15" s="2050"/>
      <c r="V15" s="2050"/>
      <c r="W15" s="2050"/>
      <c r="X15" s="2050"/>
      <c r="Y15" s="2050"/>
      <c r="Z15" s="2050"/>
      <c r="AA15" s="2050"/>
      <c r="AB15" s="2050"/>
      <c r="AC15" s="2050"/>
      <c r="AD15" s="2050"/>
      <c r="AE15" s="2050"/>
      <c r="AF15" s="2050"/>
      <c r="AG15" s="2050"/>
      <c r="AH15" s="2050"/>
      <c r="AI15" s="2051"/>
      <c r="AJ15" s="1614"/>
    </row>
    <row s="2980" customFormat="1" customHeight="1" ht="11.25">
      <c r="D16" s="2040"/>
      <c r="E16" s="2042"/>
      <c r="F16" s="2043"/>
      <c r="G16" s="1986"/>
      <c r="H16" s="1638"/>
      <c r="I16" s="1642"/>
      <c r="J16" s="2048"/>
      <c r="K16" s="2048"/>
      <c r="L16" s="2048"/>
      <c r="M16" s="2048"/>
      <c r="N16" s="2048"/>
      <c r="O16" s="2048"/>
      <c r="P16" s="2048"/>
      <c r="Q16" s="2048"/>
      <c r="R16" s="2048"/>
      <c r="S16" s="2048"/>
      <c r="T16" s="2048"/>
      <c r="U16" s="2048"/>
      <c r="V16" s="2048"/>
      <c r="W16" s="2048"/>
      <c r="X16" s="2048"/>
      <c r="Y16" s="2048"/>
      <c r="Z16" s="2048"/>
      <c r="AA16" s="2048"/>
      <c r="AB16" s="2048"/>
      <c r="AC16" s="2048"/>
      <c r="AD16" s="2048"/>
      <c r="AE16" s="2048"/>
      <c r="AF16" s="2048"/>
      <c r="AG16" s="2048"/>
      <c r="AH16" s="2048"/>
      <c r="AI16" s="2049"/>
      <c r="AJ16" s="1614"/>
      <c r="AK16" s="295"/>
      <c r="AL16" s="1614"/>
      <c r="AM16" s="1614"/>
      <c r="AN16" s="1614"/>
      <c r="AO16" s="1614"/>
      <c r="AP16" s="1614"/>
      <c r="AQ16" s="1614"/>
      <c r="AR16" s="1614"/>
      <c r="AS16" s="1614"/>
      <c r="AT16" s="1614"/>
      <c r="AU16" s="1614"/>
      <c r="AV16" s="1614"/>
      <c r="AW16" s="1614"/>
      <c r="AX16" s="1614"/>
      <c r="AY16" s="1614"/>
      <c r="AZ16" s="1614"/>
      <c r="BA16" s="1614"/>
      <c r="BB16" s="1614"/>
      <c r="BC16" s="1614"/>
      <c r="BD16" s="1614"/>
      <c r="BE16" s="1614"/>
      <c r="BF16" s="1614"/>
      <c r="BG16" s="1614"/>
      <c r="BH16" s="1614"/>
      <c r="BI16" s="1614"/>
      <c r="BJ16" s="1614"/>
      <c r="BK16" s="1614"/>
      <c r="BL16" s="1614"/>
    </row>
    <row customHeight="1" ht="14.25">
      <c r="D17" s="2039" t="s">
        <v>104</v>
      </c>
      <c r="E17" s="2041" t="s">
        <v>506</v>
      </c>
      <c r="F17" s="2041" t="s">
        <v>508</v>
      </c>
      <c r="G17" s="2044" t="s">
        <v>58</v>
      </c>
      <c r="H17" s="1639"/>
      <c r="I17" s="2046"/>
      <c r="J17" s="2002"/>
      <c r="K17" s="1544"/>
      <c r="L17" s="1989"/>
      <c r="M17" s="1989"/>
      <c r="N17" s="1624"/>
      <c r="O17" s="1989"/>
      <c r="P17" s="2002"/>
      <c r="Q17" s="1625"/>
      <c r="R17" s="1989"/>
      <c r="S17" s="1989"/>
      <c r="T17" s="1626"/>
      <c r="U17" s="1989"/>
      <c r="V17" s="2002"/>
      <c r="W17" s="1627"/>
      <c r="X17" s="1989"/>
      <c r="Y17" s="1989"/>
      <c r="Z17" s="1624"/>
      <c r="AA17" s="1989"/>
      <c r="AB17" s="2002"/>
      <c r="AC17" s="1628"/>
      <c r="AD17" s="1989"/>
      <c r="AE17" s="1989"/>
      <c r="AF17" s="1543"/>
      <c r="AG17" s="1543"/>
      <c r="AH17" s="1629"/>
      <c r="AI17" s="1326"/>
      <c r="AJ17" s="1614"/>
    </row>
    <row customHeight="1" ht="14.25">
      <c r="D18" s="2039"/>
      <c r="E18" s="2041"/>
      <c r="F18" s="2041"/>
      <c r="G18" s="2045"/>
      <c r="H18" s="1640"/>
      <c r="I18" s="2047"/>
      <c r="J18" s="2003"/>
      <c r="K18" s="1623"/>
      <c r="L18" s="1990"/>
      <c r="M18" s="1990"/>
      <c r="N18" s="1630"/>
      <c r="O18" s="1990"/>
      <c r="P18" s="2003"/>
      <c r="Q18" s="1631"/>
      <c r="R18" s="1990"/>
      <c r="S18" s="1990"/>
      <c r="T18" s="1632"/>
      <c r="U18" s="1990"/>
      <c r="V18" s="2003"/>
      <c r="W18" s="1633"/>
      <c r="X18" s="1990"/>
      <c r="Y18" s="1990"/>
      <c r="Z18" s="1630"/>
      <c r="AA18" s="1990"/>
      <c r="AB18" s="2003"/>
      <c r="AC18" s="1634"/>
      <c r="AD18" s="1990"/>
      <c r="AE18" s="1990"/>
      <c r="AF18" s="1635"/>
      <c r="AG18" s="1635"/>
      <c r="AH18" s="2050"/>
      <c r="AI18" s="2051"/>
      <c r="AJ18" s="1614"/>
    </row>
    <row customHeight="1" ht="14.25">
      <c r="D19" s="2039"/>
      <c r="E19" s="2041"/>
      <c r="F19" s="2041"/>
      <c r="G19" s="2045"/>
      <c r="H19" s="1640"/>
      <c r="I19" s="2047"/>
      <c r="J19" s="2003"/>
      <c r="K19" s="1623"/>
      <c r="L19" s="1990"/>
      <c r="M19" s="1990"/>
      <c r="N19" s="1630"/>
      <c r="O19" s="1990"/>
      <c r="P19" s="2003"/>
      <c r="Q19" s="1631"/>
      <c r="R19" s="1990"/>
      <c r="S19" s="1990"/>
      <c r="T19" s="1632"/>
      <c r="U19" s="1990"/>
      <c r="V19" s="2003"/>
      <c r="W19" s="1633"/>
      <c r="X19" s="1990"/>
      <c r="Y19" s="1990"/>
      <c r="Z19" s="1542"/>
      <c r="AA19" s="1635"/>
      <c r="AB19" s="2050"/>
      <c r="AC19" s="2050"/>
      <c r="AD19" s="2050"/>
      <c r="AE19" s="2050"/>
      <c r="AF19" s="2050"/>
      <c r="AG19" s="2050"/>
      <c r="AH19" s="2050"/>
      <c r="AI19" s="2051"/>
      <c r="AJ19" s="1614"/>
    </row>
    <row customHeight="1" ht="14.25">
      <c r="D20" s="2039"/>
      <c r="E20" s="2041"/>
      <c r="F20" s="2041"/>
      <c r="G20" s="2045"/>
      <c r="H20" s="1640"/>
      <c r="I20" s="2047"/>
      <c r="J20" s="2003"/>
      <c r="K20" s="1623"/>
      <c r="L20" s="1990"/>
      <c r="M20" s="1990"/>
      <c r="N20" s="1630"/>
      <c r="O20" s="1990"/>
      <c r="P20" s="2003"/>
      <c r="Q20" s="1631"/>
      <c r="R20" s="1990"/>
      <c r="S20" s="1990"/>
      <c r="T20" s="1636"/>
      <c r="U20" s="1637"/>
      <c r="V20" s="2050"/>
      <c r="W20" s="2050"/>
      <c r="X20" s="2050"/>
      <c r="Y20" s="2050"/>
      <c r="Z20" s="2050"/>
      <c r="AA20" s="2050"/>
      <c r="AB20" s="2050"/>
      <c r="AC20" s="2050"/>
      <c r="AD20" s="2050"/>
      <c r="AE20" s="2050"/>
      <c r="AF20" s="2050"/>
      <c r="AG20" s="2050"/>
      <c r="AH20" s="2050"/>
      <c r="AI20" s="2051"/>
      <c r="AJ20" s="1614"/>
    </row>
    <row customHeight="1" ht="11.25">
      <c r="D21" s="2039"/>
      <c r="E21" s="2041"/>
      <c r="F21" s="2041"/>
      <c r="G21" s="2045"/>
      <c r="H21" s="1641"/>
      <c r="I21" s="2047"/>
      <c r="J21" s="2003"/>
      <c r="K21" s="1623"/>
      <c r="L21" s="1990"/>
      <c r="M21" s="1990"/>
      <c r="N21" s="1635"/>
      <c r="O21" s="1635"/>
      <c r="P21" s="2050"/>
      <c r="Q21" s="2050"/>
      <c r="R21" s="2050"/>
      <c r="S21" s="2050"/>
      <c r="T21" s="2050"/>
      <c r="U21" s="2050"/>
      <c r="V21" s="2050"/>
      <c r="W21" s="2050"/>
      <c r="X21" s="2050"/>
      <c r="Y21" s="2050"/>
      <c r="Z21" s="2050"/>
      <c r="AA21" s="2050"/>
      <c r="AB21" s="2050"/>
      <c r="AC21" s="2050"/>
      <c r="AD21" s="2050"/>
      <c r="AE21" s="2050"/>
      <c r="AF21" s="2050"/>
      <c r="AG21" s="2050"/>
      <c r="AH21" s="2050"/>
      <c r="AI21" s="2051"/>
      <c r="AJ21" s="1614"/>
    </row>
    <row s="2980" customFormat="1" customHeight="1" ht="11.25">
      <c r="D22" s="2040"/>
      <c r="E22" s="2042"/>
      <c r="F22" s="2043"/>
      <c r="G22" s="1986"/>
      <c r="H22" s="1638"/>
      <c r="I22" s="1642"/>
      <c r="J22" s="2048"/>
      <c r="K22" s="2048"/>
      <c r="L22" s="2048"/>
      <c r="M22" s="2048"/>
      <c r="N22" s="2048"/>
      <c r="O22" s="2048"/>
      <c r="P22" s="2048"/>
      <c r="Q22" s="2048"/>
      <c r="R22" s="2048"/>
      <c r="S22" s="2048"/>
      <c r="T22" s="2048"/>
      <c r="U22" s="2048"/>
      <c r="V22" s="2048"/>
      <c r="W22" s="2048"/>
      <c r="X22" s="2048"/>
      <c r="Y22" s="2048"/>
      <c r="Z22" s="2048"/>
      <c r="AA22" s="2048"/>
      <c r="AB22" s="2048"/>
      <c r="AC22" s="2048"/>
      <c r="AD22" s="2048"/>
      <c r="AE22" s="2048"/>
      <c r="AF22" s="2048"/>
      <c r="AG22" s="2048"/>
      <c r="AH22" s="2048"/>
      <c r="AI22" s="2049"/>
      <c r="AJ22" s="1614"/>
      <c r="AK22" s="295"/>
      <c r="AL22" s="1614"/>
      <c r="AM22" s="1614"/>
      <c r="AN22" s="1614"/>
      <c r="AO22" s="1614"/>
      <c r="AP22" s="1614"/>
      <c r="AQ22" s="1614"/>
      <c r="AR22" s="1614"/>
      <c r="AS22" s="1614"/>
      <c r="AT22" s="1614"/>
      <c r="AU22" s="1614"/>
      <c r="AV22" s="1614"/>
      <c r="AW22" s="1614"/>
      <c r="AX22" s="1614"/>
      <c r="AY22" s="1614"/>
      <c r="AZ22" s="1614"/>
      <c r="BA22" s="1614"/>
      <c r="BB22" s="1614"/>
      <c r="BC22" s="1614"/>
      <c r="BD22" s="1614"/>
      <c r="BE22" s="1614"/>
      <c r="BF22" s="1614"/>
      <c r="BG22" s="1614"/>
      <c r="BH22" s="1614"/>
      <c r="BI22" s="1614"/>
      <c r="BJ22" s="1614"/>
      <c r="BK22" s="1614"/>
      <c r="BL22" s="1614"/>
    </row>
    <row customHeight="1" ht="14.25">
      <c r="D23" s="2039" t="s">
        <v>91</v>
      </c>
      <c r="E23" s="2041" t="s">
        <v>506</v>
      </c>
      <c r="F23" s="2041" t="s">
        <v>509</v>
      </c>
      <c r="G23" s="2044" t="s">
        <v>58</v>
      </c>
      <c r="H23" s="1639"/>
      <c r="I23" s="2046"/>
      <c r="J23" s="2002"/>
      <c r="K23" s="1544"/>
      <c r="L23" s="1989"/>
      <c r="M23" s="1989"/>
      <c r="N23" s="1624"/>
      <c r="O23" s="1989"/>
      <c r="P23" s="2002"/>
      <c r="Q23" s="1625"/>
      <c r="R23" s="1989"/>
      <c r="S23" s="1989"/>
      <c r="T23" s="1626"/>
      <c r="U23" s="1989"/>
      <c r="V23" s="2002"/>
      <c r="W23" s="1627"/>
      <c r="X23" s="1989"/>
      <c r="Y23" s="1989"/>
      <c r="Z23" s="1624"/>
      <c r="AA23" s="1989"/>
      <c r="AB23" s="2002"/>
      <c r="AC23" s="1628"/>
      <c r="AD23" s="1989"/>
      <c r="AE23" s="1989"/>
      <c r="AF23" s="1543"/>
      <c r="AG23" s="1543"/>
      <c r="AH23" s="1629"/>
      <c r="AI23" s="1326"/>
      <c r="AJ23" s="1614"/>
      <c r="AK23" s="295" t="s">
        <v>99</v>
      </c>
    </row>
    <row customHeight="1" ht="14.25">
      <c r="D24" s="2039"/>
      <c r="E24" s="2041"/>
      <c r="F24" s="2041"/>
      <c r="G24" s="2045"/>
      <c r="H24" s="1640"/>
      <c r="I24" s="2047"/>
      <c r="J24" s="2003"/>
      <c r="K24" s="1650"/>
      <c r="L24" s="1990"/>
      <c r="M24" s="1990"/>
      <c r="N24" s="1630"/>
      <c r="O24" s="1990"/>
      <c r="P24" s="2003"/>
      <c r="Q24" s="1631"/>
      <c r="R24" s="1990"/>
      <c r="S24" s="1990"/>
      <c r="T24" s="1632"/>
      <c r="U24" s="1990"/>
      <c r="V24" s="2003"/>
      <c r="W24" s="1633"/>
      <c r="X24" s="1990"/>
      <c r="Y24" s="1990"/>
      <c r="Z24" s="1630"/>
      <c r="AA24" s="1990"/>
      <c r="AB24" s="2003"/>
      <c r="AC24" s="1634"/>
      <c r="AD24" s="1990"/>
      <c r="AE24" s="1990"/>
      <c r="AF24" s="1635"/>
      <c r="AG24" s="1635"/>
      <c r="AH24" s="2050"/>
      <c r="AI24" s="2051"/>
      <c r="AJ24" s="1614"/>
    </row>
    <row customHeight="1" ht="14.25">
      <c r="D25" s="2039"/>
      <c r="E25" s="2041"/>
      <c r="F25" s="2041"/>
      <c r="G25" s="2045"/>
      <c r="H25" s="1640"/>
      <c r="I25" s="2047"/>
      <c r="J25" s="2003"/>
      <c r="K25" s="1650"/>
      <c r="L25" s="1990"/>
      <c r="M25" s="1990"/>
      <c r="N25" s="1630"/>
      <c r="O25" s="1990"/>
      <c r="P25" s="2003"/>
      <c r="Q25" s="1631"/>
      <c r="R25" s="1990"/>
      <c r="S25" s="1990"/>
      <c r="T25" s="1632"/>
      <c r="U25" s="1990"/>
      <c r="V25" s="2003"/>
      <c r="W25" s="1633"/>
      <c r="X25" s="1990"/>
      <c r="Y25" s="1990"/>
      <c r="Z25" s="1542"/>
      <c r="AA25" s="1635"/>
      <c r="AB25" s="2050"/>
      <c r="AC25" s="2050"/>
      <c r="AD25" s="2050"/>
      <c r="AE25" s="2050"/>
      <c r="AF25" s="2050"/>
      <c r="AG25" s="2050"/>
      <c r="AH25" s="2050"/>
      <c r="AI25" s="2051"/>
      <c r="AJ25" s="1614"/>
    </row>
    <row customHeight="1" ht="14.25">
      <c r="D26" s="2039"/>
      <c r="E26" s="2041"/>
      <c r="F26" s="2041"/>
      <c r="G26" s="2045"/>
      <c r="H26" s="1640"/>
      <c r="I26" s="2047"/>
      <c r="J26" s="2003"/>
      <c r="K26" s="1650"/>
      <c r="L26" s="1990"/>
      <c r="M26" s="1990"/>
      <c r="N26" s="1630"/>
      <c r="O26" s="1990"/>
      <c r="P26" s="2003"/>
      <c r="Q26" s="1631"/>
      <c r="R26" s="1990"/>
      <c r="S26" s="1990"/>
      <c r="T26" s="1636"/>
      <c r="U26" s="1637"/>
      <c r="V26" s="2050"/>
      <c r="W26" s="2050"/>
      <c r="X26" s="2050"/>
      <c r="Y26" s="2050"/>
      <c r="Z26" s="2050"/>
      <c r="AA26" s="2050"/>
      <c r="AB26" s="2050"/>
      <c r="AC26" s="2050"/>
      <c r="AD26" s="2050"/>
      <c r="AE26" s="2050"/>
      <c r="AF26" s="2050"/>
      <c r="AG26" s="2050"/>
      <c r="AH26" s="2050"/>
      <c r="AI26" s="2051"/>
      <c r="AJ26" s="1614"/>
    </row>
    <row customHeight="1" ht="11.25">
      <c r="D27" s="2039"/>
      <c r="E27" s="2041"/>
      <c r="F27" s="2041"/>
      <c r="G27" s="2045"/>
      <c r="H27" s="1641"/>
      <c r="I27" s="2047"/>
      <c r="J27" s="2003"/>
      <c r="K27" s="1650"/>
      <c r="L27" s="1990"/>
      <c r="M27" s="1990"/>
      <c r="N27" s="1635"/>
      <c r="O27" s="1635"/>
      <c r="P27" s="2050"/>
      <c r="Q27" s="2050"/>
      <c r="R27" s="2050"/>
      <c r="S27" s="2050"/>
      <c r="T27" s="2050"/>
      <c r="U27" s="2050"/>
      <c r="V27" s="2050"/>
      <c r="W27" s="2050"/>
      <c r="X27" s="2050"/>
      <c r="Y27" s="2050"/>
      <c r="Z27" s="2050"/>
      <c r="AA27" s="2050"/>
      <c r="AB27" s="2050"/>
      <c r="AC27" s="2050"/>
      <c r="AD27" s="2050"/>
      <c r="AE27" s="2050"/>
      <c r="AF27" s="2050"/>
      <c r="AG27" s="2050"/>
      <c r="AH27" s="2050"/>
      <c r="AI27" s="2051"/>
      <c r="AJ27" s="1614"/>
    </row>
    <row s="2980" customFormat="1" customHeight="1" ht="11.25">
      <c r="D28" s="2040"/>
      <c r="E28" s="2042"/>
      <c r="F28" s="2043"/>
      <c r="G28" s="1986"/>
      <c r="H28" s="1638"/>
      <c r="I28" s="1642"/>
      <c r="J28" s="2048"/>
      <c r="K28" s="2048"/>
      <c r="L28" s="2048"/>
      <c r="M28" s="2048"/>
      <c r="N28" s="2048"/>
      <c r="O28" s="2048"/>
      <c r="P28" s="2048"/>
      <c r="Q28" s="2048"/>
      <c r="R28" s="2048"/>
      <c r="S28" s="2048"/>
      <c r="T28" s="2048"/>
      <c r="U28" s="2048"/>
      <c r="V28" s="2048"/>
      <c r="W28" s="2048"/>
      <c r="X28" s="2048"/>
      <c r="Y28" s="2048"/>
      <c r="Z28" s="2048"/>
      <c r="AA28" s="2048"/>
      <c r="AB28" s="2048"/>
      <c r="AC28" s="2048"/>
      <c r="AD28" s="2048"/>
      <c r="AE28" s="2048"/>
      <c r="AF28" s="2048"/>
      <c r="AG28" s="2048"/>
      <c r="AH28" s="2048"/>
      <c r="AI28" s="2049"/>
      <c r="AJ28" s="1614"/>
      <c r="AK28" s="295"/>
      <c r="AL28" s="1614"/>
      <c r="AM28" s="1614"/>
      <c r="AN28" s="1614"/>
      <c r="AO28" s="1614"/>
      <c r="AP28" s="1614"/>
      <c r="AQ28" s="1614"/>
      <c r="AR28" s="1614"/>
      <c r="AS28" s="1614"/>
      <c r="AT28" s="1614"/>
      <c r="AU28" s="1614"/>
      <c r="AV28" s="1614"/>
      <c r="AW28" s="1614"/>
      <c r="AX28" s="1614"/>
      <c r="AY28" s="1614"/>
      <c r="AZ28" s="1614"/>
      <c r="BA28" s="1614"/>
      <c r="BB28" s="1614"/>
      <c r="BC28" s="1614"/>
      <c r="BD28" s="1614"/>
      <c r="BE28" s="1614"/>
      <c r="BF28" s="1614"/>
      <c r="BG28" s="1614"/>
      <c r="BH28" s="1614"/>
      <c r="BI28" s="1614"/>
      <c r="BJ28" s="1614"/>
      <c r="BK28" s="1614"/>
      <c r="BL28" s="1614"/>
    </row>
    <row customHeight="1" ht="14.25">
      <c r="D29" s="2039" t="s">
        <v>92</v>
      </c>
      <c r="E29" s="2041" t="s">
        <v>506</v>
      </c>
      <c r="F29" s="2041" t="s">
        <v>510</v>
      </c>
      <c r="G29" s="2044" t="s">
        <v>58</v>
      </c>
      <c r="H29" s="1639"/>
      <c r="I29" s="2046"/>
      <c r="J29" s="2002"/>
      <c r="K29" s="1544"/>
      <c r="L29" s="1989"/>
      <c r="M29" s="1989"/>
      <c r="N29" s="1624"/>
      <c r="O29" s="1989"/>
      <c r="P29" s="2002"/>
      <c r="Q29" s="1625"/>
      <c r="R29" s="1989"/>
      <c r="S29" s="1989"/>
      <c r="T29" s="1626"/>
      <c r="U29" s="1989"/>
      <c r="V29" s="2002"/>
      <c r="W29" s="1627"/>
      <c r="X29" s="1989"/>
      <c r="Y29" s="1989"/>
      <c r="Z29" s="1624"/>
      <c r="AA29" s="1989"/>
      <c r="AB29" s="2002"/>
      <c r="AC29" s="1628"/>
      <c r="AD29" s="1989"/>
      <c r="AE29" s="1989"/>
      <c r="AF29" s="1543"/>
      <c r="AG29" s="1543"/>
      <c r="AH29" s="1629"/>
      <c r="AI29" s="1326"/>
      <c r="AJ29" s="1614"/>
    </row>
    <row customHeight="1" ht="14.25">
      <c r="D30" s="2039"/>
      <c r="E30" s="2041"/>
      <c r="F30" s="2041"/>
      <c r="G30" s="2045"/>
      <c r="H30" s="1640"/>
      <c r="I30" s="2047"/>
      <c r="J30" s="2003"/>
      <c r="K30" s="1623"/>
      <c r="L30" s="1990"/>
      <c r="M30" s="1990"/>
      <c r="N30" s="1630"/>
      <c r="O30" s="1990"/>
      <c r="P30" s="2003"/>
      <c r="Q30" s="1631"/>
      <c r="R30" s="1990"/>
      <c r="S30" s="1990"/>
      <c r="T30" s="1632"/>
      <c r="U30" s="1990"/>
      <c r="V30" s="2003"/>
      <c r="W30" s="1633"/>
      <c r="X30" s="1990"/>
      <c r="Y30" s="1990"/>
      <c r="Z30" s="1630"/>
      <c r="AA30" s="1990"/>
      <c r="AB30" s="2003"/>
      <c r="AC30" s="1634"/>
      <c r="AD30" s="1990"/>
      <c r="AE30" s="1990"/>
      <c r="AF30" s="1635"/>
      <c r="AG30" s="1635"/>
      <c r="AH30" s="2050"/>
      <c r="AI30" s="2051"/>
      <c r="AJ30" s="1614"/>
    </row>
    <row customHeight="1" ht="14.25">
      <c r="D31" s="2039"/>
      <c r="E31" s="2041"/>
      <c r="F31" s="2041"/>
      <c r="G31" s="2045"/>
      <c r="H31" s="1640"/>
      <c r="I31" s="2047"/>
      <c r="J31" s="2003"/>
      <c r="K31" s="1623"/>
      <c r="L31" s="1990"/>
      <c r="M31" s="1990"/>
      <c r="N31" s="1630"/>
      <c r="O31" s="1990"/>
      <c r="P31" s="2003"/>
      <c r="Q31" s="1631"/>
      <c r="R31" s="1990"/>
      <c r="S31" s="1990"/>
      <c r="T31" s="1632"/>
      <c r="U31" s="1990"/>
      <c r="V31" s="2003"/>
      <c r="W31" s="1633"/>
      <c r="X31" s="1990"/>
      <c r="Y31" s="1990"/>
      <c r="Z31" s="1542"/>
      <c r="AA31" s="1635"/>
      <c r="AB31" s="2050"/>
      <c r="AC31" s="2050"/>
      <c r="AD31" s="2050"/>
      <c r="AE31" s="2050"/>
      <c r="AF31" s="2050"/>
      <c r="AG31" s="2050"/>
      <c r="AH31" s="2050"/>
      <c r="AI31" s="2051"/>
      <c r="AJ31" s="1614"/>
    </row>
    <row customHeight="1" ht="14.25">
      <c r="D32" s="2039"/>
      <c r="E32" s="2041"/>
      <c r="F32" s="2041"/>
      <c r="G32" s="2045"/>
      <c r="H32" s="1640"/>
      <c r="I32" s="2047"/>
      <c r="J32" s="2003"/>
      <c r="K32" s="1623"/>
      <c r="L32" s="1990"/>
      <c r="M32" s="1990"/>
      <c r="N32" s="1630"/>
      <c r="O32" s="1990"/>
      <c r="P32" s="2003"/>
      <c r="Q32" s="1631"/>
      <c r="R32" s="1990"/>
      <c r="S32" s="1990"/>
      <c r="T32" s="1636"/>
      <c r="U32" s="1637"/>
      <c r="V32" s="2050"/>
      <c r="W32" s="2050"/>
      <c r="X32" s="2050"/>
      <c r="Y32" s="2050"/>
      <c r="Z32" s="2050"/>
      <c r="AA32" s="2050"/>
      <c r="AB32" s="2050"/>
      <c r="AC32" s="2050"/>
      <c r="AD32" s="2050"/>
      <c r="AE32" s="2050"/>
      <c r="AF32" s="2050"/>
      <c r="AG32" s="2050"/>
      <c r="AH32" s="2050"/>
      <c r="AI32" s="2051"/>
      <c r="AJ32" s="1614"/>
    </row>
    <row customHeight="1" ht="11.25">
      <c r="D33" s="2039"/>
      <c r="E33" s="2041"/>
      <c r="F33" s="2041"/>
      <c r="G33" s="2045"/>
      <c r="H33" s="1641"/>
      <c r="I33" s="2047"/>
      <c r="J33" s="2003"/>
      <c r="K33" s="1623"/>
      <c r="L33" s="1990"/>
      <c r="M33" s="1990"/>
      <c r="N33" s="1635"/>
      <c r="O33" s="1635"/>
      <c r="P33" s="2050"/>
      <c r="Q33" s="2050"/>
      <c r="R33" s="2050"/>
      <c r="S33" s="2050"/>
      <c r="T33" s="2050"/>
      <c r="U33" s="2050"/>
      <c r="V33" s="2050"/>
      <c r="W33" s="2050"/>
      <c r="X33" s="2050"/>
      <c r="Y33" s="2050"/>
      <c r="Z33" s="2050"/>
      <c r="AA33" s="2050"/>
      <c r="AB33" s="2050"/>
      <c r="AC33" s="2050"/>
      <c r="AD33" s="2050"/>
      <c r="AE33" s="2050"/>
      <c r="AF33" s="2050"/>
      <c r="AG33" s="2050"/>
      <c r="AH33" s="2050"/>
      <c r="AI33" s="2051"/>
      <c r="AJ33" s="1614"/>
    </row>
    <row s="2980" customFormat="1" customHeight="1" ht="11.25">
      <c r="D34" s="2040"/>
      <c r="E34" s="2042"/>
      <c r="F34" s="2043"/>
      <c r="G34" s="1986"/>
      <c r="H34" s="1638"/>
      <c r="I34" s="1642"/>
      <c r="J34" s="2048"/>
      <c r="K34" s="2048"/>
      <c r="L34" s="2048"/>
      <c r="M34" s="2048"/>
      <c r="N34" s="2048"/>
      <c r="O34" s="2048"/>
      <c r="P34" s="2048"/>
      <c r="Q34" s="2048"/>
      <c r="R34" s="2048"/>
      <c r="S34" s="2048"/>
      <c r="T34" s="2048"/>
      <c r="U34" s="2048"/>
      <c r="V34" s="2048"/>
      <c r="W34" s="2048"/>
      <c r="X34" s="2048"/>
      <c r="Y34" s="2048"/>
      <c r="Z34" s="2048"/>
      <c r="AA34" s="2048"/>
      <c r="AB34" s="2048"/>
      <c r="AC34" s="2048"/>
      <c r="AD34" s="2048"/>
      <c r="AE34" s="2048"/>
      <c r="AF34" s="2048"/>
      <c r="AG34" s="2048"/>
      <c r="AH34" s="2048"/>
      <c r="AI34" s="2049"/>
      <c r="AJ34" s="1614"/>
      <c r="AK34" s="295"/>
      <c r="AL34" s="1614"/>
      <c r="AM34" s="1614"/>
      <c r="AN34" s="1614"/>
      <c r="AO34" s="1614"/>
      <c r="AP34" s="1614"/>
      <c r="AQ34" s="1614"/>
      <c r="AR34" s="1614"/>
      <c r="AS34" s="1614"/>
      <c r="AT34" s="1614"/>
      <c r="AU34" s="1614"/>
      <c r="AV34" s="1614"/>
      <c r="AW34" s="1614"/>
      <c r="AX34" s="1614"/>
      <c r="AY34" s="1614"/>
      <c r="AZ34" s="1614"/>
      <c r="BA34" s="1614"/>
      <c r="BB34" s="1614"/>
      <c r="BC34" s="1614"/>
      <c r="BD34" s="1614"/>
      <c r="BE34" s="1614"/>
      <c r="BF34" s="1614"/>
      <c r="BG34" s="1614"/>
      <c r="BH34" s="1614"/>
      <c r="BI34" s="1614"/>
      <c r="BJ34" s="1614"/>
      <c r="BK34" s="1614"/>
      <c r="BL34" s="1614"/>
    </row>
    <row customHeight="1" ht="14.25">
      <c r="D35" s="2039" t="s">
        <v>116</v>
      </c>
      <c r="E35" s="2041" t="s">
        <v>506</v>
      </c>
      <c r="F35" s="2041" t="s">
        <v>511</v>
      </c>
      <c r="G35" s="2044" t="s">
        <v>58</v>
      </c>
      <c r="H35" s="1639"/>
      <c r="I35" s="2046"/>
      <c r="J35" s="2002"/>
      <c r="K35" s="1544"/>
      <c r="L35" s="1989"/>
      <c r="M35" s="1989"/>
      <c r="N35" s="1624"/>
      <c r="O35" s="1989"/>
      <c r="P35" s="2002"/>
      <c r="Q35" s="1625"/>
      <c r="R35" s="1989"/>
      <c r="S35" s="1989"/>
      <c r="T35" s="1626"/>
      <c r="U35" s="1989"/>
      <c r="V35" s="2002"/>
      <c r="W35" s="1627"/>
      <c r="X35" s="1989"/>
      <c r="Y35" s="1989"/>
      <c r="Z35" s="1624"/>
      <c r="AA35" s="1989"/>
      <c r="AB35" s="2002"/>
      <c r="AC35" s="1628"/>
      <c r="AD35" s="1989"/>
      <c r="AE35" s="1989"/>
      <c r="AF35" s="1543"/>
      <c r="AG35" s="1543"/>
      <c r="AH35" s="1629"/>
      <c r="AI35" s="1326"/>
      <c r="AJ35" s="1614"/>
    </row>
    <row customHeight="1" ht="14.25">
      <c r="D36" s="2039"/>
      <c r="E36" s="2041"/>
      <c r="F36" s="2041"/>
      <c r="G36" s="2045"/>
      <c r="H36" s="1640"/>
      <c r="I36" s="2047"/>
      <c r="J36" s="2003"/>
      <c r="K36" s="1623"/>
      <c r="L36" s="1990"/>
      <c r="M36" s="1990"/>
      <c r="N36" s="1630"/>
      <c r="O36" s="1990"/>
      <c r="P36" s="2003"/>
      <c r="Q36" s="1631"/>
      <c r="R36" s="1990"/>
      <c r="S36" s="1990"/>
      <c r="T36" s="1632"/>
      <c r="U36" s="1990"/>
      <c r="V36" s="2003"/>
      <c r="W36" s="1633"/>
      <c r="X36" s="1990"/>
      <c r="Y36" s="1990"/>
      <c r="Z36" s="1630"/>
      <c r="AA36" s="1990"/>
      <c r="AB36" s="2003"/>
      <c r="AC36" s="1634"/>
      <c r="AD36" s="1990"/>
      <c r="AE36" s="1990"/>
      <c r="AF36" s="1635"/>
      <c r="AG36" s="1635"/>
      <c r="AH36" s="2050"/>
      <c r="AI36" s="2051"/>
      <c r="AJ36" s="1614"/>
    </row>
    <row customHeight="1" ht="14.25">
      <c r="D37" s="2039"/>
      <c r="E37" s="2041"/>
      <c r="F37" s="2041"/>
      <c r="G37" s="2045"/>
      <c r="H37" s="1640"/>
      <c r="I37" s="2047"/>
      <c r="J37" s="2003"/>
      <c r="K37" s="1623"/>
      <c r="L37" s="1990"/>
      <c r="M37" s="1990"/>
      <c r="N37" s="1630"/>
      <c r="O37" s="1990"/>
      <c r="P37" s="2003"/>
      <c r="Q37" s="1631"/>
      <c r="R37" s="1990"/>
      <c r="S37" s="1990"/>
      <c r="T37" s="1632"/>
      <c r="U37" s="1990"/>
      <c r="V37" s="2003"/>
      <c r="W37" s="1633"/>
      <c r="X37" s="1990"/>
      <c r="Y37" s="1990"/>
      <c r="Z37" s="1542"/>
      <c r="AA37" s="1635"/>
      <c r="AB37" s="2050"/>
      <c r="AC37" s="2050"/>
      <c r="AD37" s="2050"/>
      <c r="AE37" s="2050"/>
      <c r="AF37" s="2050"/>
      <c r="AG37" s="2050"/>
      <c r="AH37" s="2050"/>
      <c r="AI37" s="2051"/>
      <c r="AJ37" s="1614"/>
    </row>
    <row customHeight="1" ht="14.25">
      <c r="D38" s="2039"/>
      <c r="E38" s="2041"/>
      <c r="F38" s="2041"/>
      <c r="G38" s="2045"/>
      <c r="H38" s="1640"/>
      <c r="I38" s="2047"/>
      <c r="J38" s="2003"/>
      <c r="K38" s="1623"/>
      <c r="L38" s="1990"/>
      <c r="M38" s="1990"/>
      <c r="N38" s="1630"/>
      <c r="O38" s="1990"/>
      <c r="P38" s="2003"/>
      <c r="Q38" s="1631"/>
      <c r="R38" s="1990"/>
      <c r="S38" s="1990"/>
      <c r="T38" s="1636"/>
      <c r="U38" s="1637"/>
      <c r="V38" s="2050"/>
      <c r="W38" s="2050"/>
      <c r="X38" s="2050"/>
      <c r="Y38" s="2050"/>
      <c r="Z38" s="2050"/>
      <c r="AA38" s="2050"/>
      <c r="AB38" s="2050"/>
      <c r="AC38" s="2050"/>
      <c r="AD38" s="2050"/>
      <c r="AE38" s="2050"/>
      <c r="AF38" s="2050"/>
      <c r="AG38" s="2050"/>
      <c r="AH38" s="2050"/>
      <c r="AI38" s="2051"/>
      <c r="AJ38" s="1614"/>
    </row>
    <row customHeight="1" ht="11.25">
      <c r="D39" s="2039"/>
      <c r="E39" s="2041"/>
      <c r="F39" s="2041"/>
      <c r="G39" s="2045"/>
      <c r="H39" s="1641"/>
      <c r="I39" s="2047"/>
      <c r="J39" s="2003"/>
      <c r="K39" s="1623"/>
      <c r="L39" s="1990"/>
      <c r="M39" s="1990"/>
      <c r="N39" s="1635"/>
      <c r="O39" s="1635"/>
      <c r="P39" s="2050"/>
      <c r="Q39" s="2050"/>
      <c r="R39" s="2050"/>
      <c r="S39" s="2050"/>
      <c r="T39" s="2050"/>
      <c r="U39" s="2050"/>
      <c r="V39" s="2050"/>
      <c r="W39" s="2050"/>
      <c r="X39" s="2050"/>
      <c r="Y39" s="2050"/>
      <c r="Z39" s="2050"/>
      <c r="AA39" s="2050"/>
      <c r="AB39" s="2050"/>
      <c r="AC39" s="2050"/>
      <c r="AD39" s="2050"/>
      <c r="AE39" s="2050"/>
      <c r="AF39" s="2050"/>
      <c r="AG39" s="2050"/>
      <c r="AH39" s="2050"/>
      <c r="AI39" s="2051"/>
      <c r="AJ39" s="1614"/>
    </row>
    <row s="2980" customFormat="1" customHeight="1" ht="11.25">
      <c r="D40" s="2039"/>
      <c r="E40" s="2041"/>
      <c r="F40" s="2052"/>
      <c r="G40" s="1986"/>
      <c r="H40" s="1638"/>
      <c r="I40" s="1642"/>
      <c r="J40" s="2048"/>
      <c r="K40" s="2048"/>
      <c r="L40" s="2048"/>
      <c r="M40" s="2048"/>
      <c r="N40" s="2048"/>
      <c r="O40" s="2048"/>
      <c r="P40" s="2048"/>
      <c r="Q40" s="2048"/>
      <c r="R40" s="2048"/>
      <c r="S40" s="2048"/>
      <c r="T40" s="2048"/>
      <c r="U40" s="2048"/>
      <c r="V40" s="2048"/>
      <c r="W40" s="2048"/>
      <c r="X40" s="2048"/>
      <c r="Y40" s="2048"/>
      <c r="Z40" s="2048"/>
      <c r="AA40" s="2048"/>
      <c r="AB40" s="2048"/>
      <c r="AC40" s="2048"/>
      <c r="AD40" s="2048"/>
      <c r="AE40" s="2048"/>
      <c r="AF40" s="2048"/>
      <c r="AG40" s="2048"/>
      <c r="AH40" s="2048"/>
      <c r="AI40" s="2049"/>
      <c r="AJ40" s="1614"/>
      <c r="AK40" s="295"/>
      <c r="AL40" s="1614"/>
      <c r="AM40" s="1614"/>
      <c r="AN40" s="1614"/>
      <c r="AO40" s="1614"/>
      <c r="AP40" s="1614"/>
      <c r="AQ40" s="1614"/>
      <c r="AR40" s="1614"/>
      <c r="AS40" s="1614"/>
      <c r="AT40" s="1614"/>
      <c r="AU40" s="1614"/>
      <c r="AV40" s="1614"/>
      <c r="AW40" s="1614"/>
      <c r="AX40" s="1614"/>
      <c r="AY40" s="1614"/>
      <c r="AZ40" s="1614"/>
      <c r="BA40" s="1614"/>
      <c r="BB40" s="1614"/>
      <c r="BC40" s="1614"/>
      <c r="BD40" s="1614"/>
      <c r="BE40" s="1614"/>
      <c r="BF40" s="1614"/>
      <c r="BG40" s="1614"/>
      <c r="BH40" s="1614"/>
      <c r="BI40" s="1614"/>
      <c r="BJ40" s="1614"/>
      <c r="BK40" s="1614"/>
      <c r="BL40" s="1614"/>
    </row>
    <row customHeight="1" ht="11.25">
      <c r="AK41" s="429"/>
    </row>
    <row customHeight="1" ht="11.25">
      <c r="AK42" s="429"/>
    </row>
    <row customHeight="1" ht="11.25">
      <c r="AK43" s="429"/>
    </row>
    <row customHeight="1" ht="11.25">
      <c r="AK44" s="429"/>
    </row>
    <row customHeight="1" ht="11.25">
      <c r="AK45" s="429"/>
    </row>
    <row customHeight="1" ht="11.25">
      <c r="AK46" s="429"/>
    </row>
    <row customHeight="1" ht="11.25">
      <c r="AK47" s="429"/>
    </row>
    <row customHeight="1" ht="11.25">
      <c r="AK48" s="429"/>
    </row>
    <row customHeight="1" ht="11.25">
      <c r="AK49" s="429"/>
    </row>
  </sheetData>
  <sheetProtection formatColumns="0" formatRows="0" autoFilter="0" sort="0" insertRows="0" insertColumns="1" deleteRows="0" deleteColumns="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4878E3-F673-72AE-B1B3-0959A55B3242}" mc:Ignorable="x14ac xr xr2 xr3">
  <sheetPr>
    <tabColor theme="6" tint="0.4"/>
  </sheetPr>
  <dimension ref="A1:AC40"/>
  <sheetViews>
    <sheetView topLeftCell="A1" showGridLines="0" workbookViewId="0">
      <selection activeCell="A1" sqref="A1"/>
    </sheetView>
  </sheetViews>
  <sheetFormatPr defaultColWidth="10.57421875" customHeight="1" defaultRowHeight="14.25"/>
  <cols>
    <col min="1" max="1" style="2984" width="10.57421875"/>
    <col min="2" max="2" style="2984" width="11.00390625" customWidth="1"/>
    <col min="3" max="3" style="2984" width="10.57421875"/>
    <col min="4" max="4" style="2984" width="11.8515625" customWidth="1"/>
    <col min="5" max="5" style="2984" width="12.28125" customWidth="1"/>
    <col min="6" max="8" style="13579" width="12.28125" customWidth="1"/>
    <col min="9" max="9" style="13579" width="3.7109375" customWidth="1"/>
    <col min="10" max="11" style="3411" width="3.7109375" customWidth="1"/>
    <col min="12" max="12" style="3412" width="12.7109375" customWidth="1"/>
    <col min="13" max="13" style="2984" width="32.00390625" customWidth="1"/>
    <col min="14" max="14" style="2984" width="1.7109375" customWidth="1"/>
    <col min="15" max="18" style="2984" width="24.7109375" customWidth="1"/>
    <col min="19" max="19" style="2984" width="11.7109375" customWidth="1"/>
    <col min="20" max="20" style="2984" width="3.7109375" customWidth="1"/>
    <col min="21" max="21" style="2984" width="11.7109375" customWidth="1"/>
    <col min="22" max="22" style="2984" width="8.57421875" customWidth="1"/>
    <col min="23" max="23" style="2984" width="4.7109375" customWidth="1"/>
    <col min="24" max="24" style="2984" width="115.7109375" customWidth="1"/>
    <col min="25" max="26" style="2612" width="10.57421875"/>
    <col min="27" max="27" style="2612" width="11.140625" customWidth="1"/>
    <col min="28" max="29" style="2612" width="10.57421875"/>
  </cols>
  <sheetData>
    <row customHeight="1" ht="14.25" hidden="1">
      <c r="R1" s="323"/>
      <c r="S1" s="323"/>
    </row>
    <row customHeight="1" ht="14.25" hidden="1">
      <c r="V2" s="323"/>
    </row>
    <row customHeight="1" ht="14.25" hidden="1"/>
    <row customHeight="1" ht="14.25">
      <c r="J4" s="377"/>
      <c r="K4" s="377"/>
      <c r="L4" s="1305"/>
      <c r="M4" s="361"/>
      <c r="N4" s="361"/>
      <c r="O4" s="515"/>
      <c r="P4" s="515"/>
      <c r="Q4" s="515"/>
      <c r="R4" s="515"/>
      <c r="S4" s="515"/>
      <c r="T4" s="515"/>
      <c r="U4" s="515"/>
      <c r="V4" s="515"/>
    </row>
    <row customHeight="1" ht="64.5">
      <c r="J5" s="377"/>
      <c r="K5" s="377"/>
      <c r="L5" s="2441" t="s">
        <v>2351</v>
      </c>
      <c r="M5" s="2441"/>
      <c r="N5" s="2441"/>
      <c r="O5" s="2441"/>
      <c r="P5" s="2441"/>
      <c r="Q5" s="2441"/>
      <c r="R5" s="2441"/>
      <c r="S5" s="2441"/>
      <c r="T5" s="2441"/>
      <c r="U5" s="2441"/>
      <c r="V5" s="1261"/>
    </row>
    <row customHeight="1" ht="14.25">
      <c r="J6" s="377"/>
      <c r="K6" s="377"/>
      <c r="L6" s="2442" t="str">
        <f>IF(org=0,"Не определено",org)</f>
        <v>АО "Мурманэнергосбыт"</v>
      </c>
      <c r="M6" s="2442"/>
      <c r="N6" s="2442"/>
      <c r="O6" s="2442"/>
      <c r="P6" s="2442"/>
      <c r="Q6" s="2442"/>
      <c r="R6" s="2442"/>
      <c r="S6" s="2442"/>
      <c r="T6" s="2442"/>
      <c r="U6" s="2442"/>
      <c r="V6" s="1261"/>
    </row>
    <row customHeight="1" ht="14.25">
      <c r="J7" s="377"/>
      <c r="K7" s="377"/>
      <c r="L7" s="1305"/>
      <c r="M7" s="361"/>
      <c r="N7" s="361"/>
      <c r="O7" s="316"/>
      <c r="P7" s="316"/>
      <c r="Q7" s="316"/>
      <c r="R7" s="316"/>
      <c r="S7" s="316"/>
      <c r="T7" s="316"/>
      <c r="U7" s="316"/>
      <c r="V7" s="316"/>
      <c r="W7" s="515"/>
    </row>
    <row s="3345" customFormat="1" customHeight="1" ht="45">
      <c r="F8" s="1267"/>
      <c r="G8" s="1267"/>
      <c r="H8" s="1267"/>
      <c r="L8" s="1306"/>
      <c r="M8" s="283" t="s">
        <v>38</v>
      </c>
      <c r="N8" s="292"/>
      <c r="O8" s="2100" t="str">
        <f>IF(TITLE_NAME_OR_PR_CHANGE="",IF(TITLE_NAME_OR_PR="","",TITLE_NAME_OR_PR),TITLE_NAME_OR_PR_CHANGE)</f>
        <v>Комитет по тарифному регулированию Мурманской области</v>
      </c>
      <c r="P8" s="2100"/>
      <c r="Q8" s="2100"/>
      <c r="R8" s="2100"/>
      <c r="S8" s="2100"/>
      <c r="T8" s="2100"/>
      <c r="U8" s="2100"/>
      <c r="V8" s="322"/>
      <c r="W8" s="322"/>
      <c r="X8" s="268"/>
      <c r="Y8" s="368"/>
      <c r="Z8" s="368"/>
      <c r="AA8" s="368"/>
      <c r="AB8" s="368"/>
      <c r="AC8" s="368"/>
    </row>
    <row s="3345" customFormat="1" customHeight="1" ht="22.5">
      <c r="F9" s="1267"/>
      <c r="G9" s="1267"/>
      <c r="H9" s="1267"/>
      <c r="L9" s="1306"/>
      <c r="M9" s="283" t="s">
        <v>635</v>
      </c>
      <c r="N9" s="292"/>
      <c r="O9" s="2100" t="str">
        <f>IF(TITLE_DATE_CHANGE_PERIOD="",IF(TITLE_DATE_PR="","",TITLE_DATE_PR),TITLE_DATE_CHANGE_PERIOD)</f>
        <v>45175</v>
      </c>
      <c r="P9" s="2100"/>
      <c r="Q9" s="2100"/>
      <c r="R9" s="2100"/>
      <c r="S9" s="2100"/>
      <c r="T9" s="2100"/>
      <c r="U9" s="2100"/>
      <c r="V9" s="322"/>
      <c r="W9" s="322"/>
      <c r="X9" s="268"/>
      <c r="Y9" s="368"/>
      <c r="Z9" s="368"/>
      <c r="AA9" s="368"/>
      <c r="AB9" s="368"/>
      <c r="AC9" s="368"/>
    </row>
    <row s="3345" customFormat="1" customHeight="1" ht="22.5">
      <c r="F10" s="1267"/>
      <c r="G10" s="1267"/>
      <c r="H10" s="1267"/>
      <c r="L10" s="1269"/>
      <c r="M10" s="283" t="s">
        <v>636</v>
      </c>
      <c r="N10" s="292"/>
      <c r="O10" s="2100" t="str">
        <f>IF(TITLE_NUMBER_PR_CHANGE="",IF(TITLE_NUMBER_PR="","",TITLE_NUMBER_PR),TITLE_NUMBER_PR_CHANGE)</f>
        <v>36/2</v>
      </c>
      <c r="P10" s="2100"/>
      <c r="Q10" s="2100"/>
      <c r="R10" s="2100"/>
      <c r="S10" s="2100"/>
      <c r="T10" s="2100"/>
      <c r="U10" s="2100"/>
      <c r="V10" s="322"/>
      <c r="W10" s="322"/>
      <c r="X10" s="268"/>
      <c r="Y10" s="368"/>
      <c r="Z10" s="368"/>
      <c r="AA10" s="368"/>
      <c r="AB10" s="368"/>
      <c r="AC10" s="368"/>
    </row>
    <row s="3345" customFormat="1" customHeight="1" ht="22.5">
      <c r="F11" s="1267"/>
      <c r="G11" s="1267"/>
      <c r="H11" s="1267"/>
      <c r="L11" s="1269"/>
      <c r="M11" s="283" t="s">
        <v>40</v>
      </c>
      <c r="N11" s="292"/>
      <c r="O11" s="2100" t="str">
        <f>IF(TITLE_IST_PUB_CHANGE="",IF(TITLE_IST_PUB="","",TITLE_IST_PUB),TITLE_IST_PUB_CHANGE)</f>
        <v>https://npa.gov-murman.ru/bitrix/components/b1team/govmurman.element.file/download.php?ID=495002&amp;FID=732763</v>
      </c>
      <c r="P11" s="2100"/>
      <c r="Q11" s="2100"/>
      <c r="R11" s="2100"/>
      <c r="S11" s="2100"/>
      <c r="T11" s="2100"/>
      <c r="U11" s="2100"/>
      <c r="V11" s="322"/>
      <c r="W11" s="322"/>
      <c r="X11" s="268"/>
      <c r="Y11" s="368"/>
      <c r="Z11" s="368"/>
      <c r="AA11" s="368"/>
      <c r="AB11" s="368"/>
      <c r="AC11" s="368"/>
    </row>
    <row s="3345" customFormat="1" customHeight="1" ht="11.25" hidden="1">
      <c r="F12" s="1267"/>
      <c r="G12" s="1267"/>
      <c r="H12" s="1267"/>
      <c r="L12" s="2440"/>
      <c r="M12" s="2440"/>
      <c r="N12" s="1317"/>
      <c r="O12" s="322"/>
      <c r="P12" s="322"/>
      <c r="Q12" s="322"/>
      <c r="R12" s="322"/>
      <c r="S12" s="322"/>
      <c r="T12" s="322"/>
      <c r="U12" s="322"/>
      <c r="V12" s="266" t="s">
        <v>639</v>
      </c>
      <c r="Y12" s="368"/>
      <c r="Z12" s="368"/>
      <c r="AA12" s="368"/>
      <c r="AB12" s="368"/>
      <c r="AC12" s="368"/>
    </row>
    <row customHeight="1" ht="14.25">
      <c r="J13" s="377"/>
      <c r="K13" s="377"/>
      <c r="L13" s="1305"/>
      <c r="M13" s="361"/>
      <c r="N13" s="1262"/>
      <c r="O13" s="2124"/>
      <c r="P13" s="2124"/>
      <c r="Q13" s="2124"/>
      <c r="R13" s="2124"/>
      <c r="S13" s="2124"/>
      <c r="T13" s="2124"/>
      <c r="U13" s="2124"/>
      <c r="V13" s="2124"/>
    </row>
    <row customHeight="1" ht="14.25">
      <c r="J14" s="377"/>
      <c r="K14" s="377"/>
      <c r="L14" s="1971" t="s">
        <v>513</v>
      </c>
      <c r="M14" s="1971"/>
      <c r="N14" s="1971"/>
      <c r="O14" s="1971"/>
      <c r="P14" s="1971"/>
      <c r="Q14" s="1971"/>
      <c r="R14" s="1971"/>
      <c r="S14" s="1971"/>
      <c r="T14" s="1971"/>
      <c r="U14" s="1971"/>
      <c r="V14" s="1971"/>
      <c r="W14" s="1971"/>
      <c r="X14" s="1971" t="s">
        <v>514</v>
      </c>
    </row>
    <row customHeight="1" ht="14.25">
      <c r="J15" s="377"/>
      <c r="K15" s="377"/>
      <c r="L15" s="2125" t="s">
        <v>89</v>
      </c>
      <c r="M15" s="2062" t="s">
        <v>640</v>
      </c>
      <c r="N15" s="289"/>
      <c r="O15" s="2126" t="s">
        <v>2352</v>
      </c>
      <c r="P15" s="2127"/>
      <c r="Q15" s="2127"/>
      <c r="R15" s="2127"/>
      <c r="S15" s="2127"/>
      <c r="T15" s="2127"/>
      <c r="U15" s="2128"/>
      <c r="V15" s="2129" t="s">
        <v>642</v>
      </c>
      <c r="W15" s="2132" t="s">
        <v>1283</v>
      </c>
      <c r="X15" s="1971"/>
    </row>
    <row customHeight="1" ht="33.75">
      <c r="J16" s="377"/>
      <c r="K16" s="377"/>
      <c r="L16" s="2125"/>
      <c r="M16" s="2062"/>
      <c r="N16" s="1038"/>
      <c r="O16" s="2135" t="s">
        <v>645</v>
      </c>
      <c r="P16" s="2135" t="s">
        <v>646</v>
      </c>
      <c r="Q16" s="2118" t="s">
        <v>647</v>
      </c>
      <c r="R16" s="2120"/>
      <c r="S16" s="2118" t="s">
        <v>660</v>
      </c>
      <c r="T16" s="2119"/>
      <c r="U16" s="2120"/>
      <c r="V16" s="2130"/>
      <c r="W16" s="2133"/>
      <c r="X16" s="1971"/>
    </row>
    <row customHeight="1" ht="33.75">
      <c r="A17" s="1288" t="s">
        <v>215</v>
      </c>
      <c r="B17" s="1288" t="s">
        <v>216</v>
      </c>
      <c r="C17" s="1288" t="s">
        <v>217</v>
      </c>
      <c r="D17" s="1288" t="s">
        <v>218</v>
      </c>
      <c r="E17" s="1288"/>
      <c r="J17" s="377"/>
      <c r="K17" s="377"/>
      <c r="L17" s="2125"/>
      <c r="M17" s="2062"/>
      <c r="N17" s="290"/>
      <c r="O17" s="2136"/>
      <c r="P17" s="2136"/>
      <c r="Q17" s="1237" t="s">
        <v>656</v>
      </c>
      <c r="R17" s="1237" t="s">
        <v>657</v>
      </c>
      <c r="S17" s="1322" t="s">
        <v>658</v>
      </c>
      <c r="T17" s="2121" t="s">
        <v>659</v>
      </c>
      <c r="U17" s="2122"/>
      <c r="V17" s="2131"/>
      <c r="W17" s="2134"/>
      <c r="X17" s="1971"/>
    </row>
    <row s="2611" customFormat="1" customHeight="1" ht="11.25">
      <c r="A18" s="1288"/>
      <c r="B18" s="1288"/>
      <c r="C18" s="1288"/>
      <c r="D18" s="1288"/>
      <c r="E18" s="1288"/>
      <c r="F18" s="1316"/>
      <c r="G18" s="1316"/>
      <c r="H18" s="1316"/>
      <c r="I18" s="1264"/>
      <c r="J18" s="1265"/>
      <c r="K18" s="1280">
        <v>1</v>
      </c>
      <c r="L18" s="1307" t="s">
        <v>193</v>
      </c>
      <c r="M18" s="1281" t="s">
        <v>104</v>
      </c>
      <c r="N18" s="1263" t="str">
        <f>OFFSET(N18,0,-1)</f>
        <v>2</v>
      </c>
      <c r="O18" s="1319">
        <f>OFFSET(O18,0,-1)+1</f>
        <v>3</v>
      </c>
      <c r="P18" s="1319"/>
      <c r="Q18" s="1319">
        <f>OFFSET(Q18,0,-1)+1</f>
        <v>1</v>
      </c>
      <c r="R18" s="1319">
        <f>OFFSET(R18,0,-1)+1</f>
        <v>2</v>
      </c>
      <c r="S18" s="1319">
        <f>OFFSET(S18,0,-1)+1</f>
        <v>3</v>
      </c>
      <c r="T18" s="2123">
        <f>OFFSET(T18,0,-1)+1</f>
        <v>4</v>
      </c>
      <c r="U18" s="2123"/>
      <c r="V18" s="1319">
        <f>OFFSET(V18,0,-2)+1</f>
        <v>5</v>
      </c>
      <c r="W18" s="1263">
        <f>OFFSET(W18,0,-1)</f>
        <v>5</v>
      </c>
      <c r="X18" s="1319">
        <f>OFFSET(X18,0,-1)+1</f>
        <v>6</v>
      </c>
      <c r="Y18" s="517"/>
      <c r="Z18" s="517"/>
      <c r="AA18" s="517"/>
      <c r="AB18" s="517"/>
      <c r="AC18" s="517"/>
    </row>
    <row customHeight="1" ht="21">
      <c r="A19" s="1296" t="s">
        <v>2362</v>
      </c>
      <c r="B19" s="1296" t="s">
        <v>2363</v>
      </c>
      <c r="C19" s="1296" t="s">
        <v>2364</v>
      </c>
      <c r="D19" s="1296" t="s">
        <v>2365</v>
      </c>
      <c r="E19" s="1296"/>
      <c r="F19" s="694"/>
      <c r="G19" s="694"/>
      <c r="H19" s="694"/>
      <c r="I19" s="357"/>
      <c r="J19" s="356"/>
      <c r="K19" s="351"/>
      <c r="L19" s="1323">
        <f>INDEX(PT_DIFFERENTIATION_NUM_NTAR,MATCH(A19,PT_DIFFERENTIATION_NTAR_ID,0))</f>
      </c>
      <c r="M19" s="286" t="s">
        <v>204</v>
      </c>
      <c r="N19" s="288"/>
      <c r="O19" s="2434">
        <f>INDEX(PT_DIFFERENTIATION_NTAR,MATCH(A19,PT_DIFFERENTIATION_NTAR_ID,0))</f>
      </c>
      <c r="P19" s="2434"/>
      <c r="Q19" s="2434"/>
      <c r="R19" s="2434"/>
      <c r="S19" s="2434"/>
      <c r="T19" s="2434"/>
      <c r="U19" s="2434"/>
      <c r="V19" s="2434"/>
      <c r="W19" s="2434"/>
      <c r="X19" s="1286" t="s">
        <v>611</v>
      </c>
      <c r="Z19" s="506"/>
      <c r="AA19" s="506" t="str">
        <f>IF(M19="","",M19)</f>
        <v>Наименование тарифа</v>
      </c>
      <c r="AB19" s="506"/>
      <c r="AC19" s="506"/>
    </row>
    <row customHeight="1" ht="21">
      <c r="A20" s="1296" t="s">
        <v>2362</v>
      </c>
      <c r="B20" s="1296" t="s">
        <v>2363</v>
      </c>
      <c r="C20" s="1296" t="s">
        <v>2364</v>
      </c>
      <c r="D20" s="1296" t="s">
        <v>2365</v>
      </c>
      <c r="E20" s="1296"/>
      <c r="F20" s="694"/>
      <c r="G20" s="694"/>
      <c r="H20" s="694"/>
      <c r="I20" s="1320"/>
      <c r="J20" s="348"/>
      <c r="K20" s="349"/>
      <c r="L20" s="1323">
        <f>INDEX(PT_DIFFERENTIATION_NUM_TER,MATCH(B19,PT_DIFFERENTIATION_TER_ID,0))</f>
      </c>
      <c r="M20" s="298" t="s">
        <v>612</v>
      </c>
      <c r="N20" s="288"/>
      <c r="O20" s="2434">
        <f>INDEX(PT_DIFFERENTIATION_TER,MATCH(B19,PT_DIFFERENTIATION_TER_ID,0))</f>
      </c>
      <c r="P20" s="2434"/>
      <c r="Q20" s="2434"/>
      <c r="R20" s="2434"/>
      <c r="S20" s="2434"/>
      <c r="T20" s="2434"/>
      <c r="U20" s="2434"/>
      <c r="V20" s="2434"/>
      <c r="W20" s="2434"/>
      <c r="X20" s="1286" t="s">
        <v>613</v>
      </c>
      <c r="Z20" s="506"/>
      <c r="AA20" s="506" t="str">
        <f>IF(M20="","",M20)</f>
        <v>Территория действия тарифа</v>
      </c>
      <c r="AB20" s="506"/>
      <c r="AC20" s="506"/>
    </row>
    <row customHeight="1" ht="22.5">
      <c r="A21" s="1296" t="s">
        <v>2362</v>
      </c>
      <c r="B21" s="1296" t="s">
        <v>2363</v>
      </c>
      <c r="C21" s="1296" t="s">
        <v>2364</v>
      </c>
      <c r="D21" s="1296" t="s">
        <v>2365</v>
      </c>
      <c r="E21" s="1296"/>
      <c r="F21" s="694"/>
      <c r="G21" s="694"/>
      <c r="H21" s="694"/>
      <c r="I21" s="350"/>
      <c r="J21" s="348"/>
      <c r="K21" s="349"/>
      <c r="L21" s="1323">
        <f>INDEX(PT_DIFFERENTIATION_NUM_CS,MATCH(C19,PT_DIFFERENTIATION_CS_ID,0))</f>
      </c>
      <c r="M21" s="299" t="s">
        <v>614</v>
      </c>
      <c r="N21" s="288"/>
      <c r="O21" s="2434">
        <f>INDEX(PT_DIFFERENTIATION_CS,MATCH(C19,PT_DIFFERENTIATION_CS_ID,0))</f>
      </c>
      <c r="P21" s="2434"/>
      <c r="Q21" s="2434"/>
      <c r="R21" s="2434"/>
      <c r="S21" s="2434"/>
      <c r="T21" s="2434"/>
      <c r="U21" s="2434"/>
      <c r="V21" s="2434"/>
      <c r="W21" s="2434"/>
      <c r="X21" s="1286" t="s">
        <v>615</v>
      </c>
      <c r="Z21" s="506"/>
      <c r="AA21" s="506" t="str">
        <f>IF(M21="","",M21)</f>
        <v>Наименование системы теплоснабжения </v>
      </c>
      <c r="AB21" s="506"/>
      <c r="AC21" s="506"/>
    </row>
    <row customHeight="1" ht="21">
      <c r="A22" s="1296" t="s">
        <v>2362</v>
      </c>
      <c r="B22" s="1296" t="s">
        <v>2363</v>
      </c>
      <c r="C22" s="1296" t="s">
        <v>2364</v>
      </c>
      <c r="D22" s="1296" t="s">
        <v>2365</v>
      </c>
      <c r="E22" s="1296"/>
      <c r="F22" s="694"/>
      <c r="G22" s="694"/>
      <c r="H22" s="694"/>
      <c r="I22" s="350"/>
      <c r="J22" s="348"/>
      <c r="K22" s="349"/>
      <c r="L22" s="1323">
        <f>INDEX(PT_DIFFERENTIATION_NUM_IST_TE,MATCH(D19,PT_DIFFERENTIATION_IST_TE_ID,0))</f>
      </c>
      <c r="M22" s="300" t="s">
        <v>616</v>
      </c>
      <c r="N22" s="288"/>
      <c r="O22" s="2434">
        <f>INDEX(PT_DIFFERENTIATION_IST_TE,MATCH(D19,PT_DIFFERENTIATION_IST_TE_ID,0))</f>
      </c>
      <c r="P22" s="2434"/>
      <c r="Q22" s="2434"/>
      <c r="R22" s="2434"/>
      <c r="S22" s="2434"/>
      <c r="T22" s="2434"/>
      <c r="U22" s="2434"/>
      <c r="V22" s="2434"/>
      <c r="W22" s="2434"/>
      <c r="X22" s="1286" t="s">
        <v>617</v>
      </c>
      <c r="Z22" s="506"/>
      <c r="AA22" s="506" t="str">
        <f>IF(M22="","",M22)</f>
        <v>Источник тепловой энергии  </v>
      </c>
      <c r="AB22" s="506"/>
      <c r="AC22" s="506"/>
    </row>
    <row customHeight="1" ht="94.5">
      <c r="A23" s="1296" t="s">
        <v>2362</v>
      </c>
      <c r="B23" s="1296" t="s">
        <v>2363</v>
      </c>
      <c r="C23" s="1296" t="s">
        <v>2364</v>
      </c>
      <c r="D23" s="1296" t="s">
        <v>2365</v>
      </c>
      <c r="E23" s="1296"/>
      <c r="F23" s="1969">
        <f>L22&amp;".1"</f>
      </c>
      <c r="I23" s="2111">
        <v>1</v>
      </c>
      <c r="J23" s="1321"/>
      <c r="K23" s="352"/>
      <c r="L23" s="1323">
        <f>$F$23</f>
      </c>
      <c r="M23" s="273" t="s">
        <v>619</v>
      </c>
      <c r="N23" s="288"/>
      <c r="O23" s="2436"/>
      <c r="P23" s="2436"/>
      <c r="Q23" s="2436"/>
      <c r="R23" s="2436"/>
      <c r="S23" s="2436"/>
      <c r="T23" s="2436"/>
      <c r="U23" s="2436"/>
      <c r="V23" s="2436"/>
      <c r="W23" s="2436"/>
      <c r="X23" s="1286" t="s">
        <v>620</v>
      </c>
      <c r="Z23" s="506"/>
      <c r="AA23" s="506" t="str">
        <f>IF(M23="","",M23)</f>
        <v>Схема подключения теплопотребляющей установки к коллектору источника тепловой энергии</v>
      </c>
      <c r="AB23" s="506"/>
      <c r="AC23" s="506"/>
    </row>
    <row customHeight="1" ht="84">
      <c r="A24" s="1296" t="s">
        <v>2362</v>
      </c>
      <c r="B24" s="1296" t="s">
        <v>2363</v>
      </c>
      <c r="C24" s="1296" t="s">
        <v>2364</v>
      </c>
      <c r="D24" s="1296" t="s">
        <v>2365</v>
      </c>
      <c r="E24" s="1296"/>
      <c r="F24" s="1969"/>
      <c r="G24" s="1953">
        <f>F23&amp;".1"</f>
      </c>
      <c r="I24" s="2111"/>
      <c r="J24" s="2111">
        <v>1</v>
      </c>
      <c r="K24" s="353"/>
      <c r="L24" s="1323">
        <f>$G$24</f>
      </c>
      <c r="M24" s="274" t="s">
        <v>622</v>
      </c>
      <c r="N24" s="288"/>
      <c r="O24" s="2437"/>
      <c r="P24" s="2438"/>
      <c r="Q24" s="2438"/>
      <c r="R24" s="2438"/>
      <c r="S24" s="2438"/>
      <c r="T24" s="2438"/>
      <c r="U24" s="2438"/>
      <c r="V24" s="2438"/>
      <c r="W24" s="2439"/>
      <c r="X24" s="1286" t="s">
        <v>623</v>
      </c>
      <c r="Z24" s="506"/>
      <c r="AA24" s="506" t="str">
        <f>IF(M24="","",M24)</f>
        <v>Группа потребителей</v>
      </c>
      <c r="AB24" s="506"/>
      <c r="AC24" s="506"/>
    </row>
    <row customHeight="1" ht="11.25">
      <c r="A25" s="1296" t="s">
        <v>2362</v>
      </c>
      <c r="B25" s="1296" t="s">
        <v>2363</v>
      </c>
      <c r="C25" s="1296" t="s">
        <v>2364</v>
      </c>
      <c r="D25" s="1296" t="s">
        <v>2365</v>
      </c>
      <c r="E25" s="1296"/>
      <c r="F25" s="1969"/>
      <c r="G25" s="1953"/>
      <c r="H25" s="1953">
        <f>G24&amp;".1"</f>
      </c>
      <c r="I25" s="2111"/>
      <c r="J25" s="2111"/>
      <c r="K25" s="353">
        <v>1</v>
      </c>
      <c r="L25" s="1323">
        <f>$H$25</f>
      </c>
      <c r="M25" s="1287"/>
      <c r="N25" s="288"/>
      <c r="O25" s="757"/>
      <c r="P25" s="320"/>
      <c r="Q25" s="757"/>
      <c r="R25" s="1285"/>
      <c r="S25" s="2443"/>
      <c r="T25" s="1981" t="s">
        <v>63</v>
      </c>
      <c r="U25" s="2443"/>
      <c r="V25" s="1981" t="s">
        <v>58</v>
      </c>
      <c r="W25" s="320"/>
      <c r="X25" s="2137" t="s">
        <v>625</v>
      </c>
      <c r="Y25" s="517">
        <f>STRCHECKDATE(O26:W26)</f>
      </c>
      <c r="Z25" s="506"/>
      <c r="AA25" s="506" t="str">
        <f>IF(M25="","",M25)</f>
        <v/>
      </c>
      <c r="AB25" s="506"/>
      <c r="AC25" s="506"/>
    </row>
    <row customHeight="1" ht="11.25">
      <c r="A26" s="1296" t="s">
        <v>2362</v>
      </c>
      <c r="B26" s="1296" t="s">
        <v>2363</v>
      </c>
      <c r="C26" s="1296" t="s">
        <v>2364</v>
      </c>
      <c r="D26" s="1296" t="s">
        <v>2365</v>
      </c>
      <c r="E26" s="1296"/>
      <c r="F26" s="1969"/>
      <c r="G26" s="1953"/>
      <c r="H26" s="1953"/>
      <c r="I26" s="2111"/>
      <c r="J26" s="2111"/>
      <c r="K26" s="353"/>
      <c r="L26" s="1324"/>
      <c r="M26" s="288"/>
      <c r="N26" s="288"/>
      <c r="O26" s="320"/>
      <c r="P26" s="320"/>
      <c r="Q26" s="320"/>
      <c r="R26" s="324" t="str">
        <f>S25&amp;"-"&amp;U25</f>
        <v>-</v>
      </c>
      <c r="S26" s="2113"/>
      <c r="T26" s="1981"/>
      <c r="U26" s="2113"/>
      <c r="V26" s="1981"/>
      <c r="W26" s="320"/>
      <c r="X26" s="2138"/>
      <c r="Z26" s="506"/>
      <c r="AA26" s="506" t="str">
        <f>IF(M26="","",M26)</f>
        <v/>
      </c>
      <c r="AB26" s="506"/>
      <c r="AC26" s="506"/>
    </row>
    <row customHeight="1" ht="15">
      <c r="A27" s="1296" t="s">
        <v>2362</v>
      </c>
      <c r="B27" s="1296" t="s">
        <v>2363</v>
      </c>
      <c r="C27" s="1296" t="s">
        <v>2364</v>
      </c>
      <c r="D27" s="1296" t="s">
        <v>2365</v>
      </c>
      <c r="E27" s="1296"/>
      <c r="F27" s="1969"/>
      <c r="G27" s="1953"/>
      <c r="I27" s="2111"/>
      <c r="J27" s="2111"/>
      <c r="K27" s="352"/>
      <c r="L27" s="1308"/>
      <c r="M27" s="276" t="s">
        <v>626</v>
      </c>
      <c r="N27" s="367"/>
      <c r="O27" s="367"/>
      <c r="P27" s="367"/>
      <c r="Q27" s="367"/>
      <c r="R27" s="367"/>
      <c r="S27" s="367"/>
      <c r="T27" s="367"/>
      <c r="U27" s="367"/>
      <c r="V27" s="367"/>
      <c r="W27" s="319"/>
      <c r="X27" s="2139"/>
      <c r="Z27" s="506"/>
      <c r="AA27" s="506" t="str">
        <f>IF(M27="","",M27)</f>
        <v>Добавить вид теплоносителя (параметры теплоносителя)</v>
      </c>
      <c r="AB27" s="506"/>
      <c r="AC27" s="506"/>
    </row>
    <row customHeight="1" ht="15">
      <c r="A28" s="1296" t="s">
        <v>2362</v>
      </c>
      <c r="B28" s="1296" t="s">
        <v>2363</v>
      </c>
      <c r="C28" s="1296" t="s">
        <v>2364</v>
      </c>
      <c r="D28" s="1296" t="s">
        <v>2365</v>
      </c>
      <c r="E28" s="1296"/>
      <c r="F28" s="1969"/>
      <c r="I28" s="2111"/>
      <c r="J28" s="1321"/>
      <c r="K28" s="352"/>
      <c r="L28" s="1308"/>
      <c r="M28" s="275" t="s">
        <v>627</v>
      </c>
      <c r="N28" s="367"/>
      <c r="O28" s="367"/>
      <c r="P28" s="367"/>
      <c r="Q28" s="367"/>
      <c r="R28" s="367"/>
      <c r="S28" s="367"/>
      <c r="T28" s="367"/>
      <c r="U28" s="367"/>
      <c r="V28" s="366"/>
      <c r="W28" s="367"/>
      <c r="X28" s="291"/>
      <c r="Z28" s="506"/>
      <c r="AA28" s="506" t="str">
        <f>IF(M28="","",M28)</f>
        <v>Добавить группу потребителей</v>
      </c>
      <c r="AB28" s="506"/>
      <c r="AC28" s="506"/>
    </row>
    <row customHeight="1" ht="14.25">
      <c r="A29" s="1296" t="s">
        <v>2362</v>
      </c>
      <c r="B29" s="1296" t="s">
        <v>2363</v>
      </c>
      <c r="C29" s="1296" t="s">
        <v>2364</v>
      </c>
      <c r="D29" s="1296" t="s">
        <v>2365</v>
      </c>
      <c r="E29" s="1296"/>
      <c r="F29" s="694"/>
      <c r="G29" s="694"/>
      <c r="H29" s="515"/>
      <c r="I29" s="356"/>
      <c r="J29" s="376"/>
      <c r="K29" s="351"/>
      <c r="L29" s="1308"/>
      <c r="M29" s="364" t="s">
        <v>628</v>
      </c>
      <c r="N29" s="367"/>
      <c r="O29" s="367"/>
      <c r="P29" s="367"/>
      <c r="Q29" s="367"/>
      <c r="R29" s="367"/>
      <c r="S29" s="367"/>
      <c r="T29" s="367"/>
      <c r="U29" s="367"/>
      <c r="V29" s="366"/>
      <c r="W29" s="367"/>
      <c r="X29" s="291"/>
      <c r="Z29" s="506"/>
      <c r="AA29" s="506" t="str">
        <f>IF(M29="","",M29)</f>
        <v>Добавить схему подключения</v>
      </c>
      <c r="AB29" s="506"/>
      <c r="AC29" s="506"/>
    </row>
    <row customHeight="1" ht="14.25">
      <c r="A30" s="1296" t="s">
        <v>2362</v>
      </c>
      <c r="B30" s="1296" t="s">
        <v>2363</v>
      </c>
      <c r="C30" s="1296" t="s">
        <v>2364</v>
      </c>
      <c r="D30" s="1296"/>
      <c r="E30" s="1296" t="s">
        <v>793</v>
      </c>
      <c r="F30" s="694"/>
      <c r="G30" s="694"/>
      <c r="H30" s="515"/>
      <c r="I30" s="356"/>
      <c r="J30" s="376"/>
      <c r="K30" s="351"/>
      <c r="L30" s="1309"/>
      <c r="M30" s="1298"/>
      <c r="N30" s="1299"/>
      <c r="O30" s="1299"/>
      <c r="P30" s="1299"/>
      <c r="Q30" s="1299"/>
      <c r="R30" s="1299"/>
      <c r="S30" s="1299"/>
      <c r="T30" s="1299"/>
      <c r="U30" s="1299"/>
      <c r="V30" s="1300"/>
      <c r="W30" s="1299"/>
      <c r="X30" s="1301"/>
      <c r="Z30" s="506"/>
      <c r="AA30" s="506" t="str">
        <f>IF(M30="","",M30)</f>
        <v/>
      </c>
      <c r="AB30" s="506"/>
      <c r="AC30" s="506"/>
    </row>
    <row customHeight="1" ht="14.25">
      <c r="A31" s="1296" t="s">
        <v>2362</v>
      </c>
      <c r="B31" s="1296" t="s">
        <v>2363</v>
      </c>
      <c r="C31" s="1296"/>
      <c r="D31" s="1296"/>
      <c r="E31" s="1296" t="s">
        <v>2353</v>
      </c>
      <c r="F31" s="1283"/>
      <c r="G31" s="1283"/>
      <c r="H31" s="515"/>
      <c r="I31" s="354"/>
      <c r="J31" s="376"/>
      <c r="K31" s="355"/>
      <c r="L31" s="1309"/>
      <c r="M31" s="1302"/>
      <c r="N31" s="1299"/>
      <c r="O31" s="1299"/>
      <c r="P31" s="1299"/>
      <c r="Q31" s="1299"/>
      <c r="R31" s="1299"/>
      <c r="S31" s="1299"/>
      <c r="T31" s="1299"/>
      <c r="U31" s="1299"/>
      <c r="V31" s="1300"/>
      <c r="W31" s="1299"/>
      <c r="X31" s="1301"/>
      <c r="Z31" s="506"/>
      <c r="AA31" s="506" t="str">
        <f>IF(M31="","",M31)</f>
        <v/>
      </c>
      <c r="AB31" s="506"/>
      <c r="AC31" s="506"/>
    </row>
    <row customHeight="1" ht="14.25">
      <c r="A32" s="1296" t="s">
        <v>2366</v>
      </c>
      <c r="B32" s="1296"/>
      <c r="C32" s="1296"/>
      <c r="D32" s="1296"/>
      <c r="E32" s="1296" t="s">
        <v>188</v>
      </c>
      <c r="F32" s="1283"/>
      <c r="G32" s="1283"/>
      <c r="H32" s="515"/>
      <c r="I32" s="356"/>
      <c r="J32" s="376"/>
      <c r="K32" s="351"/>
      <c r="L32" s="1309"/>
      <c r="M32" s="1303"/>
      <c r="N32" s="1299"/>
      <c r="O32" s="1299"/>
      <c r="P32" s="1299"/>
      <c r="Q32" s="1299"/>
      <c r="R32" s="1299"/>
      <c r="S32" s="1299"/>
      <c r="T32" s="1299"/>
      <c r="U32" s="1299"/>
      <c r="V32" s="1300"/>
      <c r="W32" s="1299"/>
      <c r="X32" s="1301"/>
      <c r="Z32" s="506"/>
      <c r="AA32" s="506" t="str">
        <f>IF(M32="","",M32)</f>
        <v/>
      </c>
      <c r="AB32" s="506"/>
      <c r="AC32" s="506"/>
    </row>
    <row s="13084" customFormat="1" customHeight="1" ht="11.25">
      <c r="A33" s="1296"/>
      <c r="B33" s="1296"/>
      <c r="C33" s="1296"/>
      <c r="D33" s="1296"/>
      <c r="E33" s="1296" t="s">
        <v>398</v>
      </c>
      <c r="F33" s="1297"/>
      <c r="G33" s="1284"/>
      <c r="H33" s="515"/>
      <c r="L33" s="1310"/>
      <c r="M33" s="1304"/>
      <c r="N33" s="1299"/>
      <c r="O33" s="1299"/>
      <c r="P33" s="1299"/>
      <c r="Q33" s="1299"/>
      <c r="R33" s="1299"/>
      <c r="S33" s="1299"/>
      <c r="T33" s="1299"/>
      <c r="U33" s="1299"/>
      <c r="V33" s="1300"/>
      <c r="W33" s="1299"/>
      <c r="X33" s="1301"/>
      <c r="Y33" s="383"/>
      <c r="Z33" s="383"/>
      <c r="AA33" s="383"/>
      <c r="AB33" s="383"/>
      <c r="AC33" s="383"/>
    </row>
    <row customHeight="1" ht="11.25">
      <c r="F34" s="1163"/>
      <c r="G34" s="1163"/>
      <c r="H34" s="515"/>
      <c r="I34" s="1163"/>
      <c r="J34" s="1163"/>
      <c r="K34" s="1163"/>
      <c r="Y34" s="1163"/>
      <c r="Z34" s="1163"/>
      <c r="AA34" s="1163"/>
      <c r="AB34" s="1163"/>
      <c r="AC34" s="1163"/>
    </row>
    <row customHeight="1" ht="27">
      <c r="H35" s="515"/>
      <c r="L35" s="1318" t="s">
        <v>925</v>
      </c>
      <c r="M35" s="2106" t="s">
        <v>2355</v>
      </c>
      <c r="N35" s="2106"/>
      <c r="O35" s="2106"/>
      <c r="P35" s="2106"/>
      <c r="Q35" s="2106"/>
      <c r="R35" s="2106"/>
      <c r="S35" s="2106"/>
      <c r="T35" s="2106"/>
      <c r="U35" s="2106"/>
      <c r="V35" s="2106"/>
      <c r="W35" s="2106"/>
      <c r="X35" s="2106"/>
    </row>
    <row customHeight="1" ht="104.25">
      <c r="F36" s="1333"/>
      <c r="G36" s="1333"/>
      <c r="H36" s="515"/>
      <c r="I36" s="1333"/>
      <c r="M36" s="2106" t="s">
        <v>2356</v>
      </c>
      <c r="N36" s="2106"/>
      <c r="O36" s="2106"/>
      <c r="P36" s="2106"/>
      <c r="Q36" s="2106"/>
      <c r="R36" s="2106"/>
      <c r="S36" s="2106"/>
      <c r="T36" s="2106"/>
      <c r="U36" s="2106"/>
      <c r="V36" s="2106"/>
      <c r="W36" s="2106"/>
      <c r="X36" s="2106"/>
    </row>
    <row customHeight="1" ht="14.25">
      <c r="H37" s="515"/>
    </row>
    <row customHeight="1" ht="14.25">
      <c r="H38" s="515"/>
    </row>
    <row customHeight="1" ht="14.25">
      <c r="H39" s="515"/>
    </row>
    <row customHeight="1" ht="14.25">
      <c r="H40" s="515"/>
    </row>
  </sheetData>
  <sheetProtection formatColumns="0" formatRows="0" autoFilter="0" sort="0" insertRows="0" insertColumns="1" deleteRows="0" deleteColumns="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B9104A-01BA-C181-D3E9-572A6B5A0EF2}" mc:Ignorable="x14ac xr xr2 xr3">
  <sheetPr>
    <tabColor theme="6" tint="0.4"/>
  </sheetPr>
  <dimension ref="A1:AC32"/>
  <sheetViews>
    <sheetView topLeftCell="A1" showGridLines="0" workbookViewId="0">
      <selection activeCell="A1" sqref="A1"/>
    </sheetView>
  </sheetViews>
  <sheetFormatPr defaultColWidth="10.57421875" customHeight="1" defaultRowHeight="14.25"/>
  <cols>
    <col min="1" max="6" style="2612" width="10.57421875"/>
    <col min="7" max="8" style="3601" width="9.140625" customWidth="1"/>
    <col min="9" max="9" style="3410" width="3.7109375" customWidth="1"/>
    <col min="10" max="11" style="3411" width="3.7109375" customWidth="1"/>
    <col min="12" max="12" style="2984" width="12.7109375" customWidth="1"/>
    <col min="13" max="13" style="2984" width="47.421875" customWidth="1"/>
    <col min="14" max="14" style="2984" width="2.7109375" hidden="1" customWidth="1"/>
    <col min="15" max="18" style="2984" width="23.7109375" customWidth="1"/>
    <col min="19" max="19" style="2984" width="11.7109375" customWidth="1"/>
    <col min="20" max="20" style="2984" width="3.7109375" customWidth="1"/>
    <col min="21" max="21" style="2984" width="11.7109375" customWidth="1"/>
    <col min="22" max="22" style="2984" width="8.57421875" hidden="1" customWidth="1"/>
    <col min="23" max="23" style="2984" width="4.7109375" customWidth="1"/>
    <col min="24" max="24" style="2984" width="115.7109375" customWidth="1"/>
    <col min="25" max="29" style="2612" width="10.57421875"/>
  </cols>
  <sheetData>
    <row customHeight="1" ht="14.25" hidden="1"/>
    <row customHeight="1" ht="14.25" hidden="1"/>
    <row customHeight="1" ht="14.25" hidden="1"/>
    <row customHeight="1" ht="14.25">
      <c r="J4" s="377"/>
      <c r="K4" s="377"/>
      <c r="L4" s="361"/>
      <c r="M4" s="361"/>
      <c r="N4" s="361"/>
      <c r="O4" s="515"/>
      <c r="P4" s="515"/>
      <c r="Q4" s="515"/>
      <c r="R4" s="515"/>
      <c r="S4" s="515"/>
      <c r="T4" s="515"/>
      <c r="U4" s="515"/>
      <c r="V4" s="361"/>
    </row>
    <row customHeight="1" ht="14.25">
      <c r="J5" s="377"/>
      <c r="K5" s="377"/>
      <c r="L5" s="2448" t="s">
        <v>2367</v>
      </c>
      <c r="M5" s="2448"/>
      <c r="N5" s="2448"/>
      <c r="O5" s="2448"/>
      <c r="P5" s="2448"/>
      <c r="Q5" s="2448"/>
      <c r="R5" s="2448"/>
      <c r="S5" s="2448"/>
      <c r="T5" s="2448"/>
      <c r="U5" s="264"/>
      <c r="V5" s="264"/>
    </row>
    <row customHeight="1" ht="14.25">
      <c r="J6" s="377"/>
      <c r="K6" s="377"/>
      <c r="L6" s="361"/>
      <c r="M6" s="361"/>
      <c r="N6" s="361"/>
      <c r="O6" s="316"/>
      <c r="P6" s="316"/>
      <c r="Q6" s="316"/>
      <c r="R6" s="316"/>
      <c r="S6" s="316"/>
      <c r="T6" s="316"/>
      <c r="U6" s="361"/>
    </row>
    <row s="3345" customFormat="1" customHeight="1" ht="22.5">
      <c r="A7" s="368"/>
      <c r="B7" s="368"/>
      <c r="C7" s="368"/>
      <c r="D7" s="368"/>
      <c r="E7" s="368"/>
      <c r="F7" s="368"/>
      <c r="G7" s="368"/>
      <c r="H7" s="368"/>
      <c r="L7" s="265"/>
      <c r="M7" s="283" t="s">
        <v>38</v>
      </c>
      <c r="N7" s="292"/>
      <c r="O7" s="2449">
        <f>IF(NameOrPr_ch="",IF(NameOrPr="","",NameOrPr),NameOrPr_ch)</f>
      </c>
      <c r="P7" s="2450"/>
      <c r="Q7" s="2450"/>
      <c r="R7" s="2450"/>
      <c r="S7" s="2450"/>
      <c r="T7" s="2451"/>
      <c r="U7" s="1266"/>
      <c r="Y7" s="368"/>
      <c r="Z7" s="368"/>
      <c r="AA7" s="368"/>
      <c r="AB7" s="368"/>
      <c r="AC7" s="368"/>
    </row>
    <row s="3345" customFormat="1" customHeight="1" ht="18.75">
      <c r="A8" s="368"/>
      <c r="B8" s="368"/>
      <c r="C8" s="368"/>
      <c r="D8" s="368"/>
      <c r="E8" s="368"/>
      <c r="F8" s="368"/>
      <c r="G8" s="368"/>
      <c r="H8" s="368"/>
      <c r="L8" s="265"/>
      <c r="M8" s="283" t="s">
        <v>635</v>
      </c>
      <c r="N8" s="292"/>
      <c r="O8" s="2449">
        <f>IF(datePr_ch="",IF(datePr="","",datePr),datePr_ch)</f>
      </c>
      <c r="P8" s="2450"/>
      <c r="Q8" s="2450"/>
      <c r="R8" s="2450"/>
      <c r="S8" s="2450"/>
      <c r="T8" s="2451"/>
      <c r="U8" s="1266"/>
      <c r="Y8" s="368"/>
      <c r="Z8" s="368"/>
      <c r="AA8" s="368"/>
      <c r="AB8" s="368"/>
      <c r="AC8" s="368"/>
    </row>
    <row s="3345" customFormat="1" customHeight="1" ht="18.75">
      <c r="A9" s="368"/>
      <c r="B9" s="368"/>
      <c r="C9" s="368"/>
      <c r="D9" s="368"/>
      <c r="E9" s="368"/>
      <c r="F9" s="368"/>
      <c r="G9" s="368"/>
      <c r="H9" s="368"/>
      <c r="L9" s="318"/>
      <c r="M9" s="283" t="s">
        <v>636</v>
      </c>
      <c r="N9" s="292"/>
      <c r="O9" s="2449">
        <f>IF(numberPr_ch="",IF(numberPr="","",numberPr),numberPr_ch)</f>
      </c>
      <c r="P9" s="2450"/>
      <c r="Q9" s="2450"/>
      <c r="R9" s="2450"/>
      <c r="S9" s="2450"/>
      <c r="T9" s="2451"/>
      <c r="U9" s="1266"/>
      <c r="Y9" s="368"/>
      <c r="Z9" s="368"/>
      <c r="AA9" s="368"/>
      <c r="AB9" s="368"/>
      <c r="AC9" s="368"/>
    </row>
    <row s="3345" customFormat="1" customHeight="1" ht="18.75">
      <c r="A10" s="368"/>
      <c r="B10" s="368"/>
      <c r="C10" s="368"/>
      <c r="D10" s="368"/>
      <c r="E10" s="368"/>
      <c r="F10" s="368"/>
      <c r="G10" s="368"/>
      <c r="H10" s="368"/>
      <c r="L10" s="318"/>
      <c r="M10" s="283" t="s">
        <v>40</v>
      </c>
      <c r="N10" s="292"/>
      <c r="O10" s="2449">
        <f>IF(IstPub_ch="",IF(IstPub="","",IstPub),IstPub_ch)</f>
      </c>
      <c r="P10" s="2450"/>
      <c r="Q10" s="2450"/>
      <c r="R10" s="2450"/>
      <c r="S10" s="2450"/>
      <c r="T10" s="2451"/>
      <c r="U10" s="1266"/>
      <c r="Y10" s="368"/>
      <c r="Z10" s="368"/>
      <c r="AA10" s="368"/>
      <c r="AB10" s="368"/>
      <c r="AC10" s="368"/>
    </row>
    <row s="2855" customFormat="1" customHeight="1" ht="18.75" hidden="1">
      <c r="A11" s="1270"/>
      <c r="B11" s="1270"/>
      <c r="C11" s="1270"/>
      <c r="D11" s="1270"/>
      <c r="E11" s="1270"/>
      <c r="F11" s="1270"/>
      <c r="G11" s="1270"/>
      <c r="H11" s="1270"/>
      <c r="L11" s="318"/>
      <c r="M11" s="315"/>
      <c r="O11" s="1271"/>
      <c r="P11" s="1271"/>
      <c r="Q11" s="368" t="s">
        <v>2368</v>
      </c>
      <c r="R11" s="368" t="s">
        <v>2369</v>
      </c>
      <c r="S11" s="1271"/>
      <c r="T11" s="1271"/>
      <c r="U11" s="1266"/>
      <c r="Y11" s="1270"/>
      <c r="Z11" s="1270"/>
      <c r="AA11" s="1270"/>
      <c r="AB11" s="1270"/>
      <c r="AC11" s="1270"/>
    </row>
    <row s="3345" customFormat="1" customHeight="1" ht="11.25" hidden="1">
      <c r="A12" s="368"/>
      <c r="B12" s="368"/>
      <c r="C12" s="368"/>
      <c r="D12" s="368"/>
      <c r="E12" s="368"/>
      <c r="F12" s="368"/>
      <c r="G12" s="368"/>
      <c r="H12" s="368"/>
      <c r="L12" s="2440"/>
      <c r="M12" s="2440"/>
      <c r="N12" s="1233"/>
      <c r="O12" s="322"/>
      <c r="P12" s="322"/>
      <c r="Q12" s="322"/>
      <c r="R12" s="322"/>
      <c r="S12" s="322"/>
      <c r="T12" s="322"/>
      <c r="U12" s="1269"/>
      <c r="V12" s="266" t="s">
        <v>639</v>
      </c>
      <c r="Y12" s="368"/>
      <c r="Z12" s="368"/>
      <c r="AA12" s="368"/>
      <c r="AB12" s="368"/>
      <c r="AC12" s="368"/>
    </row>
    <row customHeight="1" ht="14.25">
      <c r="J13" s="377"/>
      <c r="K13" s="377"/>
      <c r="L13" s="361"/>
      <c r="M13" s="361"/>
      <c r="N13" s="361"/>
      <c r="O13" s="1272"/>
      <c r="P13" s="1272"/>
      <c r="Q13" s="2446"/>
      <c r="R13" s="2446"/>
      <c r="S13" s="2446"/>
      <c r="T13" s="2446"/>
      <c r="U13" s="2446"/>
      <c r="V13" s="2446"/>
    </row>
    <row customHeight="1" ht="14.25">
      <c r="J14" s="377"/>
      <c r="K14" s="377"/>
      <c r="L14" s="1971" t="s">
        <v>513</v>
      </c>
      <c r="M14" s="1971"/>
      <c r="N14" s="1971"/>
      <c r="O14" s="1971"/>
      <c r="P14" s="1971"/>
      <c r="Q14" s="1971"/>
      <c r="R14" s="1971"/>
      <c r="S14" s="1971"/>
      <c r="T14" s="1971"/>
      <c r="U14" s="1971"/>
      <c r="V14" s="1971"/>
      <c r="W14" s="1971"/>
      <c r="X14" s="1971" t="s">
        <v>514</v>
      </c>
    </row>
    <row customHeight="1" ht="14.25">
      <c r="J15" s="377"/>
      <c r="K15" s="377"/>
      <c r="L15" s="2062" t="s">
        <v>89</v>
      </c>
      <c r="M15" s="2062" t="s">
        <v>2370</v>
      </c>
      <c r="N15" s="1232"/>
      <c r="O15" s="2062" t="s">
        <v>2371</v>
      </c>
      <c r="P15" s="2061" t="s">
        <v>2372</v>
      </c>
      <c r="Q15" s="2061" t="s">
        <v>2352</v>
      </c>
      <c r="R15" s="2061"/>
      <c r="S15" s="2061"/>
      <c r="T15" s="2061"/>
      <c r="U15" s="2061"/>
      <c r="V15" s="2062" t="s">
        <v>642</v>
      </c>
      <c r="W15" s="2447" t="s">
        <v>1283</v>
      </c>
      <c r="X15" s="1971"/>
    </row>
    <row customHeight="1" ht="25.5">
      <c r="J16" s="377"/>
      <c r="K16" s="377"/>
      <c r="L16" s="2062"/>
      <c r="M16" s="2062"/>
      <c r="N16" s="1232"/>
      <c r="O16" s="2062"/>
      <c r="P16" s="2061"/>
      <c r="Q16" s="2061" t="s">
        <v>2373</v>
      </c>
      <c r="R16" s="2061"/>
      <c r="S16" s="2153" t="s">
        <v>660</v>
      </c>
      <c r="T16" s="2153"/>
      <c r="U16" s="2153"/>
      <c r="V16" s="2062"/>
      <c r="W16" s="2447"/>
      <c r="X16" s="1971"/>
    </row>
    <row customHeight="1" ht="14.25">
      <c r="J17" s="377"/>
      <c r="K17" s="377"/>
      <c r="L17" s="2062"/>
      <c r="M17" s="2062"/>
      <c r="N17" s="1232"/>
      <c r="O17" s="2062"/>
      <c r="P17" s="2061"/>
      <c r="Q17" s="1232" t="s">
        <v>693</v>
      </c>
      <c r="R17" s="1232" t="s">
        <v>694</v>
      </c>
      <c r="S17" s="1236" t="s">
        <v>658</v>
      </c>
      <c r="T17" s="2444" t="s">
        <v>659</v>
      </c>
      <c r="U17" s="2444"/>
      <c r="V17" s="2062"/>
      <c r="W17" s="2447"/>
      <c r="X17" s="1971"/>
    </row>
    <row customHeight="1" ht="14.25">
      <c r="J18" s="377"/>
      <c r="K18" s="279">
        <v>1</v>
      </c>
      <c r="L18" s="454" t="s">
        <v>193</v>
      </c>
      <c r="M18" s="454" t="s">
        <v>104</v>
      </c>
      <c r="N18" s="1268" t="s">
        <v>104</v>
      </c>
      <c r="O18" s="1234">
        <f>OFFSET(O18,0,-1)+1</f>
        <v>3</v>
      </c>
      <c r="P18" s="1234">
        <f>OFFSET(P18,0,-1)+1</f>
        <v>4</v>
      </c>
      <c r="Q18" s="1234">
        <f>OFFSET(Q18,0,-1)+1</f>
        <v>5</v>
      </c>
      <c r="R18" s="1234">
        <f>OFFSET(R18,0,-1)+1</f>
        <v>6</v>
      </c>
      <c r="S18" s="1234">
        <f>OFFSET(S18,0,-1)+1</f>
        <v>7</v>
      </c>
      <c r="T18" s="2445">
        <f>OFFSET(T18,0,-1)+1</f>
        <v>8</v>
      </c>
      <c r="U18" s="2445"/>
      <c r="V18" s="1234">
        <f>OFFSET(V18,0,-2)+1</f>
        <v>9</v>
      </c>
      <c r="X18" s="1234">
        <f>OFFSET(X18,0,-2)+1</f>
        <v>10</v>
      </c>
    </row>
    <row customHeight="1" ht="22.5">
      <c r="A19" s="2111">
        <v>1</v>
      </c>
      <c r="B19" s="524"/>
      <c r="C19" s="524"/>
      <c r="D19" s="524"/>
      <c r="E19" s="524"/>
      <c r="F19" s="524"/>
      <c r="G19" s="384"/>
      <c r="H19" s="384"/>
      <c r="I19" s="357"/>
      <c r="J19" s="377"/>
      <c r="K19" s="377"/>
      <c r="L19" s="1241">
        <f>MERGEVALUE(A19)</f>
      </c>
      <c r="M19" s="286" t="s">
        <v>204</v>
      </c>
      <c r="N19" s="305"/>
      <c r="O19" s="2331"/>
      <c r="P19" s="2331"/>
      <c r="Q19" s="2331"/>
      <c r="R19" s="2331"/>
      <c r="S19" s="2331"/>
      <c r="T19" s="2331"/>
      <c r="U19" s="2331"/>
      <c r="V19" s="2331"/>
      <c r="W19" s="2331"/>
      <c r="X19" s="341" t="s">
        <v>611</v>
      </c>
    </row>
    <row customHeight="1" ht="22.5">
      <c r="A20" s="2111"/>
      <c r="B20" s="2111">
        <v>1</v>
      </c>
      <c r="C20" s="524"/>
      <c r="D20" s="524"/>
      <c r="E20" s="524"/>
      <c r="F20" s="524"/>
      <c r="G20" s="386"/>
      <c r="H20" s="1235"/>
      <c r="I20" s="359"/>
      <c r="J20" s="1242"/>
      <c r="K20" s="1163"/>
      <c r="L20" s="1241">
        <f>MERGEVALUE(A20)&amp;"."&amp;MERGEVALUE(B20)</f>
      </c>
      <c r="M20" s="298" t="s">
        <v>612</v>
      </c>
      <c r="N20" s="305"/>
      <c r="O20" s="2331"/>
      <c r="P20" s="2331"/>
      <c r="Q20" s="2331"/>
      <c r="R20" s="2331"/>
      <c r="S20" s="2331"/>
      <c r="T20" s="2331"/>
      <c r="U20" s="2331"/>
      <c r="V20" s="2331"/>
      <c r="W20" s="2331"/>
      <c r="X20" s="341" t="s">
        <v>613</v>
      </c>
    </row>
    <row customHeight="1" ht="22.5">
      <c r="A21" s="2111"/>
      <c r="B21" s="2111"/>
      <c r="C21" s="2111">
        <v>1</v>
      </c>
      <c r="D21" s="524"/>
      <c r="E21" s="524"/>
      <c r="F21" s="524"/>
      <c r="G21" s="386"/>
      <c r="H21" s="1235"/>
      <c r="I21" s="360"/>
      <c r="J21" s="1242"/>
      <c r="K21" s="1163"/>
      <c r="L21" s="1241">
        <f>MERGEVALUE(A21)&amp;"."&amp;MERGEVALUE(B21)&amp;"."&amp;MERGEVALUE(C21)</f>
      </c>
      <c r="M21" s="299" t="s">
        <v>614</v>
      </c>
      <c r="N21" s="305"/>
      <c r="O21" s="2331"/>
      <c r="P21" s="2331"/>
      <c r="Q21" s="2331"/>
      <c r="R21" s="2331"/>
      <c r="S21" s="2331"/>
      <c r="T21" s="2331"/>
      <c r="U21" s="2331"/>
      <c r="V21" s="2331"/>
      <c r="W21" s="2331"/>
      <c r="X21" s="341" t="s">
        <v>615</v>
      </c>
    </row>
    <row customHeight="1" ht="14.25">
      <c r="A22" s="2111"/>
      <c r="B22" s="2111"/>
      <c r="C22" s="2111"/>
      <c r="D22" s="2111">
        <v>1</v>
      </c>
      <c r="E22" s="524"/>
      <c r="F22" s="524"/>
      <c r="G22" s="386"/>
      <c r="H22" s="1235"/>
      <c r="I22" s="360"/>
      <c r="J22" s="358"/>
      <c r="K22" s="1163"/>
      <c r="L22" s="1241">
        <f>MERGEVALUE(A22)&amp;"."&amp;MERGEVALUE(B22)&amp;"."&amp;MERGEVALUE(C22)&amp;"."&amp;MERGEVALUE(D22)</f>
      </c>
      <c r="M22" s="300" t="s">
        <v>616</v>
      </c>
      <c r="N22" s="305"/>
      <c r="O22" s="2331"/>
      <c r="P22" s="2331"/>
      <c r="Q22" s="2331"/>
      <c r="R22" s="2331"/>
      <c r="S22" s="2331"/>
      <c r="T22" s="2331"/>
      <c r="U22" s="2331"/>
      <c r="V22" s="2331"/>
      <c r="W22" s="2331"/>
      <c r="X22" s="333" t="s">
        <v>2374</v>
      </c>
    </row>
    <row customHeight="1" ht="22.5">
      <c r="A23" s="2111"/>
      <c r="B23" s="2111"/>
      <c r="C23" s="2111"/>
      <c r="D23" s="2111"/>
      <c r="E23" s="524">
        <v>1</v>
      </c>
      <c r="F23" s="524"/>
      <c r="G23" s="386"/>
      <c r="H23" s="1235"/>
      <c r="I23" s="360"/>
      <c r="J23" s="358"/>
      <c r="K23" s="457"/>
      <c r="L23" s="1241">
        <f>MERGEVALUE(A23)&amp;"."&amp;MERGEVALUE(B23)&amp;"."&amp;MERGEVALUE(C23)&amp;"."&amp;MERGEVALUE(D23)&amp;"."&amp;MERGEVALUE(E23)</f>
      </c>
      <c r="M23" s="379"/>
      <c r="N23" s="1238"/>
      <c r="O23" s="381"/>
      <c r="P23" s="382"/>
      <c r="Q23" s="293"/>
      <c r="R23" s="293"/>
      <c r="S23" s="1774"/>
      <c r="T23" s="1230" t="s">
        <v>58</v>
      </c>
      <c r="U23" s="1274"/>
      <c r="V23" s="1230" t="s">
        <v>58</v>
      </c>
      <c r="W23" s="1275"/>
      <c r="X23" s="2015" t="s">
        <v>2375</v>
      </c>
      <c r="Y23" s="517">
        <f>STRCHECKDATETWO(N23:W23)</f>
      </c>
    </row>
    <row customHeight="1" ht="14.25" hidden="1">
      <c r="A24" s="2111"/>
      <c r="B24" s="2111"/>
      <c r="C24" s="2111"/>
      <c r="D24" s="2111"/>
      <c r="E24" s="524"/>
      <c r="F24" s="524"/>
      <c r="G24" s="386"/>
      <c r="H24" s="1235"/>
      <c r="I24" s="360"/>
      <c r="J24" s="358"/>
      <c r="K24" s="457"/>
      <c r="L24" s="1240"/>
      <c r="M24" s="301"/>
      <c r="N24" s="288"/>
      <c r="O24" s="288"/>
      <c r="P24" s="288"/>
      <c r="Q24" s="288"/>
      <c r="R24" s="324" t="str">
        <f>S23&amp;"-"&amp;U23</f>
        <v>-</v>
      </c>
      <c r="S24" s="309"/>
      <c r="T24" s="306"/>
      <c r="U24" s="309"/>
      <c r="V24" s="288"/>
      <c r="W24" s="1276"/>
      <c r="X24" s="2016"/>
    </row>
    <row customHeight="1" ht="14.25">
      <c r="A25" s="2111"/>
      <c r="B25" s="2111"/>
      <c r="C25" s="2111"/>
      <c r="D25" s="2111"/>
      <c r="E25" s="524"/>
      <c r="F25" s="524"/>
      <c r="G25" s="386"/>
      <c r="H25" s="1235"/>
      <c r="I25" s="360"/>
      <c r="J25" s="358"/>
      <c r="K25" s="457"/>
      <c r="L25" s="297"/>
      <c r="M25" s="364" t="s">
        <v>682</v>
      </c>
      <c r="N25" s="363"/>
      <c r="O25" s="317"/>
      <c r="P25" s="317"/>
      <c r="Q25" s="317"/>
      <c r="R25" s="317"/>
      <c r="S25" s="321"/>
      <c r="T25" s="367"/>
      <c r="U25" s="366"/>
      <c r="V25" s="363"/>
      <c r="W25" s="363"/>
      <c r="X25" s="2017"/>
    </row>
    <row s="13084" customFormat="1" customHeight="1" ht="14.25">
      <c r="A26" s="2111"/>
      <c r="B26" s="2111"/>
      <c r="C26" s="2111"/>
      <c r="D26" s="385"/>
      <c r="E26" s="385"/>
      <c r="F26" s="385"/>
      <c r="G26" s="386"/>
      <c r="H26" s="385"/>
      <c r="I26" s="360"/>
      <c r="J26" s="376"/>
      <c r="K26" s="378"/>
      <c r="L26" s="297"/>
      <c r="M26" s="372" t="s">
        <v>793</v>
      </c>
      <c r="N26" s="363"/>
      <c r="O26" s="317"/>
      <c r="P26" s="317"/>
      <c r="Q26" s="317"/>
      <c r="R26" s="317"/>
      <c r="S26" s="321"/>
      <c r="T26" s="367"/>
      <c r="U26" s="366"/>
      <c r="V26" s="363"/>
      <c r="W26" s="367"/>
      <c r="X26" s="1277"/>
      <c r="Y26" s="383"/>
      <c r="Z26" s="383"/>
      <c r="AA26" s="383"/>
      <c r="AB26" s="383"/>
      <c r="AC26" s="383"/>
    </row>
    <row s="13084" customFormat="1" customHeight="1" ht="14.25">
      <c r="A27" s="2111"/>
      <c r="B27" s="2111"/>
      <c r="C27" s="385"/>
      <c r="D27" s="385"/>
      <c r="E27" s="385"/>
      <c r="F27" s="385"/>
      <c r="G27" s="386"/>
      <c r="H27" s="385"/>
      <c r="I27" s="356"/>
      <c r="J27" s="376"/>
      <c r="K27" s="378"/>
      <c r="L27" s="297"/>
      <c r="M27" s="363" t="s">
        <v>2353</v>
      </c>
      <c r="N27" s="363"/>
      <c r="O27" s="317"/>
      <c r="P27" s="317"/>
      <c r="Q27" s="317"/>
      <c r="R27" s="317"/>
      <c r="S27" s="321"/>
      <c r="T27" s="367"/>
      <c r="U27" s="366"/>
      <c r="V27" s="363"/>
      <c r="W27" s="367"/>
      <c r="X27" s="319"/>
      <c r="Y27" s="383"/>
      <c r="Z27" s="383"/>
      <c r="AA27" s="383"/>
      <c r="AB27" s="383"/>
      <c r="AC27" s="383"/>
    </row>
    <row s="13084" customFormat="1" customHeight="1" ht="14.25">
      <c r="A28" s="2111"/>
      <c r="B28" s="385"/>
      <c r="C28" s="385"/>
      <c r="D28" s="385"/>
      <c r="E28" s="385"/>
      <c r="F28" s="385"/>
      <c r="G28" s="386"/>
      <c r="H28" s="385"/>
      <c r="I28" s="356"/>
      <c r="J28" s="376"/>
      <c r="K28" s="378"/>
      <c r="L28" s="297"/>
      <c r="M28" s="421" t="s">
        <v>188</v>
      </c>
      <c r="N28" s="363"/>
      <c r="O28" s="317"/>
      <c r="P28" s="317"/>
      <c r="Q28" s="317"/>
      <c r="R28" s="317"/>
      <c r="S28" s="321"/>
      <c r="T28" s="367"/>
      <c r="U28" s="366"/>
      <c r="V28" s="363"/>
      <c r="W28" s="367"/>
      <c r="X28" s="319"/>
      <c r="Y28" s="383"/>
      <c r="Z28" s="383"/>
      <c r="AA28" s="383"/>
      <c r="AB28" s="383"/>
      <c r="AC28" s="383"/>
    </row>
    <row s="13084" customFormat="1" customHeight="1" ht="14.25">
      <c r="G29" s="365"/>
      <c r="H29" s="378"/>
      <c r="I29" s="375"/>
      <c r="J29" s="376"/>
      <c r="L29" s="297"/>
      <c r="M29" s="422" t="s">
        <v>398</v>
      </c>
      <c r="N29" s="363"/>
      <c r="O29" s="317"/>
      <c r="P29" s="317"/>
      <c r="Q29" s="317"/>
      <c r="R29" s="317"/>
      <c r="S29" s="321"/>
      <c r="T29" s="367"/>
      <c r="U29" s="366"/>
      <c r="V29" s="363"/>
      <c r="W29" s="367"/>
      <c r="X29" s="319"/>
      <c r="Y29" s="383"/>
      <c r="Z29" s="383"/>
      <c r="AA29" s="383"/>
      <c r="AB29" s="383"/>
      <c r="AC29" s="383"/>
    </row>
    <row r="31" customHeight="1" ht="14.25">
      <c r="L31" s="49">
        <v>1</v>
      </c>
      <c r="M31" s="2106" t="s">
        <v>2376</v>
      </c>
      <c r="N31" s="2106"/>
      <c r="O31" s="2106"/>
      <c r="P31" s="2106"/>
      <c r="Q31" s="2106"/>
      <c r="R31" s="2106"/>
      <c r="S31" s="2106"/>
      <c r="T31" s="2106"/>
      <c r="U31" s="2106"/>
      <c r="V31" s="2106"/>
      <c r="W31" s="2106"/>
      <c r="X31" s="2106"/>
      <c r="Y31" s="1278"/>
      <c r="Z31" s="369"/>
      <c r="AA31" s="369"/>
      <c r="AB31" s="369"/>
      <c r="AC31" s="369"/>
    </row>
    <row customHeight="1" ht="14.25">
      <c r="M32" s="1279"/>
      <c r="N32" s="1279"/>
      <c r="O32" s="1279"/>
      <c r="P32" s="1279"/>
      <c r="Q32" s="1279"/>
      <c r="R32" s="1279"/>
      <c r="S32" s="1279"/>
      <c r="T32" s="1279"/>
      <c r="U32" s="1279"/>
      <c r="V32" s="1279"/>
      <c r="W32" s="1279"/>
      <c r="X32" s="1279"/>
      <c r="Y32" s="516"/>
      <c r="Z32" s="516"/>
      <c r="AA32" s="516"/>
      <c r="AB32" s="516"/>
      <c r="AC32" s="516"/>
    </row>
  </sheetData>
  <sheetProtection formatColumns="0" formatRows="0" autoFilter="0" sort="0" insertRows="0" insertColumns="1" deleteRows="0" deleteColumns="0"/>
  <mergeCells count="30">
    <mergeCell ref="L12:M12"/>
    <mergeCell ref="L5:T5"/>
    <mergeCell ref="O7:T7"/>
    <mergeCell ref="O8:T8"/>
    <mergeCell ref="O9:T9"/>
    <mergeCell ref="O10:T10"/>
    <mergeCell ref="Q13:V13"/>
    <mergeCell ref="L14:W14"/>
    <mergeCell ref="X14:X17"/>
    <mergeCell ref="L15:L17"/>
    <mergeCell ref="M15:M17"/>
    <mergeCell ref="O15:O17"/>
    <mergeCell ref="P15:P17"/>
    <mergeCell ref="Q15:U15"/>
    <mergeCell ref="V15:V17"/>
    <mergeCell ref="W15:W17"/>
    <mergeCell ref="A19:A28"/>
    <mergeCell ref="O19:W19"/>
    <mergeCell ref="B20:B27"/>
    <mergeCell ref="O20:W20"/>
    <mergeCell ref="C21:C26"/>
    <mergeCell ref="O21:W21"/>
    <mergeCell ref="D22:D25"/>
    <mergeCell ref="O22:W22"/>
    <mergeCell ref="X23:X25"/>
    <mergeCell ref="M31:X31"/>
    <mergeCell ref="Q16:R16"/>
    <mergeCell ref="S16:U16"/>
    <mergeCell ref="T17:U17"/>
    <mergeCell ref="T18:U18"/>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8856AD-F9CA-1AA4-3738-2B570D5B74F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CB4448-E1ED-87D9-706E-6D6A873E0D6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3CAE59-F8B4-D671-7888-867475F4DF0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3B6E3A-E309-481B-7518-2F7B8C5A948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17CD53-CFA1-403C-01C3-B1B598FD187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AA7DC5-BF6C-E848-C5FF-886FC3AB5ED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29E9AD-988E-9677-FB15-1767817AF2E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E43A54-0593-2712-4B4D-4F8809F28FA6}"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51"/>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A6643B-7947-7349-2344-B51FB9105414}" mc:Ignorable="x14ac xr xr2 xr3">
  <sheetPr>
    <tabColor theme="3" tint="0.6"/>
  </sheetPr>
  <dimension ref="A1:I58"/>
  <sheetViews>
    <sheetView topLeftCell="A1" showGridLines="0" zoomScale="90" workbookViewId="0">
      <selection activeCell="A1" sqref="A1"/>
    </sheetView>
  </sheetViews>
  <sheetFormatPr defaultColWidth="9.140625" customHeight="1" defaultRowHeight="11.25"/>
  <cols>
    <col min="1" max="1" style="3049" width="15.00390625" hidden="1" customWidth="1"/>
    <col min="2" max="2" style="3051" width="15.00390625" hidden="1" customWidth="1"/>
    <col min="3" max="3" style="3130" width="3.7109375" customWidth="1"/>
    <col min="4" max="4" style="3131" width="6.8515625" customWidth="1"/>
    <col min="5" max="5" style="3130" width="52.28125" customWidth="1"/>
    <col min="6" max="6" style="3130" width="48.8515625" customWidth="1"/>
    <col min="7" max="7" style="3130" width="121.7109375" customWidth="1"/>
    <col min="8" max="8" style="3130" width="9.140625"/>
    <col min="9" max="9" style="3130" width="65.00390625" customWidth="1"/>
  </cols>
  <sheetData>
    <row customHeight="1" ht="11.25" hidden="1">
      <c r="A1" s="1726" t="s">
        <v>512</v>
      </c>
    </row>
    <row customHeight="1" ht="11.25" hidden="1"/>
    <row s="3050" customFormat="1" customHeight="1" ht="11.25">
      <c r="A3" s="1726"/>
      <c r="B3" s="507"/>
      <c r="D3" s="484"/>
    </row>
    <row customHeight="1" ht="25.5">
      <c r="D4" s="201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020"/>
      <c r="F4" s="2021"/>
      <c r="I4" s="721"/>
    </row>
    <row customHeight="1" ht="17.25">
      <c r="D5" s="2053" t="str">
        <f>IF(org=0,"Не определено",org)</f>
        <v>АО "Мурманэнергосбыт"</v>
      </c>
      <c r="E5" s="2053"/>
      <c r="F5" s="2053"/>
      <c r="I5" s="721"/>
    </row>
    <row s="3050" customFormat="1" customHeight="1" ht="11.25">
      <c r="A6" s="1726"/>
      <c r="B6" s="507"/>
      <c r="D6" s="720"/>
      <c r="E6" s="720"/>
      <c r="F6" s="758"/>
      <c r="G6" s="720"/>
    </row>
    <row customHeight="1" ht="11.25" hidden="1">
      <c r="A7" s="463"/>
      <c r="B7" s="508"/>
      <c r="C7" s="463"/>
      <c r="D7" s="469"/>
      <c r="E7" s="2060"/>
      <c r="F7" s="2060"/>
    </row>
    <row customHeight="1" ht="11.25">
      <c r="A8" s="463"/>
      <c r="B8" s="508"/>
      <c r="C8" s="463"/>
      <c r="D8" s="2056" t="s">
        <v>513</v>
      </c>
      <c r="E8" s="2057"/>
      <c r="F8" s="2057"/>
      <c r="G8" s="2061" t="s">
        <v>514</v>
      </c>
    </row>
    <row customHeight="1" ht="11.25">
      <c r="A9" s="463"/>
      <c r="B9" s="508"/>
      <c r="C9" s="463"/>
      <c r="D9" s="478" t="s">
        <v>89</v>
      </c>
      <c r="E9" s="452" t="s">
        <v>515</v>
      </c>
      <c r="F9" s="452" t="s">
        <v>516</v>
      </c>
      <c r="G9" s="2062"/>
    </row>
    <row customHeight="1" ht="12" hidden="1">
      <c r="A10" s="463"/>
      <c r="B10" s="508"/>
      <c r="C10" s="463"/>
      <c r="D10" s="470"/>
      <c r="E10" s="470"/>
      <c r="F10" s="470"/>
      <c r="G10" s="470"/>
    </row>
    <row customHeight="1" ht="22.5" hidden="1">
      <c r="A11" s="463"/>
      <c r="B11" s="508"/>
      <c r="C11" s="463"/>
      <c r="D11" s="1016" t="s">
        <v>193</v>
      </c>
      <c r="E11" s="1019" t="s">
        <v>517</v>
      </c>
      <c r="F11" s="1018" t="str">
        <f>IF(region_name="","",region_name)</f>
        <v>Мурманская область</v>
      </c>
      <c r="G11" s="1019" t="s">
        <v>518</v>
      </c>
      <c r="H11" s="481"/>
    </row>
    <row customHeight="1" ht="22.5" hidden="1">
      <c r="A12" s="463"/>
      <c r="B12" s="508"/>
      <c r="C12" s="463"/>
      <c r="D12" s="451" t="s">
        <v>193</v>
      </c>
      <c r="E12" s="4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49" t="s">
        <v>519</v>
      </c>
      <c r="G12" s="480"/>
      <c r="H12" s="481"/>
    </row>
    <row customHeight="1" ht="22.5">
      <c r="A13" s="463"/>
      <c r="B13" s="508"/>
      <c r="C13" s="463"/>
      <c r="D13" s="451" t="s">
        <v>193</v>
      </c>
      <c r="E13" s="448" t="str">
        <f>"Наименование юридического лица"&amp;IF(TEMPLATE_SPHERE="TKO"," (индивидуального предпринимателя)","")</f>
        <v>Наименование юридического лица</v>
      </c>
      <c r="F13" s="447"/>
      <c r="G13" s="4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81"/>
    </row>
    <row customHeight="1" ht="22.5" hidden="1">
      <c r="A14" s="463"/>
      <c r="B14" s="508"/>
      <c r="C14" s="463"/>
      <c r="D14" s="1016" t="s">
        <v>520</v>
      </c>
      <c r="E14" s="1017" t="s">
        <v>521</v>
      </c>
      <c r="F14" s="1018" t="str">
        <f>IF(inn="","",inn)</f>
        <v>5190907139</v>
      </c>
      <c r="G14" s="1019" t="s">
        <v>522</v>
      </c>
      <c r="H14" s="481"/>
    </row>
    <row customHeight="1" ht="22.5" hidden="1">
      <c r="A15" s="463"/>
      <c r="B15" s="508"/>
      <c r="C15" s="463"/>
      <c r="D15" s="1016" t="s">
        <v>523</v>
      </c>
      <c r="E15" s="1017" t="s">
        <v>524</v>
      </c>
      <c r="F15" s="1018" t="str">
        <f>IF(kpp="","",kpp)</f>
        <v>519001001</v>
      </c>
      <c r="G15" s="1019" t="s">
        <v>525</v>
      </c>
      <c r="H15" s="481"/>
    </row>
    <row customHeight="1" ht="36.75">
      <c r="A16" s="463"/>
      <c r="B16" s="508"/>
      <c r="C16" s="463"/>
      <c r="D16" s="451" t="s">
        <v>104</v>
      </c>
      <c r="E16" s="4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7"/>
      <c r="G16" s="4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1"/>
    </row>
    <row customHeight="1" ht="22.5">
      <c r="A17" s="463"/>
      <c r="B17" s="508"/>
      <c r="C17" s="463"/>
      <c r="D17" s="451" t="s">
        <v>91</v>
      </c>
      <c r="E17" s="448" t="str">
        <f>"Дата присвоения ОГРН"&amp;IF(TEMPLATE_SPHERE="TKO",""," (ОГРНИП)")</f>
        <v>Дата присвоения ОГРН (ОГРНИП)</v>
      </c>
      <c r="F17" s="1772" t="s">
        <v>24</v>
      </c>
      <c r="G17" s="450" t="str">
        <f>"Дата присвоения ОГРН"&amp;IF(TEMPLATE_SPHERE="TKO",""," (ОГРНИП)")&amp;" указывается в виде «ДД.ММ.ГГГГ»."</f>
        <v>Дата присвоения ОГРН (ОГРНИП) указывается в виде «ДД.ММ.ГГГГ».</v>
      </c>
      <c r="H17" s="481"/>
    </row>
    <row customHeight="1" ht="56.25">
      <c r="A18" s="463"/>
      <c r="B18" s="508"/>
      <c r="C18" s="463"/>
      <c r="D18" s="451" t="s">
        <v>92</v>
      </c>
      <c r="E18" s="4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7"/>
      <c r="G18" s="480"/>
      <c r="H18" s="481"/>
    </row>
    <row customHeight="1" ht="22.5" hidden="1">
      <c r="A19" s="2058">
        <v>1</v>
      </c>
      <c r="B19" s="508"/>
      <c r="C19" s="2063"/>
      <c r="D19" s="446">
        <v>5</v>
      </c>
      <c r="E19" s="448" t="s">
        <v>526</v>
      </c>
      <c r="F19" s="449" t="s">
        <v>519</v>
      </c>
      <c r="G19" s="450" t="s">
        <v>527</v>
      </c>
      <c r="H19" s="481"/>
      <c r="I19" s="858"/>
    </row>
    <row customHeight="1" ht="33.75" hidden="1">
      <c r="A20" s="2058"/>
      <c r="B20" s="508"/>
      <c r="C20" s="2063"/>
      <c r="D20" s="451" t="s">
        <v>528</v>
      </c>
      <c r="E20" s="445" t="s">
        <v>529</v>
      </c>
      <c r="F20" s="887" t="s">
        <v>24</v>
      </c>
      <c r="G20" s="480"/>
      <c r="H20" s="481"/>
      <c r="I20" s="858"/>
    </row>
    <row customHeight="1" ht="22.5" hidden="1">
      <c r="A21" s="2058"/>
      <c r="B21" s="508"/>
      <c r="C21" s="2063"/>
      <c r="D21" s="451" t="s">
        <v>530</v>
      </c>
      <c r="E21" s="445" t="s">
        <v>531</v>
      </c>
      <c r="F21" s="1773" t="s">
        <v>24</v>
      </c>
      <c r="G21" s="450" t="s">
        <v>532</v>
      </c>
      <c r="H21" s="481"/>
      <c r="I21" s="858"/>
    </row>
    <row customHeight="1" ht="22.5" hidden="1">
      <c r="A22" s="2058"/>
      <c r="B22" s="508"/>
      <c r="C22" s="2063"/>
      <c r="D22" s="451" t="s">
        <v>533</v>
      </c>
      <c r="E22" s="445" t="s">
        <v>534</v>
      </c>
      <c r="F22" s="887" t="s">
        <v>24</v>
      </c>
      <c r="G22" s="480"/>
      <c r="H22" s="481"/>
      <c r="I22" s="858"/>
    </row>
    <row customHeight="1" ht="22.5" hidden="1">
      <c r="A23" s="2058"/>
      <c r="B23" s="508"/>
      <c r="C23" s="2063"/>
      <c r="D23" s="451" t="s">
        <v>535</v>
      </c>
      <c r="E23" s="445" t="s">
        <v>536</v>
      </c>
      <c r="F23" s="887" t="s">
        <v>24</v>
      </c>
      <c r="G23" s="450" t="s">
        <v>537</v>
      </c>
      <c r="H23" s="481"/>
      <c r="I23" s="858"/>
    </row>
    <row s="3051" customFormat="1" customHeight="1" ht="24.75" hidden="1">
      <c r="A24" s="463"/>
      <c r="B24" s="508"/>
      <c r="C24" s="508"/>
      <c r="D24" s="1013" t="s">
        <v>91</v>
      </c>
      <c r="E24" s="1015" t="s">
        <v>538</v>
      </c>
      <c r="F24" s="1020" t="s">
        <v>519</v>
      </c>
      <c r="G24" s="1015"/>
    </row>
    <row s="3051" customFormat="1" customHeight="1" ht="11.25" hidden="1">
      <c r="A25" s="463"/>
      <c r="B25" s="508"/>
      <c r="C25" s="508"/>
      <c r="D25" s="1013" t="s">
        <v>539</v>
      </c>
      <c r="E25" s="1014" t="s">
        <v>540</v>
      </c>
      <c r="F25" s="1020" t="s">
        <v>519</v>
      </c>
      <c r="G25" s="1015"/>
    </row>
    <row s="3051" customFormat="1" customHeight="1" ht="11.25" hidden="1">
      <c r="A26" s="463"/>
      <c r="B26" s="508"/>
      <c r="C26" s="508"/>
      <c r="D26" s="1013" t="s">
        <v>541</v>
      </c>
      <c r="E26" s="1021" t="s">
        <v>542</v>
      </c>
      <c r="F26" s="1022"/>
      <c r="G26" s="101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s="3051" customFormat="1" customHeight="1" ht="11.25" hidden="1">
      <c r="A27" s="463"/>
      <c r="B27" s="508"/>
      <c r="C27" s="508"/>
      <c r="D27" s="1013" t="s">
        <v>543</v>
      </c>
      <c r="E27" s="1021" t="s">
        <v>544</v>
      </c>
      <c r="F27" s="1022"/>
      <c r="G27" s="101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s="3051" customFormat="1" customHeight="1" ht="11.25" hidden="1">
      <c r="A28" s="463"/>
      <c r="B28" s="508"/>
      <c r="C28" s="508"/>
      <c r="D28" s="1013" t="s">
        <v>545</v>
      </c>
      <c r="E28" s="1021" t="s">
        <v>546</v>
      </c>
      <c r="F28" s="1022"/>
      <c r="G28" s="101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s="3051" customFormat="1" customHeight="1" ht="11.25" hidden="1">
      <c r="A29" s="463"/>
      <c r="B29" s="508"/>
      <c r="C29" s="508"/>
      <c r="D29" s="1013" t="s">
        <v>547</v>
      </c>
      <c r="E29" s="1014" t="s">
        <v>548</v>
      </c>
      <c r="F29" s="1022"/>
      <c r="G29" s="1015"/>
    </row>
    <row s="3051" customFormat="1" customHeight="1" ht="11.25" hidden="1">
      <c r="A30" s="463"/>
      <c r="B30" s="508"/>
      <c r="C30" s="508"/>
      <c r="D30" s="1013" t="s">
        <v>549</v>
      </c>
      <c r="E30" s="1014" t="s">
        <v>550</v>
      </c>
      <c r="F30" s="1022"/>
      <c r="G30" s="1015"/>
    </row>
    <row s="3051" customFormat="1" customHeight="1" ht="11.25" hidden="1">
      <c r="A31" s="463"/>
      <c r="B31" s="508"/>
      <c r="C31" s="508"/>
      <c r="D31" s="1013" t="s">
        <v>551</v>
      </c>
      <c r="E31" s="1014" t="s">
        <v>552</v>
      </c>
      <c r="F31" s="1023"/>
      <c r="G31" s="1015"/>
    </row>
    <row customHeight="1" ht="22.5">
      <c r="A32" s="463" t="str">
        <f>IF(TEMPLATE_SPHERE="HEAT","6","5")</f>
        <v>6</v>
      </c>
      <c r="B32" s="508"/>
      <c r="C32" s="463"/>
      <c r="D32" s="446" t="str">
        <f>A32</f>
        <v>6</v>
      </c>
      <c r="E32" s="4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449" t="s">
        <v>519</v>
      </c>
      <c r="G32" s="480"/>
      <c r="H32" s="481"/>
    </row>
    <row customHeight="1" ht="22.5">
      <c r="A33" s="463"/>
      <c r="B33" s="508"/>
      <c r="C33" s="463"/>
      <c r="D33" s="446" t="str">
        <f>D32&amp;".1"</f>
        <v>6.1</v>
      </c>
      <c r="E33" s="448" t="str">
        <f>"фамилия"&amp;IF(TEMPLATE_SPHERE&lt;&gt;"HEAT"," руководителя","")</f>
        <v>фамилия</v>
      </c>
      <c r="F33" s="447"/>
      <c r="G33" s="4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481"/>
    </row>
    <row customHeight="1" ht="22.5">
      <c r="A34" s="463"/>
      <c r="B34" s="508"/>
      <c r="C34" s="463"/>
      <c r="D34" s="446" t="str">
        <f>D32&amp;".2"</f>
        <v>6.2</v>
      </c>
      <c r="E34" s="448" t="str">
        <f>"имя"&amp;IF(TEMPLATE_SPHERE&lt;&gt;"HEAT"," руководителя","")</f>
        <v>имя</v>
      </c>
      <c r="F34" s="447"/>
      <c r="G34" s="4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481"/>
    </row>
    <row customHeight="1" ht="22.5">
      <c r="A35" s="463"/>
      <c r="B35" s="508"/>
      <c r="C35" s="463"/>
      <c r="D35" s="446" t="str">
        <f>D32&amp;".3"</f>
        <v>6.3</v>
      </c>
      <c r="E35" s="448" t="str">
        <f>"отчество"&amp;IF(TEMPLATE_SPHERE&lt;&gt;"HEAT"," руководителя","")</f>
        <v>отчество</v>
      </c>
      <c r="F35" s="704"/>
      <c r="G35" s="4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481"/>
    </row>
    <row customHeight="1" ht="33.75">
      <c r="A36" s="463"/>
      <c r="B36" s="508"/>
      <c r="C36" s="463"/>
      <c r="D36" s="446">
        <f>D32+1</f>
        <v>7</v>
      </c>
      <c r="E36" s="4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447"/>
      <c r="G36" s="450" t="s">
        <v>553</v>
      </c>
      <c r="H36" s="481"/>
    </row>
    <row customHeight="1" ht="33.75">
      <c r="A37" s="463"/>
      <c r="B37" s="508"/>
      <c r="C37" s="463"/>
      <c r="D37" s="446">
        <f>D36+1</f>
        <v>8</v>
      </c>
      <c r="E37" s="4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447"/>
      <c r="G37" s="450" t="s">
        <v>553</v>
      </c>
      <c r="H37" s="481"/>
    </row>
    <row customHeight="1" ht="22.5">
      <c r="A38" s="463"/>
      <c r="B38" s="508"/>
      <c r="C38" s="463"/>
      <c r="D38" s="446">
        <f>D37+1</f>
        <v>9</v>
      </c>
      <c r="E38" s="4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449" t="s">
        <v>519</v>
      </c>
      <c r="G38" s="206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81"/>
    </row>
    <row customHeight="1" ht="22.5" hidden="1">
      <c r="A39" s="463"/>
      <c r="B39" s="508"/>
      <c r="C39" s="463"/>
      <c r="D39" s="446" t="str">
        <f>D38&amp;".0"</f>
        <v>9.0</v>
      </c>
      <c r="E39" s="1645"/>
      <c r="F39" s="887"/>
      <c r="G39" s="2065"/>
      <c r="H39" s="481"/>
    </row>
    <row customHeight="1" ht="22.5">
      <c r="A40" s="463"/>
      <c r="B40" s="463"/>
      <c r="C40" s="1728"/>
      <c r="D40" s="446" t="str">
        <f>D38&amp;".1"</f>
        <v>9.1</v>
      </c>
      <c r="E40" s="866"/>
      <c r="F40" s="867"/>
      <c r="G40" s="2065"/>
      <c r="H40" s="481"/>
    </row>
    <row customHeight="1" ht="15">
      <c r="A41" s="463"/>
      <c r="B41" s="508"/>
      <c r="C41" s="463"/>
      <c r="D41" s="473"/>
      <c r="E41" s="421" t="s">
        <v>554</v>
      </c>
      <c r="F41" s="475"/>
      <c r="G41" s="2066"/>
      <c r="H41" s="482"/>
    </row>
    <row customHeight="1" ht="25.5">
      <c r="A42" s="463"/>
      <c r="B42" s="508"/>
      <c r="C42" s="463"/>
      <c r="D42" s="446">
        <f>D38+1</f>
        <v>10</v>
      </c>
      <c r="E42" s="4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868"/>
      <c r="G42" s="4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81"/>
    </row>
    <row customHeight="1" ht="22.5">
      <c r="A43" s="463"/>
      <c r="B43" s="508"/>
      <c r="C43" s="463"/>
      <c r="D43" s="446">
        <f>D42+1</f>
        <v>11</v>
      </c>
      <c r="E43" s="4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81"/>
      <c r="G43" s="480" t="s">
        <v>555</v>
      </c>
      <c r="H43" s="481"/>
    </row>
    <row customHeight="1" ht="22.5">
      <c r="A44" s="463"/>
      <c r="B44" s="508"/>
      <c r="C44" s="463"/>
      <c r="D44" s="446">
        <f>D43+1</f>
        <v>12</v>
      </c>
      <c r="E44" s="444" t="s">
        <v>556</v>
      </c>
      <c r="F44" s="449" t="s">
        <v>519</v>
      </c>
      <c r="G44" s="443" t="str">
        <f>IF(TEMPLATE_SPHERE="TKO","Указывается режим работы организации.","")</f>
        <v/>
      </c>
      <c r="H44" s="481"/>
    </row>
    <row customHeight="1" ht="22.5">
      <c r="A45" s="463"/>
      <c r="B45" s="508"/>
      <c r="C45" s="463"/>
      <c r="D45" s="446" t="str">
        <f>D44&amp;".1"</f>
        <v>12.1</v>
      </c>
      <c r="E45" s="448" t="str">
        <f>"режим работы регулируемой организации"&amp;IF(TEMPLATE_SPHERE="HEAT",", ЕТО, ТО","")</f>
        <v>режим работы регулируемой организации, ЕТО, ТО</v>
      </c>
      <c r="F45" s="1724"/>
      <c r="G45" s="443" t="s">
        <v>557</v>
      </c>
      <c r="H45" s="481"/>
    </row>
    <row customHeight="1" ht="22.5">
      <c r="A46" s="2054"/>
      <c r="B46" s="508"/>
      <c r="C46" s="498"/>
      <c r="D46" s="446" t="str">
        <f>D44&amp;".2"</f>
        <v>12.2</v>
      </c>
      <c r="E46" s="448" t="s">
        <v>558</v>
      </c>
      <c r="F46" s="496"/>
      <c r="G46" s="443" t="s">
        <v>559</v>
      </c>
      <c r="H46" s="481"/>
    </row>
    <row customHeight="1" ht="22.5">
      <c r="A47" s="2054"/>
      <c r="B47" s="508"/>
      <c r="C47" s="498"/>
      <c r="D47" s="446" t="str">
        <f>D44&amp;".3"</f>
        <v>12.3</v>
      </c>
      <c r="E47" s="448" t="s">
        <v>560</v>
      </c>
      <c r="F47" s="496"/>
      <c r="G47" s="443" t="s">
        <v>561</v>
      </c>
      <c r="H47" s="481"/>
    </row>
    <row customHeight="1" ht="22.5">
      <c r="A48" s="2054"/>
      <c r="B48" s="508"/>
      <c r="C48" s="498"/>
      <c r="D48" s="446" t="str">
        <f>IF(TEMPLATE_SPHERE="TKO",D44&amp;".0",D44&amp;".4")</f>
        <v>12.4</v>
      </c>
      <c r="E48" s="442" t="s">
        <v>562</v>
      </c>
      <c r="F48" s="1725"/>
      <c r="G48" s="1802" t="s">
        <v>563</v>
      </c>
      <c r="H48" s="481"/>
    </row>
    <row customHeight="1" ht="22.5">
      <c r="A49" s="463"/>
      <c r="B49" s="508"/>
      <c r="C49" s="463"/>
      <c r="D49" s="473"/>
      <c r="E49" s="421" t="s">
        <v>564</v>
      </c>
      <c r="F49" s="474"/>
      <c r="G49" s="1802" t="s">
        <v>565</v>
      </c>
      <c r="H49" s="482"/>
    </row>
    <row customHeight="1" ht="22.5">
      <c r="A50" s="864"/>
      <c r="B50" s="508"/>
      <c r="C50" s="498"/>
      <c r="D50" s="446">
        <f>D44+1</f>
        <v>13</v>
      </c>
      <c r="E50" s="534" t="s">
        <v>566</v>
      </c>
      <c r="F50" s="496"/>
      <c r="G50" s="172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481"/>
    </row>
    <row customHeight="1" ht="11.25">
      <c r="A51" s="463"/>
      <c r="B51" s="508"/>
      <c r="C51" s="463"/>
    </row>
    <row s="3118" customFormat="1" customHeight="1" ht="30">
      <c r="A52" s="1727"/>
      <c r="B52" s="509"/>
      <c r="C52" s="2055"/>
      <c r="D52" s="205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2059"/>
      <c r="F52" s="2059"/>
      <c r="G52" s="2059"/>
      <c r="H52" s="460"/>
      <c r="I52" s="460"/>
    </row>
    <row s="3118" customFormat="1" customHeight="1" ht="39.75">
      <c r="A53" s="463"/>
      <c r="B53" s="508"/>
      <c r="C53" s="2055"/>
      <c r="D53" s="205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2059"/>
      <c r="F53" s="2059"/>
      <c r="G53" s="2059"/>
    </row>
    <row customHeight="1" ht="11.25">
      <c r="D54" s="464"/>
      <c r="E54" s="465"/>
      <c r="F54" s="465"/>
      <c r="G54" s="465"/>
    </row>
    <row customHeight="1" ht="27">
      <c r="D55" s="467"/>
      <c r="E55" s="464"/>
      <c r="F55" s="476"/>
      <c r="G55" s="476"/>
    </row>
    <row customHeight="1" ht="11.25">
      <c r="D56" s="464"/>
      <c r="E56" s="464"/>
      <c r="F56" s="465"/>
      <c r="G56" s="465"/>
    </row>
    <row customHeight="1" ht="39">
      <c r="D57" s="468"/>
      <c r="E57" s="477"/>
      <c r="F57" s="477"/>
      <c r="G57" s="477"/>
    </row>
    <row customHeight="1" ht="27">
      <c r="D58" s="468"/>
      <c r="E58" s="477"/>
      <c r="F58" s="477"/>
      <c r="G58" s="477"/>
    </row>
  </sheetData>
  <sheetProtection formatColumns="0" formatRows="0" sort="0" autoFilter="0" insertRows="0" insertColumns="1" deleteRows="0" deleteColumns="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0051AD-8EEF-A451-A2A2-5CA73CCD4216}" mc:Ignorable="x14ac xr xr2 xr3">
  <dimension ref="A1:E8"/>
  <sheetViews>
    <sheetView topLeftCell="A1" showGridLines="0" workbookViewId="0">
      <selection activeCell="A1" sqref="A1"/>
    </sheetView>
  </sheetViews>
  <sheetFormatPr customHeight="1" defaultRowHeight="11.25"/>
  <cols>
    <col min="1" max="1" width="10.57421875" customWidth="1"/>
    <col min="2" max="2" width="8.7109375" customWidth="1"/>
    <col min="3" max="3" width="18.140625" customWidth="1"/>
    <col min="4" max="4" width="12.57421875" customWidth="1"/>
  </cols>
  <sheetData>
    <row customHeight="1" ht="11.25">
      <c r="A1" s="759" t="s">
        <v>2377</v>
      </c>
      <c r="B1" s="770" t="s">
        <v>2378</v>
      </c>
      <c r="C1" s="2452" t="s">
        <v>2379</v>
      </c>
      <c r="D1" s="2453"/>
      <c r="E1" s="842" t="s">
        <v>2380</v>
      </c>
    </row>
    <row customHeight="1" ht="11.25">
      <c r="A2" s="763"/>
      <c r="B2" s="771" t="s">
        <v>22</v>
      </c>
      <c r="C2" s="759"/>
      <c r="D2" s="770"/>
      <c r="E2" s="842"/>
    </row>
    <row customHeight="1" ht="11.25">
      <c r="A3" s="774"/>
      <c r="B3" s="772" t="s">
        <v>29</v>
      </c>
      <c r="C3" s="759"/>
      <c r="D3" s="770"/>
      <c r="E3" s="842"/>
    </row>
    <row customHeight="1" ht="11.25">
      <c r="A4" s="775"/>
      <c r="B4" s="772" t="s">
        <v>1874</v>
      </c>
      <c r="C4" s="759"/>
      <c r="D4" s="770"/>
      <c r="E4" s="842"/>
    </row>
    <row customHeight="1" ht="11.25">
      <c r="A5" s="787"/>
      <c r="B5" s="772" t="s">
        <v>1868</v>
      </c>
      <c r="C5" s="762" t="s">
        <v>2116</v>
      </c>
      <c r="D5" s="886" t="s">
        <v>2381</v>
      </c>
      <c r="E5" s="842"/>
    </row>
    <row s="13084" customFormat="1" customHeight="1" ht="11.25">
      <c r="A6" s="773"/>
      <c r="B6" s="772" t="s">
        <v>1877</v>
      </c>
      <c r="C6" s="759"/>
      <c r="D6" s="770"/>
      <c r="E6" s="842"/>
    </row>
    <row customHeight="1" ht="11.25">
      <c r="A7" s="761"/>
      <c r="B7" s="772" t="s">
        <v>1885</v>
      </c>
      <c r="C7" s="759"/>
      <c r="D7" s="770"/>
      <c r="E7" s="842"/>
    </row>
    <row customHeight="1" ht="11.25">
      <c r="A8" s="762"/>
      <c r="B8" s="772" t="s">
        <v>1880</v>
      </c>
      <c r="C8" s="759"/>
      <c r="D8" s="770"/>
      <c r="E8" s="842"/>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B79A49-F571-629F-0AB7-D03939F5292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39FE7C-7102-912F-6A56-4B6CE2B701C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10A816-97CE-CA96-18CE-731AB5375C42}" mc:Ignorable="x14ac xr xr2 xr3">
  <sheetPr>
    <tabColor rgb="FFFFCC99"/>
  </sheetPr>
  <dimension ref="A1:I229"/>
  <sheetViews>
    <sheetView topLeftCell="A1" showGridLines="0" workbookViewId="0">
      <selection activeCell="A1" sqref="A1"/>
    </sheetView>
  </sheetViews>
  <sheetFormatPr defaultColWidth="9.140625" customHeight="1" defaultRowHeight="11.25"/>
  <cols>
    <col min="1" max="2" style="13643" width="9.140625"/>
    <col min="3" max="3" style="13643" width="20.7109375" customWidth="1"/>
    <col min="4" max="4" style="13643" width="25.140625" customWidth="1"/>
    <col min="5" max="9" style="13643" width="9.140625"/>
  </cols>
  <sheetData>
    <row customHeight="1" ht="11.25">
      <c r="A1" s="53" t="s">
        <v>2382</v>
      </c>
      <c r="B1" s="53" t="s">
        <v>2383</v>
      </c>
      <c r="C1" s="53" t="s">
        <v>2384</v>
      </c>
      <c r="D1" s="53" t="s">
        <v>2385</v>
      </c>
      <c r="E1" s="53" t="s">
        <v>2386</v>
      </c>
      <c r="F1" s="53" t="s">
        <v>2387</v>
      </c>
      <c r="G1" s="53" t="s">
        <v>2388</v>
      </c>
      <c r="H1" s="53" t="s">
        <v>2389</v>
      </c>
      <c r="I1" s="53" t="s">
        <v>2390</v>
      </c>
    </row>
    <row customHeight="1" ht="11.25">
      <c r="A2" s="13644" t="s">
        <v>2391</v>
      </c>
      <c r="B2" s="13644" t="s">
        <v>14</v>
      </c>
      <c r="C2" s="13644" t="s">
        <v>2392</v>
      </c>
      <c r="D2" s="13644" t="s">
        <v>2393</v>
      </c>
      <c r="E2" s="13644" t="s">
        <v>2394</v>
      </c>
      <c r="F2" s="13644" t="s">
        <v>2395</v>
      </c>
      <c r="G2" s="13644" t="s">
        <v>2396</v>
      </c>
      <c r="H2" s="13644" t="s">
        <v>24</v>
      </c>
      <c r="I2" s="13644" t="s">
        <v>929</v>
      </c>
    </row>
    <row customHeight="1" ht="11.25">
      <c r="A3" s="13644" t="s">
        <v>2391</v>
      </c>
      <c r="B3" s="13644" t="s">
        <v>14</v>
      </c>
      <c r="C3" s="13644" t="s">
        <v>2397</v>
      </c>
      <c r="D3" s="13644" t="s">
        <v>2393</v>
      </c>
      <c r="E3" s="13644" t="s">
        <v>2394</v>
      </c>
      <c r="F3" s="13644" t="s">
        <v>2398</v>
      </c>
      <c r="G3" s="13644" t="s">
        <v>2399</v>
      </c>
      <c r="H3" s="13644" t="s">
        <v>24</v>
      </c>
      <c r="I3" s="13644" t="s">
        <v>929</v>
      </c>
    </row>
    <row customHeight="1" ht="11.25">
      <c r="A4" s="13644" t="s">
        <v>2391</v>
      </c>
      <c r="B4" s="13644" t="s">
        <v>14</v>
      </c>
      <c r="C4" s="13644" t="s">
        <v>2400</v>
      </c>
      <c r="D4" s="13644" t="s">
        <v>2401</v>
      </c>
      <c r="E4" s="13644" t="s">
        <v>2402</v>
      </c>
      <c r="F4" s="13644" t="s">
        <v>2403</v>
      </c>
      <c r="G4" s="13644" t="s">
        <v>24</v>
      </c>
      <c r="H4" s="13644" t="s">
        <v>24</v>
      </c>
      <c r="I4" s="13644" t="s">
        <v>929</v>
      </c>
    </row>
    <row customHeight="1" ht="11.25">
      <c r="A5" s="13644" t="s">
        <v>2391</v>
      </c>
      <c r="B5" s="13644" t="s">
        <v>14</v>
      </c>
      <c r="C5" s="13644" t="s">
        <v>2404</v>
      </c>
      <c r="D5" s="13644" t="s">
        <v>2405</v>
      </c>
      <c r="E5" s="13644" t="s">
        <v>2406</v>
      </c>
      <c r="F5" s="13644" t="s">
        <v>52</v>
      </c>
      <c r="G5" s="13644" t="s">
        <v>2407</v>
      </c>
      <c r="H5" s="13644" t="s">
        <v>24</v>
      </c>
      <c r="I5" s="13644" t="s">
        <v>929</v>
      </c>
    </row>
    <row customHeight="1" ht="11.25">
      <c r="A6" s="13644" t="s">
        <v>2391</v>
      </c>
      <c r="B6" s="13644" t="s">
        <v>14</v>
      </c>
      <c r="C6" s="13644" t="s">
        <v>2408</v>
      </c>
      <c r="D6" s="13644" t="s">
        <v>2409</v>
      </c>
      <c r="E6" s="13644" t="s">
        <v>2410</v>
      </c>
      <c r="F6" s="13644" t="s">
        <v>2411</v>
      </c>
      <c r="G6" s="13644" t="s">
        <v>24</v>
      </c>
      <c r="H6" s="13644" t="s">
        <v>24</v>
      </c>
      <c r="I6" s="13644" t="s">
        <v>929</v>
      </c>
    </row>
    <row customHeight="1" ht="11.25">
      <c r="A7" s="13644" t="s">
        <v>2391</v>
      </c>
      <c r="B7" s="13644" t="s">
        <v>14</v>
      </c>
      <c r="C7" s="13644" t="s">
        <v>2412</v>
      </c>
      <c r="D7" s="13644" t="s">
        <v>2413</v>
      </c>
      <c r="E7" s="13644" t="s">
        <v>2414</v>
      </c>
      <c r="F7" s="13644" t="s">
        <v>2411</v>
      </c>
      <c r="G7" s="13644" t="s">
        <v>2415</v>
      </c>
      <c r="H7" s="13644" t="s">
        <v>24</v>
      </c>
      <c r="I7" s="13644" t="s">
        <v>929</v>
      </c>
    </row>
    <row customHeight="1" ht="11.25">
      <c r="A8" s="13644" t="s">
        <v>2391</v>
      </c>
      <c r="B8" s="13644" t="s">
        <v>14</v>
      </c>
      <c r="C8" s="13644" t="s">
        <v>2416</v>
      </c>
      <c r="D8" s="13644" t="s">
        <v>2417</v>
      </c>
      <c r="E8" s="13644" t="s">
        <v>2418</v>
      </c>
      <c r="F8" s="13644" t="s">
        <v>2419</v>
      </c>
      <c r="G8" s="13644" t="s">
        <v>24</v>
      </c>
      <c r="H8" s="13644" t="s">
        <v>24</v>
      </c>
      <c r="I8" s="13644" t="s">
        <v>929</v>
      </c>
    </row>
    <row customHeight="1" ht="11.25">
      <c r="A9" s="13644" t="s">
        <v>2391</v>
      </c>
      <c r="B9" s="13644" t="s">
        <v>14</v>
      </c>
      <c r="C9" s="13644" t="s">
        <v>2420</v>
      </c>
      <c r="D9" s="13644" t="s">
        <v>2421</v>
      </c>
      <c r="E9" s="13644" t="s">
        <v>2422</v>
      </c>
      <c r="F9" s="13644" t="s">
        <v>52</v>
      </c>
      <c r="G9" s="13644" t="s">
        <v>24</v>
      </c>
      <c r="H9" s="13644" t="s">
        <v>24</v>
      </c>
      <c r="I9" s="13644" t="s">
        <v>929</v>
      </c>
    </row>
    <row customHeight="1" ht="11.25">
      <c r="A10" s="13644" t="s">
        <v>2391</v>
      </c>
      <c r="B10" s="13644" t="s">
        <v>14</v>
      </c>
      <c r="C10" s="13644" t="s">
        <v>2423</v>
      </c>
      <c r="D10" s="13644" t="s">
        <v>2424</v>
      </c>
      <c r="E10" s="13644" t="s">
        <v>2425</v>
      </c>
      <c r="F10" s="13644" t="s">
        <v>52</v>
      </c>
      <c r="G10" s="13644" t="s">
        <v>2426</v>
      </c>
      <c r="H10" s="13644" t="s">
        <v>24</v>
      </c>
      <c r="I10" s="13644" t="s">
        <v>929</v>
      </c>
    </row>
    <row customHeight="1" ht="11.25">
      <c r="A11" s="13644" t="s">
        <v>2391</v>
      </c>
      <c r="B11" s="13644" t="s">
        <v>14</v>
      </c>
      <c r="C11" s="13644" t="s">
        <v>2427</v>
      </c>
      <c r="D11" s="13644" t="s">
        <v>47</v>
      </c>
      <c r="E11" s="13644" t="s">
        <v>50</v>
      </c>
      <c r="F11" s="13644" t="s">
        <v>52</v>
      </c>
      <c r="G11" s="13644" t="s">
        <v>24</v>
      </c>
      <c r="H11" s="13644" t="s">
        <v>24</v>
      </c>
      <c r="I11" s="13644" t="s">
        <v>929</v>
      </c>
    </row>
    <row customHeight="1" ht="11.25">
      <c r="A12" s="13644" t="s">
        <v>2391</v>
      </c>
      <c r="B12" s="13644" t="s">
        <v>14</v>
      </c>
      <c r="C12" s="13644" t="s">
        <v>2428</v>
      </c>
      <c r="D12" s="13644" t="s">
        <v>2429</v>
      </c>
      <c r="E12" s="13644" t="s">
        <v>2430</v>
      </c>
      <c r="F12" s="13644" t="s">
        <v>2431</v>
      </c>
      <c r="G12" s="13644" t="s">
        <v>24</v>
      </c>
      <c r="H12" s="13644" t="s">
        <v>24</v>
      </c>
      <c r="I12" s="13644" t="s">
        <v>929</v>
      </c>
    </row>
    <row customHeight="1" ht="11.25">
      <c r="A13" s="13644" t="s">
        <v>2391</v>
      </c>
      <c r="B13" s="13644" t="s">
        <v>14</v>
      </c>
      <c r="C13" s="13644" t="s">
        <v>2432</v>
      </c>
      <c r="D13" s="13644" t="s">
        <v>2433</v>
      </c>
      <c r="E13" s="13644" t="s">
        <v>2434</v>
      </c>
      <c r="F13" s="13644" t="s">
        <v>2435</v>
      </c>
      <c r="G13" s="13644" t="s">
        <v>2436</v>
      </c>
      <c r="H13" s="13644" t="s">
        <v>24</v>
      </c>
      <c r="I13" s="13644" t="s">
        <v>929</v>
      </c>
    </row>
    <row customHeight="1" ht="11.25">
      <c r="A14" s="13644" t="s">
        <v>2391</v>
      </c>
      <c r="B14" s="13644" t="s">
        <v>14</v>
      </c>
      <c r="C14" s="13644" t="s">
        <v>2437</v>
      </c>
      <c r="D14" s="13644" t="s">
        <v>2438</v>
      </c>
      <c r="E14" s="13644" t="s">
        <v>2439</v>
      </c>
      <c r="F14" s="13644" t="s">
        <v>2440</v>
      </c>
      <c r="G14" s="13644" t="s">
        <v>24</v>
      </c>
      <c r="H14" s="13644" t="s">
        <v>24</v>
      </c>
      <c r="I14" s="13644" t="s">
        <v>929</v>
      </c>
    </row>
    <row customHeight="1" ht="11.25">
      <c r="A15" s="13644" t="s">
        <v>2391</v>
      </c>
      <c r="B15" s="13644" t="s">
        <v>14</v>
      </c>
      <c r="C15" s="13644" t="s">
        <v>2441</v>
      </c>
      <c r="D15" s="13644" t="s">
        <v>2442</v>
      </c>
      <c r="E15" s="13644" t="s">
        <v>2443</v>
      </c>
      <c r="F15" s="13644" t="s">
        <v>2444</v>
      </c>
      <c r="G15" s="13644" t="s">
        <v>2445</v>
      </c>
      <c r="H15" s="13644" t="s">
        <v>24</v>
      </c>
      <c r="I15" s="13644" t="s">
        <v>929</v>
      </c>
    </row>
    <row customHeight="1" ht="11.25">
      <c r="A16" s="13644" t="s">
        <v>2391</v>
      </c>
      <c r="B16" s="13644" t="s">
        <v>14</v>
      </c>
      <c r="C16" s="13644" t="s">
        <v>2446</v>
      </c>
      <c r="D16" s="13644" t="s">
        <v>2447</v>
      </c>
      <c r="E16" s="13644" t="s">
        <v>2448</v>
      </c>
      <c r="F16" s="13644" t="s">
        <v>2449</v>
      </c>
      <c r="G16" s="13644" t="s">
        <v>24</v>
      </c>
      <c r="H16" s="13644" t="s">
        <v>24</v>
      </c>
      <c r="I16" s="13644" t="s">
        <v>929</v>
      </c>
    </row>
    <row customHeight="1" ht="11.25">
      <c r="A17" s="13644" t="s">
        <v>2391</v>
      </c>
      <c r="B17" s="13644" t="s">
        <v>14</v>
      </c>
      <c r="C17" s="13644" t="s">
        <v>2450</v>
      </c>
      <c r="D17" s="13644" t="s">
        <v>2451</v>
      </c>
      <c r="E17" s="13644" t="s">
        <v>2452</v>
      </c>
      <c r="F17" s="13644" t="s">
        <v>52</v>
      </c>
      <c r="G17" s="13644" t="s">
        <v>2453</v>
      </c>
      <c r="H17" s="13644" t="s">
        <v>24</v>
      </c>
      <c r="I17" s="13644" t="s">
        <v>929</v>
      </c>
    </row>
    <row customHeight="1" ht="11.25">
      <c r="A18" s="13644" t="s">
        <v>2391</v>
      </c>
      <c r="B18" s="13644" t="s">
        <v>14</v>
      </c>
      <c r="C18" s="13644" t="s">
        <v>2454</v>
      </c>
      <c r="D18" s="13644" t="s">
        <v>2455</v>
      </c>
      <c r="E18" s="13644" t="s">
        <v>2456</v>
      </c>
      <c r="F18" s="13644" t="s">
        <v>2457</v>
      </c>
      <c r="G18" s="13644" t="s">
        <v>24</v>
      </c>
      <c r="H18" s="13644" t="s">
        <v>24</v>
      </c>
      <c r="I18" s="13644" t="s">
        <v>929</v>
      </c>
    </row>
    <row customHeight="1" ht="11.25">
      <c r="A19" s="13644" t="s">
        <v>2391</v>
      </c>
      <c r="B19" s="13644" t="s">
        <v>14</v>
      </c>
      <c r="C19" s="13644" t="s">
        <v>2458</v>
      </c>
      <c r="D19" s="13644" t="s">
        <v>2459</v>
      </c>
      <c r="E19" s="13644" t="s">
        <v>2460</v>
      </c>
      <c r="F19" s="13644" t="s">
        <v>52</v>
      </c>
      <c r="G19" s="13644" t="s">
        <v>24</v>
      </c>
      <c r="H19" s="13644" t="s">
        <v>24</v>
      </c>
      <c r="I19" s="13644" t="s">
        <v>929</v>
      </c>
    </row>
    <row customHeight="1" ht="11.25">
      <c r="A20" s="13644" t="s">
        <v>2391</v>
      </c>
      <c r="B20" s="13644" t="s">
        <v>14</v>
      </c>
      <c r="C20" s="13644" t="s">
        <v>2461</v>
      </c>
      <c r="D20" s="13644" t="s">
        <v>2462</v>
      </c>
      <c r="E20" s="13644" t="s">
        <v>2463</v>
      </c>
      <c r="F20" s="13644" t="s">
        <v>52</v>
      </c>
      <c r="G20" s="13644" t="s">
        <v>2464</v>
      </c>
      <c r="H20" s="13644" t="s">
        <v>24</v>
      </c>
      <c r="I20" s="13644" t="s">
        <v>929</v>
      </c>
    </row>
    <row customHeight="1" ht="11.25">
      <c r="A21" s="13644" t="s">
        <v>2391</v>
      </c>
      <c r="B21" s="13644" t="s">
        <v>14</v>
      </c>
      <c r="C21" s="13644" t="s">
        <v>2465</v>
      </c>
      <c r="D21" s="13644" t="s">
        <v>2466</v>
      </c>
      <c r="E21" s="13644" t="s">
        <v>2467</v>
      </c>
      <c r="F21" s="13644" t="s">
        <v>2468</v>
      </c>
      <c r="G21" s="13644" t="s">
        <v>24</v>
      </c>
      <c r="H21" s="13644" t="s">
        <v>24</v>
      </c>
      <c r="I21" s="13644" t="s">
        <v>929</v>
      </c>
    </row>
    <row customHeight="1" ht="11.25">
      <c r="A22" s="13644" t="s">
        <v>2391</v>
      </c>
      <c r="B22" s="13644" t="s">
        <v>14</v>
      </c>
      <c r="C22" s="13644" t="s">
        <v>2469</v>
      </c>
      <c r="D22" s="13644" t="s">
        <v>2470</v>
      </c>
      <c r="E22" s="13644" t="s">
        <v>2471</v>
      </c>
      <c r="F22" s="13644" t="s">
        <v>2403</v>
      </c>
      <c r="G22" s="13644" t="s">
        <v>24</v>
      </c>
      <c r="H22" s="13644" t="s">
        <v>24</v>
      </c>
      <c r="I22" s="13644" t="s">
        <v>929</v>
      </c>
    </row>
    <row customHeight="1" ht="11.25">
      <c r="A23" s="13644" t="s">
        <v>2391</v>
      </c>
      <c r="B23" s="13644" t="s">
        <v>14</v>
      </c>
      <c r="C23" s="13644" t="s">
        <v>2472</v>
      </c>
      <c r="D23" s="13644" t="s">
        <v>2473</v>
      </c>
      <c r="E23" s="13644" t="s">
        <v>2474</v>
      </c>
      <c r="F23" s="13644" t="s">
        <v>2468</v>
      </c>
      <c r="G23" s="13644" t="s">
        <v>2475</v>
      </c>
      <c r="H23" s="13644" t="s">
        <v>24</v>
      </c>
      <c r="I23" s="13644" t="s">
        <v>929</v>
      </c>
    </row>
    <row customHeight="1" ht="11.25">
      <c r="A24" s="13644" t="s">
        <v>2391</v>
      </c>
      <c r="B24" s="13644" t="s">
        <v>14</v>
      </c>
      <c r="C24" s="13644" t="s">
        <v>2476</v>
      </c>
      <c r="D24" s="13644" t="s">
        <v>2477</v>
      </c>
      <c r="E24" s="13644" t="s">
        <v>2478</v>
      </c>
      <c r="F24" s="13644" t="s">
        <v>2468</v>
      </c>
      <c r="G24" s="13644" t="s">
        <v>2479</v>
      </c>
      <c r="H24" s="13644" t="s">
        <v>24</v>
      </c>
      <c r="I24" s="13644" t="s">
        <v>929</v>
      </c>
    </row>
    <row customHeight="1" ht="11.25">
      <c r="A25" s="13644" t="s">
        <v>2391</v>
      </c>
      <c r="B25" s="13644" t="s">
        <v>14</v>
      </c>
      <c r="C25" s="13644" t="s">
        <v>2480</v>
      </c>
      <c r="D25" s="13644" t="s">
        <v>2481</v>
      </c>
      <c r="E25" s="13644" t="s">
        <v>2482</v>
      </c>
      <c r="F25" s="13644" t="s">
        <v>2483</v>
      </c>
      <c r="G25" s="13644" t="s">
        <v>2484</v>
      </c>
      <c r="H25" s="13644" t="s">
        <v>24</v>
      </c>
      <c r="I25" s="13644" t="s">
        <v>929</v>
      </c>
    </row>
    <row customHeight="1" ht="11.25">
      <c r="A26" s="13644" t="s">
        <v>2391</v>
      </c>
      <c r="B26" s="13644" t="s">
        <v>14</v>
      </c>
      <c r="C26" s="13644" t="s">
        <v>2485</v>
      </c>
      <c r="D26" s="13644" t="s">
        <v>2486</v>
      </c>
      <c r="E26" s="13644" t="s">
        <v>2487</v>
      </c>
      <c r="F26" s="13644" t="s">
        <v>2488</v>
      </c>
      <c r="G26" s="13644" t="s">
        <v>24</v>
      </c>
      <c r="H26" s="13644" t="s">
        <v>24</v>
      </c>
      <c r="I26" s="13644" t="s">
        <v>929</v>
      </c>
    </row>
    <row customHeight="1" ht="11.25">
      <c r="A27" s="13644" t="s">
        <v>2391</v>
      </c>
      <c r="B27" s="13644" t="s">
        <v>14</v>
      </c>
      <c r="C27" s="13644" t="s">
        <v>2489</v>
      </c>
      <c r="D27" s="13644" t="s">
        <v>2490</v>
      </c>
      <c r="E27" s="13644" t="s">
        <v>2491</v>
      </c>
      <c r="F27" s="13644" t="s">
        <v>2435</v>
      </c>
      <c r="G27" s="13644" t="s">
        <v>24</v>
      </c>
      <c r="H27" s="13644" t="s">
        <v>24</v>
      </c>
      <c r="I27" s="13644" t="s">
        <v>929</v>
      </c>
    </row>
    <row customHeight="1" ht="11.25">
      <c r="A28" s="13644" t="s">
        <v>2391</v>
      </c>
      <c r="B28" s="13644" t="s">
        <v>14</v>
      </c>
      <c r="C28" s="13644" t="s">
        <v>2492</v>
      </c>
      <c r="D28" s="13644" t="s">
        <v>2493</v>
      </c>
      <c r="E28" s="13644" t="s">
        <v>2494</v>
      </c>
      <c r="F28" s="13644" t="s">
        <v>2495</v>
      </c>
      <c r="G28" s="13644" t="s">
        <v>24</v>
      </c>
      <c r="H28" s="13644" t="s">
        <v>24</v>
      </c>
      <c r="I28" s="13644" t="s">
        <v>929</v>
      </c>
    </row>
    <row customHeight="1" ht="11.25">
      <c r="A29" s="13644" t="s">
        <v>2391</v>
      </c>
      <c r="B29" s="13644" t="s">
        <v>14</v>
      </c>
      <c r="C29" s="13644" t="s">
        <v>2496</v>
      </c>
      <c r="D29" s="13644" t="s">
        <v>2497</v>
      </c>
      <c r="E29" s="13644" t="s">
        <v>2498</v>
      </c>
      <c r="F29" s="13644" t="s">
        <v>2499</v>
      </c>
      <c r="G29" s="13644" t="s">
        <v>24</v>
      </c>
      <c r="H29" s="13644" t="s">
        <v>24</v>
      </c>
      <c r="I29" s="13644" t="s">
        <v>929</v>
      </c>
    </row>
    <row customHeight="1" ht="11.25">
      <c r="A30" s="13644" t="s">
        <v>2391</v>
      </c>
      <c r="B30" s="13644" t="s">
        <v>14</v>
      </c>
      <c r="C30" s="13644" t="s">
        <v>2500</v>
      </c>
      <c r="D30" s="13644" t="s">
        <v>2501</v>
      </c>
      <c r="E30" s="13644" t="s">
        <v>2502</v>
      </c>
      <c r="F30" s="13644" t="s">
        <v>2403</v>
      </c>
      <c r="G30" s="13644" t="s">
        <v>24</v>
      </c>
      <c r="H30" s="13644" t="s">
        <v>24</v>
      </c>
      <c r="I30" s="13644" t="s">
        <v>929</v>
      </c>
    </row>
    <row customHeight="1" ht="11.25">
      <c r="A31" s="13644" t="s">
        <v>2391</v>
      </c>
      <c r="B31" s="13644" t="s">
        <v>14</v>
      </c>
      <c r="C31" s="13644" t="s">
        <v>2503</v>
      </c>
      <c r="D31" s="13644" t="s">
        <v>2504</v>
      </c>
      <c r="E31" s="13644" t="s">
        <v>2505</v>
      </c>
      <c r="F31" s="13644" t="s">
        <v>2444</v>
      </c>
      <c r="G31" s="13644" t="s">
        <v>24</v>
      </c>
      <c r="H31" s="13644" t="s">
        <v>24</v>
      </c>
      <c r="I31" s="13644" t="s">
        <v>929</v>
      </c>
    </row>
    <row customHeight="1" ht="11.25">
      <c r="A32" s="13644" t="s">
        <v>2391</v>
      </c>
      <c r="B32" s="13644" t="s">
        <v>14</v>
      </c>
      <c r="C32" s="13644" t="s">
        <v>2506</v>
      </c>
      <c r="D32" s="13644" t="s">
        <v>2507</v>
      </c>
      <c r="E32" s="13644" t="s">
        <v>2508</v>
      </c>
      <c r="F32" s="13644" t="s">
        <v>2403</v>
      </c>
      <c r="G32" s="13644" t="s">
        <v>24</v>
      </c>
      <c r="H32" s="13644" t="s">
        <v>24</v>
      </c>
      <c r="I32" s="13644" t="s">
        <v>929</v>
      </c>
    </row>
    <row customHeight="1" ht="11.25">
      <c r="A33" s="13644" t="s">
        <v>2391</v>
      </c>
      <c r="B33" s="13644" t="s">
        <v>14</v>
      </c>
      <c r="C33" s="13644" t="s">
        <v>2509</v>
      </c>
      <c r="D33" s="13644" t="s">
        <v>2510</v>
      </c>
      <c r="E33" s="13644" t="s">
        <v>2511</v>
      </c>
      <c r="F33" s="13644" t="s">
        <v>52</v>
      </c>
      <c r="G33" s="13644" t="s">
        <v>24</v>
      </c>
      <c r="H33" s="13644" t="s">
        <v>24</v>
      </c>
      <c r="I33" s="13644" t="s">
        <v>929</v>
      </c>
    </row>
    <row customHeight="1" ht="11.25">
      <c r="A34" s="13644" t="s">
        <v>2391</v>
      </c>
      <c r="B34" s="13644" t="s">
        <v>14</v>
      </c>
      <c r="C34" s="13644" t="s">
        <v>2512</v>
      </c>
      <c r="D34" s="13644" t="s">
        <v>2513</v>
      </c>
      <c r="E34" s="13644" t="s">
        <v>2514</v>
      </c>
      <c r="F34" s="13644" t="s">
        <v>2483</v>
      </c>
      <c r="G34" s="13644" t="s">
        <v>24</v>
      </c>
      <c r="H34" s="13644" t="s">
        <v>24</v>
      </c>
      <c r="I34" s="13644" t="s">
        <v>929</v>
      </c>
    </row>
    <row customHeight="1" ht="11.25">
      <c r="A35" s="13644" t="s">
        <v>2391</v>
      </c>
      <c r="B35" s="13644" t="s">
        <v>14</v>
      </c>
      <c r="C35" s="13644" t="s">
        <v>2515</v>
      </c>
      <c r="D35" s="13644" t="s">
        <v>2516</v>
      </c>
      <c r="E35" s="13644" t="s">
        <v>2517</v>
      </c>
      <c r="F35" s="13644" t="s">
        <v>2483</v>
      </c>
      <c r="G35" s="13644" t="s">
        <v>2518</v>
      </c>
      <c r="H35" s="13644" t="s">
        <v>24</v>
      </c>
      <c r="I35" s="13644" t="s">
        <v>929</v>
      </c>
    </row>
    <row customHeight="1" ht="11.25">
      <c r="A36" s="13644" t="s">
        <v>2391</v>
      </c>
      <c r="B36" s="13644" t="s">
        <v>14</v>
      </c>
      <c r="C36" s="13644" t="s">
        <v>2519</v>
      </c>
      <c r="D36" s="13644" t="s">
        <v>2520</v>
      </c>
      <c r="E36" s="13644" t="s">
        <v>2521</v>
      </c>
      <c r="F36" s="13644" t="s">
        <v>2522</v>
      </c>
      <c r="G36" s="13644" t="s">
        <v>24</v>
      </c>
      <c r="H36" s="13644" t="s">
        <v>24</v>
      </c>
      <c r="I36" s="13644" t="s">
        <v>929</v>
      </c>
    </row>
    <row customHeight="1" ht="11.25">
      <c r="A37" s="13644" t="s">
        <v>2391</v>
      </c>
      <c r="B37" s="13644" t="s">
        <v>14</v>
      </c>
      <c r="C37" s="13644" t="s">
        <v>2523</v>
      </c>
      <c r="D37" s="13644" t="s">
        <v>2524</v>
      </c>
      <c r="E37" s="13644" t="s">
        <v>2525</v>
      </c>
      <c r="F37" s="13644" t="s">
        <v>2468</v>
      </c>
      <c r="G37" s="13644" t="s">
        <v>24</v>
      </c>
      <c r="H37" s="13644" t="s">
        <v>24</v>
      </c>
      <c r="I37" s="13644" t="s">
        <v>929</v>
      </c>
    </row>
    <row customHeight="1" ht="11.25">
      <c r="A38" s="13644" t="s">
        <v>2391</v>
      </c>
      <c r="B38" s="13644" t="s">
        <v>14</v>
      </c>
      <c r="C38" s="13644" t="s">
        <v>2526</v>
      </c>
      <c r="D38" s="13644" t="s">
        <v>2527</v>
      </c>
      <c r="E38" s="13644" t="s">
        <v>2528</v>
      </c>
      <c r="F38" s="13644" t="s">
        <v>2403</v>
      </c>
      <c r="G38" s="13644" t="s">
        <v>24</v>
      </c>
      <c r="H38" s="13644" t="s">
        <v>24</v>
      </c>
      <c r="I38" s="13644" t="s">
        <v>929</v>
      </c>
    </row>
    <row customHeight="1" ht="11.25">
      <c r="A39" s="13644" t="s">
        <v>2391</v>
      </c>
      <c r="B39" s="13644" t="s">
        <v>14</v>
      </c>
      <c r="C39" s="13644" t="s">
        <v>2529</v>
      </c>
      <c r="D39" s="13644" t="s">
        <v>2530</v>
      </c>
      <c r="E39" s="13644" t="s">
        <v>2531</v>
      </c>
      <c r="F39" s="13644" t="s">
        <v>2444</v>
      </c>
      <c r="G39" s="13644" t="s">
        <v>24</v>
      </c>
      <c r="H39" s="13644" t="s">
        <v>24</v>
      </c>
      <c r="I39" s="13644" t="s">
        <v>929</v>
      </c>
    </row>
    <row customHeight="1" ht="11.25">
      <c r="A40" s="13644" t="s">
        <v>2391</v>
      </c>
      <c r="B40" s="13644" t="s">
        <v>14</v>
      </c>
      <c r="C40" s="13644" t="s">
        <v>2532</v>
      </c>
      <c r="D40" s="13644" t="s">
        <v>2533</v>
      </c>
      <c r="E40" s="13644" t="s">
        <v>2534</v>
      </c>
      <c r="F40" s="13644" t="s">
        <v>2535</v>
      </c>
      <c r="G40" s="13644" t="s">
        <v>24</v>
      </c>
      <c r="H40" s="13644" t="s">
        <v>24</v>
      </c>
      <c r="I40" s="13644" t="s">
        <v>929</v>
      </c>
    </row>
    <row customHeight="1" ht="11.25">
      <c r="A41" s="13644" t="s">
        <v>2391</v>
      </c>
      <c r="B41" s="13644" t="s">
        <v>14</v>
      </c>
      <c r="C41" s="13644" t="s">
        <v>2536</v>
      </c>
      <c r="D41" s="13644" t="s">
        <v>2537</v>
      </c>
      <c r="E41" s="13644" t="s">
        <v>2538</v>
      </c>
      <c r="F41" s="13644" t="s">
        <v>2403</v>
      </c>
      <c r="G41" s="13644" t="s">
        <v>2539</v>
      </c>
      <c r="H41" s="13644" t="s">
        <v>24</v>
      </c>
      <c r="I41" s="13644" t="s">
        <v>929</v>
      </c>
    </row>
    <row customHeight="1" ht="11.25">
      <c r="A42" s="13644" t="s">
        <v>2391</v>
      </c>
      <c r="B42" s="13644" t="s">
        <v>14</v>
      </c>
      <c r="C42" s="13644" t="s">
        <v>2540</v>
      </c>
      <c r="D42" s="13644" t="s">
        <v>2541</v>
      </c>
      <c r="E42" s="13644" t="s">
        <v>2542</v>
      </c>
      <c r="F42" s="13644" t="s">
        <v>2483</v>
      </c>
      <c r="G42" s="13644" t="s">
        <v>2543</v>
      </c>
      <c r="H42" s="13644" t="s">
        <v>24</v>
      </c>
      <c r="I42" s="13644" t="s">
        <v>929</v>
      </c>
    </row>
    <row customHeight="1" ht="11.25">
      <c r="A43" s="13644" t="s">
        <v>2391</v>
      </c>
      <c r="B43" s="13644" t="s">
        <v>14</v>
      </c>
      <c r="C43" s="13644" t="s">
        <v>2544</v>
      </c>
      <c r="D43" s="13644" t="s">
        <v>2545</v>
      </c>
      <c r="E43" s="13644" t="s">
        <v>2546</v>
      </c>
      <c r="F43" s="13644" t="s">
        <v>2403</v>
      </c>
      <c r="G43" s="13644" t="s">
        <v>24</v>
      </c>
      <c r="H43" s="13644" t="s">
        <v>24</v>
      </c>
      <c r="I43" s="13644" t="s">
        <v>929</v>
      </c>
    </row>
    <row customHeight="1" ht="11.25">
      <c r="A44" s="13644" t="s">
        <v>2391</v>
      </c>
      <c r="B44" s="13644" t="s">
        <v>14</v>
      </c>
      <c r="C44" s="13644" t="s">
        <v>2547</v>
      </c>
      <c r="D44" s="13644" t="s">
        <v>2548</v>
      </c>
      <c r="E44" s="13644" t="s">
        <v>2549</v>
      </c>
      <c r="F44" s="13644" t="s">
        <v>2550</v>
      </c>
      <c r="G44" s="13644" t="s">
        <v>2551</v>
      </c>
      <c r="H44" s="13644" t="s">
        <v>24</v>
      </c>
      <c r="I44" s="13644" t="s">
        <v>929</v>
      </c>
    </row>
    <row customHeight="1" ht="11.25">
      <c r="A45" s="13644" t="s">
        <v>2391</v>
      </c>
      <c r="B45" s="13644" t="s">
        <v>14</v>
      </c>
      <c r="C45" s="13644" t="s">
        <v>2552</v>
      </c>
      <c r="D45" s="13644" t="s">
        <v>2553</v>
      </c>
      <c r="E45" s="13644" t="s">
        <v>2554</v>
      </c>
      <c r="F45" s="13644" t="s">
        <v>2555</v>
      </c>
      <c r="G45" s="13644" t="s">
        <v>2556</v>
      </c>
      <c r="H45" s="13644" t="s">
        <v>24</v>
      </c>
      <c r="I45" s="13644" t="s">
        <v>929</v>
      </c>
    </row>
    <row customHeight="1" ht="11.25">
      <c r="A46" s="13644" t="s">
        <v>2391</v>
      </c>
      <c r="B46" s="13644" t="s">
        <v>14</v>
      </c>
      <c r="C46" s="13644" t="s">
        <v>2557</v>
      </c>
      <c r="D46" s="13644" t="s">
        <v>2558</v>
      </c>
      <c r="E46" s="13644" t="s">
        <v>2559</v>
      </c>
      <c r="F46" s="13644" t="s">
        <v>2560</v>
      </c>
      <c r="G46" s="13644" t="s">
        <v>24</v>
      </c>
      <c r="H46" s="13644" t="s">
        <v>24</v>
      </c>
      <c r="I46" s="13644" t="s">
        <v>929</v>
      </c>
    </row>
    <row customHeight="1" ht="11.25">
      <c r="A47" s="13644" t="s">
        <v>2391</v>
      </c>
      <c r="B47" s="13644" t="s">
        <v>14</v>
      </c>
      <c r="C47" s="13644" t="s">
        <v>2561</v>
      </c>
      <c r="D47" s="13644" t="s">
        <v>2562</v>
      </c>
      <c r="E47" s="13644" t="s">
        <v>2563</v>
      </c>
      <c r="F47" s="13644" t="s">
        <v>2403</v>
      </c>
      <c r="G47" s="13644" t="s">
        <v>24</v>
      </c>
      <c r="H47" s="13644" t="s">
        <v>24</v>
      </c>
      <c r="I47" s="13644" t="s">
        <v>929</v>
      </c>
    </row>
    <row customHeight="1" ht="11.25">
      <c r="A48" s="13644" t="s">
        <v>2391</v>
      </c>
      <c r="B48" s="13644" t="s">
        <v>14</v>
      </c>
      <c r="C48" s="13644" t="s">
        <v>2564</v>
      </c>
      <c r="D48" s="13644" t="s">
        <v>2565</v>
      </c>
      <c r="E48" s="13644" t="s">
        <v>2566</v>
      </c>
      <c r="F48" s="13644" t="s">
        <v>2403</v>
      </c>
      <c r="G48" s="13644" t="s">
        <v>24</v>
      </c>
      <c r="H48" s="13644" t="s">
        <v>24</v>
      </c>
      <c r="I48" s="13644" t="s">
        <v>929</v>
      </c>
    </row>
    <row customHeight="1" ht="11.25">
      <c r="A49" s="13644" t="s">
        <v>2391</v>
      </c>
      <c r="B49" s="13644" t="s">
        <v>14</v>
      </c>
      <c r="C49" s="13644" t="s">
        <v>2567</v>
      </c>
      <c r="D49" s="13644" t="s">
        <v>2568</v>
      </c>
      <c r="E49" s="13644" t="s">
        <v>2569</v>
      </c>
      <c r="F49" s="13644" t="s">
        <v>2570</v>
      </c>
      <c r="G49" s="13644" t="s">
        <v>2571</v>
      </c>
      <c r="H49" s="13644" t="s">
        <v>24</v>
      </c>
      <c r="I49" s="13644" t="s">
        <v>929</v>
      </c>
    </row>
    <row customHeight="1" ht="11.25">
      <c r="A50" s="13644" t="s">
        <v>2391</v>
      </c>
      <c r="B50" s="13644" t="s">
        <v>14</v>
      </c>
      <c r="C50" s="13644" t="s">
        <v>2572</v>
      </c>
      <c r="D50" s="13644" t="s">
        <v>2573</v>
      </c>
      <c r="E50" s="13644" t="s">
        <v>2574</v>
      </c>
      <c r="F50" s="13644" t="s">
        <v>52</v>
      </c>
      <c r="G50" s="13644" t="s">
        <v>24</v>
      </c>
      <c r="H50" s="13644" t="s">
        <v>2575</v>
      </c>
      <c r="I50" s="13644" t="s">
        <v>929</v>
      </c>
    </row>
    <row customHeight="1" ht="11.25">
      <c r="A51" s="13644" t="s">
        <v>2391</v>
      </c>
      <c r="B51" s="13644" t="s">
        <v>14</v>
      </c>
      <c r="C51" s="13644" t="s">
        <v>2576</v>
      </c>
      <c r="D51" s="13644" t="s">
        <v>2577</v>
      </c>
      <c r="E51" s="13644" t="s">
        <v>2578</v>
      </c>
      <c r="F51" s="13644" t="s">
        <v>2483</v>
      </c>
      <c r="G51" s="13644" t="s">
        <v>24</v>
      </c>
      <c r="H51" s="13644" t="s">
        <v>24</v>
      </c>
      <c r="I51" s="13644" t="s">
        <v>929</v>
      </c>
    </row>
    <row customHeight="1" ht="11.25">
      <c r="A52" s="13644" t="s">
        <v>2391</v>
      </c>
      <c r="B52" s="13644" t="s">
        <v>14</v>
      </c>
      <c r="C52" s="13644" t="s">
        <v>2579</v>
      </c>
      <c r="D52" s="13644" t="s">
        <v>2580</v>
      </c>
      <c r="E52" s="13644" t="s">
        <v>2581</v>
      </c>
      <c r="F52" s="13644" t="s">
        <v>2488</v>
      </c>
      <c r="G52" s="13644" t="s">
        <v>24</v>
      </c>
      <c r="H52" s="13644" t="s">
        <v>24</v>
      </c>
      <c r="I52" s="13644" t="s">
        <v>929</v>
      </c>
    </row>
    <row customHeight="1" ht="11.25">
      <c r="A53" s="13644" t="s">
        <v>2391</v>
      </c>
      <c r="B53" s="13644" t="s">
        <v>14</v>
      </c>
      <c r="C53" s="13644" t="s">
        <v>2582</v>
      </c>
      <c r="D53" s="13644" t="s">
        <v>2583</v>
      </c>
      <c r="E53" s="13644" t="s">
        <v>2584</v>
      </c>
      <c r="F53" s="13644" t="s">
        <v>2499</v>
      </c>
      <c r="G53" s="13644" t="s">
        <v>2585</v>
      </c>
      <c r="H53" s="13644" t="s">
        <v>24</v>
      </c>
      <c r="I53" s="13644" t="s">
        <v>929</v>
      </c>
    </row>
    <row customHeight="1" ht="11.25">
      <c r="A54" s="13644" t="s">
        <v>2391</v>
      </c>
      <c r="B54" s="13644" t="s">
        <v>14</v>
      </c>
      <c r="C54" s="13644" t="s">
        <v>2586</v>
      </c>
      <c r="D54" s="13644" t="s">
        <v>2587</v>
      </c>
      <c r="E54" s="13644" t="s">
        <v>2588</v>
      </c>
      <c r="F54" s="13644" t="s">
        <v>2570</v>
      </c>
      <c r="G54" s="13644" t="s">
        <v>24</v>
      </c>
      <c r="H54" s="13644" t="s">
        <v>24</v>
      </c>
      <c r="I54" s="13644" t="s">
        <v>929</v>
      </c>
    </row>
    <row customHeight="1" ht="11.25">
      <c r="A55" s="13644" t="s">
        <v>2391</v>
      </c>
      <c r="B55" s="13644" t="s">
        <v>14</v>
      </c>
      <c r="C55" s="13644" t="s">
        <v>2589</v>
      </c>
      <c r="D55" s="13644" t="s">
        <v>2590</v>
      </c>
      <c r="E55" s="13644" t="s">
        <v>2591</v>
      </c>
      <c r="F55" s="13644" t="s">
        <v>2592</v>
      </c>
      <c r="G55" s="13644" t="s">
        <v>2593</v>
      </c>
      <c r="H55" s="13644" t="s">
        <v>24</v>
      </c>
      <c r="I55" s="13644" t="s">
        <v>929</v>
      </c>
    </row>
    <row customHeight="1" ht="11.25">
      <c r="A56" s="13644" t="s">
        <v>2391</v>
      </c>
      <c r="B56" s="13644" t="s">
        <v>14</v>
      </c>
      <c r="C56" s="13644" t="s">
        <v>2594</v>
      </c>
      <c r="D56" s="13644" t="s">
        <v>2595</v>
      </c>
      <c r="E56" s="13644" t="s">
        <v>2596</v>
      </c>
      <c r="F56" s="13644" t="s">
        <v>2597</v>
      </c>
      <c r="G56" s="13644" t="s">
        <v>24</v>
      </c>
      <c r="H56" s="13644" t="s">
        <v>24</v>
      </c>
      <c r="I56" s="13644" t="s">
        <v>929</v>
      </c>
    </row>
    <row customHeight="1" ht="11.25">
      <c r="A57" s="13644" t="s">
        <v>2391</v>
      </c>
      <c r="B57" s="13644" t="s">
        <v>14</v>
      </c>
      <c r="C57" s="13644" t="s">
        <v>2598</v>
      </c>
      <c r="D57" s="13644" t="s">
        <v>2599</v>
      </c>
      <c r="E57" s="13644" t="s">
        <v>2600</v>
      </c>
      <c r="F57" s="13644" t="s">
        <v>2435</v>
      </c>
      <c r="G57" s="13644" t="s">
        <v>24</v>
      </c>
      <c r="H57" s="13644" t="s">
        <v>24</v>
      </c>
      <c r="I57" s="13644" t="s">
        <v>929</v>
      </c>
    </row>
    <row customHeight="1" ht="11.25">
      <c r="A58" s="13644" t="s">
        <v>2391</v>
      </c>
      <c r="B58" s="13644" t="s">
        <v>14</v>
      </c>
      <c r="C58" s="13644" t="s">
        <v>2601</v>
      </c>
      <c r="D58" s="13644" t="s">
        <v>2602</v>
      </c>
      <c r="E58" s="13644" t="s">
        <v>2603</v>
      </c>
      <c r="F58" s="13644" t="s">
        <v>52</v>
      </c>
      <c r="G58" s="13644" t="s">
        <v>24</v>
      </c>
      <c r="H58" s="13644" t="s">
        <v>24</v>
      </c>
      <c r="I58" s="13644" t="s">
        <v>929</v>
      </c>
    </row>
    <row customHeight="1" ht="11.25">
      <c r="A59" s="13644" t="s">
        <v>2391</v>
      </c>
      <c r="B59" s="13644" t="s">
        <v>14</v>
      </c>
      <c r="C59" s="13644" t="s">
        <v>2604</v>
      </c>
      <c r="D59" s="13644" t="s">
        <v>2605</v>
      </c>
      <c r="E59" s="13644" t="s">
        <v>2606</v>
      </c>
      <c r="F59" s="13644" t="s">
        <v>2607</v>
      </c>
      <c r="G59" s="13644" t="s">
        <v>2608</v>
      </c>
      <c r="H59" s="13644" t="s">
        <v>24</v>
      </c>
      <c r="I59" s="13644" t="s">
        <v>929</v>
      </c>
    </row>
    <row customHeight="1" ht="11.25">
      <c r="A60" s="13644" t="s">
        <v>2391</v>
      </c>
      <c r="B60" s="13644" t="s">
        <v>14</v>
      </c>
      <c r="C60" s="13644" t="s">
        <v>2609</v>
      </c>
      <c r="D60" s="13644" t="s">
        <v>2610</v>
      </c>
      <c r="E60" s="13644" t="s">
        <v>2554</v>
      </c>
      <c r="F60" s="13644" t="s">
        <v>2611</v>
      </c>
      <c r="G60" s="13644" t="s">
        <v>24</v>
      </c>
      <c r="H60" s="13644" t="s">
        <v>24</v>
      </c>
      <c r="I60" s="13644" t="s">
        <v>929</v>
      </c>
    </row>
    <row customHeight="1" ht="11.25">
      <c r="A61" s="13644" t="s">
        <v>2391</v>
      </c>
      <c r="B61" s="13644" t="s">
        <v>14</v>
      </c>
      <c r="C61" s="13644" t="s">
        <v>2612</v>
      </c>
      <c r="D61" s="13644" t="s">
        <v>2613</v>
      </c>
      <c r="E61" s="13644" t="s">
        <v>2614</v>
      </c>
      <c r="F61" s="13644" t="s">
        <v>52</v>
      </c>
      <c r="G61" s="13644" t="s">
        <v>24</v>
      </c>
      <c r="H61" s="13644" t="s">
        <v>24</v>
      </c>
      <c r="I61" s="13644" t="s">
        <v>929</v>
      </c>
    </row>
    <row customHeight="1" ht="11.25">
      <c r="A62" s="13644" t="s">
        <v>2391</v>
      </c>
      <c r="B62" s="13644" t="s">
        <v>14</v>
      </c>
      <c r="C62" s="13644" t="s">
        <v>2615</v>
      </c>
      <c r="D62" s="13644" t="s">
        <v>2616</v>
      </c>
      <c r="E62" s="13644" t="s">
        <v>2606</v>
      </c>
      <c r="F62" s="13644" t="s">
        <v>2617</v>
      </c>
      <c r="G62" s="13644" t="s">
        <v>2618</v>
      </c>
      <c r="H62" s="13644" t="s">
        <v>24</v>
      </c>
      <c r="I62" s="13644" t="s">
        <v>929</v>
      </c>
    </row>
    <row customHeight="1" ht="11.25">
      <c r="A63" s="13644" t="s">
        <v>2391</v>
      </c>
      <c r="B63" s="13644" t="s">
        <v>14</v>
      </c>
      <c r="C63" s="13644" t="s">
        <v>2619</v>
      </c>
      <c r="D63" s="13644" t="s">
        <v>2620</v>
      </c>
      <c r="E63" s="13644" t="s">
        <v>2621</v>
      </c>
      <c r="F63" s="13644" t="s">
        <v>2403</v>
      </c>
      <c r="G63" s="13644" t="s">
        <v>2622</v>
      </c>
      <c r="H63" s="13644" t="s">
        <v>2623</v>
      </c>
      <c r="I63" s="13644" t="s">
        <v>929</v>
      </c>
    </row>
    <row customHeight="1" ht="11.25">
      <c r="A64" s="13644" t="s">
        <v>2391</v>
      </c>
      <c r="B64" s="13644" t="s">
        <v>14</v>
      </c>
      <c r="C64" s="13644" t="s">
        <v>2624</v>
      </c>
      <c r="D64" s="13644" t="s">
        <v>2625</v>
      </c>
      <c r="E64" s="13644" t="s">
        <v>2626</v>
      </c>
      <c r="F64" s="13644" t="s">
        <v>2627</v>
      </c>
      <c r="G64" s="13644" t="s">
        <v>24</v>
      </c>
      <c r="H64" s="13644" t="s">
        <v>24</v>
      </c>
      <c r="I64" s="13644" t="s">
        <v>929</v>
      </c>
    </row>
    <row customHeight="1" ht="11.25">
      <c r="A65" s="13644" t="s">
        <v>2391</v>
      </c>
      <c r="B65" s="13644" t="s">
        <v>14</v>
      </c>
      <c r="C65" s="13644" t="s">
        <v>2628</v>
      </c>
      <c r="D65" s="13644" t="s">
        <v>2629</v>
      </c>
      <c r="E65" s="13644" t="s">
        <v>2630</v>
      </c>
      <c r="F65" s="13644" t="s">
        <v>2631</v>
      </c>
      <c r="G65" s="13644" t="s">
        <v>2632</v>
      </c>
      <c r="H65" s="13644" t="s">
        <v>24</v>
      </c>
      <c r="I65" s="13644" t="s">
        <v>929</v>
      </c>
    </row>
    <row customHeight="1" ht="11.25">
      <c r="A66" s="13644" t="s">
        <v>2391</v>
      </c>
      <c r="B66" s="13644" t="s">
        <v>14</v>
      </c>
      <c r="C66" s="13644" t="s">
        <v>2633</v>
      </c>
      <c r="D66" s="13644" t="s">
        <v>2634</v>
      </c>
      <c r="E66" s="13644" t="s">
        <v>2635</v>
      </c>
      <c r="F66" s="13644" t="s">
        <v>2631</v>
      </c>
      <c r="G66" s="13644" t="s">
        <v>24</v>
      </c>
      <c r="H66" s="13644" t="s">
        <v>24</v>
      </c>
      <c r="I66" s="13644" t="s">
        <v>929</v>
      </c>
    </row>
    <row customHeight="1" ht="11.25">
      <c r="A67" s="13644" t="s">
        <v>2391</v>
      </c>
      <c r="B67" s="13644" t="s">
        <v>14</v>
      </c>
      <c r="C67" s="13644" t="s">
        <v>2636</v>
      </c>
      <c r="D67" s="13644" t="s">
        <v>2637</v>
      </c>
      <c r="E67" s="13644" t="s">
        <v>2638</v>
      </c>
      <c r="F67" s="13644" t="s">
        <v>2403</v>
      </c>
      <c r="G67" s="13644" t="s">
        <v>24</v>
      </c>
      <c r="H67" s="13644" t="s">
        <v>24</v>
      </c>
      <c r="I67" s="13644" t="s">
        <v>929</v>
      </c>
    </row>
    <row customHeight="1" ht="11.25">
      <c r="A68" s="13644" t="s">
        <v>2391</v>
      </c>
      <c r="B68" s="13644" t="s">
        <v>14</v>
      </c>
      <c r="C68" s="13644" t="s">
        <v>2639</v>
      </c>
      <c r="D68" s="13644" t="s">
        <v>2640</v>
      </c>
      <c r="E68" s="13644" t="s">
        <v>2641</v>
      </c>
      <c r="F68" s="13644" t="s">
        <v>2560</v>
      </c>
      <c r="G68" s="13644" t="s">
        <v>24</v>
      </c>
      <c r="H68" s="13644" t="s">
        <v>24</v>
      </c>
      <c r="I68" s="13644" t="s">
        <v>929</v>
      </c>
    </row>
    <row customHeight="1" ht="11.25">
      <c r="A69" s="13644" t="s">
        <v>2391</v>
      </c>
      <c r="B69" s="13644" t="s">
        <v>14</v>
      </c>
      <c r="C69" s="13644" t="s">
        <v>2392</v>
      </c>
      <c r="D69" s="13644" t="s">
        <v>2393</v>
      </c>
      <c r="E69" s="13644" t="s">
        <v>2394</v>
      </c>
      <c r="F69" s="13644" t="s">
        <v>2395</v>
      </c>
      <c r="G69" s="13644" t="s">
        <v>2396</v>
      </c>
      <c r="H69" s="13644" t="s">
        <v>24</v>
      </c>
      <c r="I69" s="13644" t="s">
        <v>1013</v>
      </c>
    </row>
    <row customHeight="1" ht="11.25">
      <c r="A70" s="13644" t="s">
        <v>2391</v>
      </c>
      <c r="B70" s="13644" t="s">
        <v>14</v>
      </c>
      <c r="C70" s="13644" t="s">
        <v>2397</v>
      </c>
      <c r="D70" s="13644" t="s">
        <v>2393</v>
      </c>
      <c r="E70" s="13644" t="s">
        <v>2394</v>
      </c>
      <c r="F70" s="13644" t="s">
        <v>2398</v>
      </c>
      <c r="G70" s="13644" t="s">
        <v>2399</v>
      </c>
      <c r="H70" s="13644" t="s">
        <v>24</v>
      </c>
      <c r="I70" s="13644" t="s">
        <v>1013</v>
      </c>
    </row>
    <row customHeight="1" ht="11.25">
      <c r="A71" s="13644" t="s">
        <v>2391</v>
      </c>
      <c r="B71" s="13644" t="s">
        <v>14</v>
      </c>
      <c r="C71" s="13644" t="s">
        <v>2408</v>
      </c>
      <c r="D71" s="13644" t="s">
        <v>2409</v>
      </c>
      <c r="E71" s="13644" t="s">
        <v>2410</v>
      </c>
      <c r="F71" s="13644" t="s">
        <v>2411</v>
      </c>
      <c r="G71" s="13644" t="s">
        <v>24</v>
      </c>
      <c r="H71" s="13644" t="s">
        <v>24</v>
      </c>
      <c r="I71" s="13644" t="s">
        <v>1013</v>
      </c>
    </row>
    <row customHeight="1" ht="11.25">
      <c r="A72" s="13644" t="s">
        <v>2391</v>
      </c>
      <c r="B72" s="13644" t="s">
        <v>14</v>
      </c>
      <c r="C72" s="13644" t="s">
        <v>2412</v>
      </c>
      <c r="D72" s="13644" t="s">
        <v>2413</v>
      </c>
      <c r="E72" s="13644" t="s">
        <v>2414</v>
      </c>
      <c r="F72" s="13644" t="s">
        <v>2411</v>
      </c>
      <c r="G72" s="13644" t="s">
        <v>2415</v>
      </c>
      <c r="H72" s="13644" t="s">
        <v>24</v>
      </c>
      <c r="I72" s="13644" t="s">
        <v>1013</v>
      </c>
    </row>
    <row customHeight="1" ht="11.25">
      <c r="A73" s="13644" t="s">
        <v>2391</v>
      </c>
      <c r="B73" s="13644" t="s">
        <v>14</v>
      </c>
      <c r="C73" s="13644" t="s">
        <v>2416</v>
      </c>
      <c r="D73" s="13644" t="s">
        <v>2417</v>
      </c>
      <c r="E73" s="13644" t="s">
        <v>2418</v>
      </c>
      <c r="F73" s="13644" t="s">
        <v>2419</v>
      </c>
      <c r="G73" s="13644" t="s">
        <v>24</v>
      </c>
      <c r="H73" s="13644" t="s">
        <v>24</v>
      </c>
      <c r="I73" s="13644" t="s">
        <v>1013</v>
      </c>
    </row>
    <row customHeight="1" ht="11.25">
      <c r="A74" s="13644" t="s">
        <v>2391</v>
      </c>
      <c r="B74" s="13644" t="s">
        <v>14</v>
      </c>
      <c r="C74" s="13644" t="s">
        <v>2420</v>
      </c>
      <c r="D74" s="13644" t="s">
        <v>2421</v>
      </c>
      <c r="E74" s="13644" t="s">
        <v>2422</v>
      </c>
      <c r="F74" s="13644" t="s">
        <v>52</v>
      </c>
      <c r="G74" s="13644" t="s">
        <v>24</v>
      </c>
      <c r="H74" s="13644" t="s">
        <v>24</v>
      </c>
      <c r="I74" s="13644" t="s">
        <v>1013</v>
      </c>
    </row>
    <row customHeight="1" ht="11.25">
      <c r="A75" s="13644" t="s">
        <v>2391</v>
      </c>
      <c r="B75" s="13644" t="s">
        <v>14</v>
      </c>
      <c r="C75" s="13644" t="s">
        <v>2427</v>
      </c>
      <c r="D75" s="13644" t="s">
        <v>47</v>
      </c>
      <c r="E75" s="13644" t="s">
        <v>50</v>
      </c>
      <c r="F75" s="13644" t="s">
        <v>52</v>
      </c>
      <c r="G75" s="13644" t="s">
        <v>24</v>
      </c>
      <c r="H75" s="13644" t="s">
        <v>24</v>
      </c>
      <c r="I75" s="13644" t="s">
        <v>1013</v>
      </c>
    </row>
    <row customHeight="1" ht="11.25">
      <c r="A76" s="13644" t="s">
        <v>2391</v>
      </c>
      <c r="B76" s="13644" t="s">
        <v>14</v>
      </c>
      <c r="C76" s="13644" t="s">
        <v>2432</v>
      </c>
      <c r="D76" s="13644" t="s">
        <v>2433</v>
      </c>
      <c r="E76" s="13644" t="s">
        <v>2434</v>
      </c>
      <c r="F76" s="13644" t="s">
        <v>2435</v>
      </c>
      <c r="G76" s="13644" t="s">
        <v>2436</v>
      </c>
      <c r="H76" s="13644" t="s">
        <v>24</v>
      </c>
      <c r="I76" s="13644" t="s">
        <v>1013</v>
      </c>
    </row>
    <row customHeight="1" ht="11.25">
      <c r="A77" s="13644" t="s">
        <v>2391</v>
      </c>
      <c r="B77" s="13644" t="s">
        <v>14</v>
      </c>
      <c r="C77" s="13644" t="s">
        <v>2437</v>
      </c>
      <c r="D77" s="13644" t="s">
        <v>2438</v>
      </c>
      <c r="E77" s="13644" t="s">
        <v>2439</v>
      </c>
      <c r="F77" s="13644" t="s">
        <v>2440</v>
      </c>
      <c r="G77" s="13644" t="s">
        <v>24</v>
      </c>
      <c r="H77" s="13644" t="s">
        <v>24</v>
      </c>
      <c r="I77" s="13644" t="s">
        <v>1013</v>
      </c>
    </row>
    <row customHeight="1" ht="11.25">
      <c r="A78" s="13644" t="s">
        <v>2391</v>
      </c>
      <c r="B78" s="13644" t="s">
        <v>14</v>
      </c>
      <c r="C78" s="13644" t="s">
        <v>2450</v>
      </c>
      <c r="D78" s="13644" t="s">
        <v>2451</v>
      </c>
      <c r="E78" s="13644" t="s">
        <v>2452</v>
      </c>
      <c r="F78" s="13644" t="s">
        <v>52</v>
      </c>
      <c r="G78" s="13644" t="s">
        <v>2453</v>
      </c>
      <c r="H78" s="13644" t="s">
        <v>24</v>
      </c>
      <c r="I78" s="13644" t="s">
        <v>1013</v>
      </c>
    </row>
    <row customHeight="1" ht="11.25">
      <c r="A79" s="13644" t="s">
        <v>2391</v>
      </c>
      <c r="B79" s="13644" t="s">
        <v>14</v>
      </c>
      <c r="C79" s="13644" t="s">
        <v>2461</v>
      </c>
      <c r="D79" s="13644" t="s">
        <v>2462</v>
      </c>
      <c r="E79" s="13644" t="s">
        <v>2463</v>
      </c>
      <c r="F79" s="13644" t="s">
        <v>52</v>
      </c>
      <c r="G79" s="13644" t="s">
        <v>2464</v>
      </c>
      <c r="H79" s="13644" t="s">
        <v>24</v>
      </c>
      <c r="I79" s="13644" t="s">
        <v>1013</v>
      </c>
    </row>
    <row customHeight="1" ht="11.25">
      <c r="A80" s="13644" t="s">
        <v>2391</v>
      </c>
      <c r="B80" s="13644" t="s">
        <v>14</v>
      </c>
      <c r="C80" s="13644" t="s">
        <v>2465</v>
      </c>
      <c r="D80" s="13644" t="s">
        <v>2466</v>
      </c>
      <c r="E80" s="13644" t="s">
        <v>2467</v>
      </c>
      <c r="F80" s="13644" t="s">
        <v>2468</v>
      </c>
      <c r="G80" s="13644" t="s">
        <v>24</v>
      </c>
      <c r="H80" s="13644" t="s">
        <v>24</v>
      </c>
      <c r="I80" s="13644" t="s">
        <v>1013</v>
      </c>
    </row>
    <row customHeight="1" ht="11.25">
      <c r="A81" s="13644" t="s">
        <v>2391</v>
      </c>
      <c r="B81" s="13644" t="s">
        <v>14</v>
      </c>
      <c r="C81" s="13644" t="s">
        <v>2485</v>
      </c>
      <c r="D81" s="13644" t="s">
        <v>2486</v>
      </c>
      <c r="E81" s="13644" t="s">
        <v>2487</v>
      </c>
      <c r="F81" s="13644" t="s">
        <v>2488</v>
      </c>
      <c r="G81" s="13644" t="s">
        <v>24</v>
      </c>
      <c r="H81" s="13644" t="s">
        <v>24</v>
      </c>
      <c r="I81" s="13644" t="s">
        <v>1013</v>
      </c>
    </row>
    <row customHeight="1" ht="11.25">
      <c r="A82" s="13644" t="s">
        <v>2391</v>
      </c>
      <c r="B82" s="13644" t="s">
        <v>14</v>
      </c>
      <c r="C82" s="13644" t="s">
        <v>2492</v>
      </c>
      <c r="D82" s="13644" t="s">
        <v>2493</v>
      </c>
      <c r="E82" s="13644" t="s">
        <v>2494</v>
      </c>
      <c r="F82" s="13644" t="s">
        <v>2495</v>
      </c>
      <c r="G82" s="13644" t="s">
        <v>24</v>
      </c>
      <c r="H82" s="13644" t="s">
        <v>24</v>
      </c>
      <c r="I82" s="13644" t="s">
        <v>1013</v>
      </c>
    </row>
    <row customHeight="1" ht="11.25">
      <c r="A83" s="13644" t="s">
        <v>2391</v>
      </c>
      <c r="B83" s="13644" t="s">
        <v>14</v>
      </c>
      <c r="C83" s="13644" t="s">
        <v>2496</v>
      </c>
      <c r="D83" s="13644" t="s">
        <v>2497</v>
      </c>
      <c r="E83" s="13644" t="s">
        <v>2498</v>
      </c>
      <c r="F83" s="13644" t="s">
        <v>2499</v>
      </c>
      <c r="G83" s="13644" t="s">
        <v>24</v>
      </c>
      <c r="H83" s="13644" t="s">
        <v>24</v>
      </c>
      <c r="I83" s="13644" t="s">
        <v>1013</v>
      </c>
    </row>
    <row customHeight="1" ht="11.25">
      <c r="A84" s="13644" t="s">
        <v>2391</v>
      </c>
      <c r="B84" s="13644" t="s">
        <v>14</v>
      </c>
      <c r="C84" s="13644" t="s">
        <v>2500</v>
      </c>
      <c r="D84" s="13644" t="s">
        <v>2501</v>
      </c>
      <c r="E84" s="13644" t="s">
        <v>2502</v>
      </c>
      <c r="F84" s="13644" t="s">
        <v>2403</v>
      </c>
      <c r="G84" s="13644" t="s">
        <v>24</v>
      </c>
      <c r="H84" s="13644" t="s">
        <v>24</v>
      </c>
      <c r="I84" s="13644" t="s">
        <v>1013</v>
      </c>
    </row>
    <row customHeight="1" ht="11.25">
      <c r="A85" s="13644" t="s">
        <v>2391</v>
      </c>
      <c r="B85" s="13644" t="s">
        <v>14</v>
      </c>
      <c r="C85" s="13644" t="s">
        <v>2503</v>
      </c>
      <c r="D85" s="13644" t="s">
        <v>2504</v>
      </c>
      <c r="E85" s="13644" t="s">
        <v>2505</v>
      </c>
      <c r="F85" s="13644" t="s">
        <v>2444</v>
      </c>
      <c r="G85" s="13644" t="s">
        <v>24</v>
      </c>
      <c r="H85" s="13644" t="s">
        <v>24</v>
      </c>
      <c r="I85" s="13644" t="s">
        <v>1013</v>
      </c>
    </row>
    <row customHeight="1" ht="11.25">
      <c r="A86" s="13644" t="s">
        <v>2391</v>
      </c>
      <c r="B86" s="13644" t="s">
        <v>14</v>
      </c>
      <c r="C86" s="13644" t="s">
        <v>2506</v>
      </c>
      <c r="D86" s="13644" t="s">
        <v>2507</v>
      </c>
      <c r="E86" s="13644" t="s">
        <v>2508</v>
      </c>
      <c r="F86" s="13644" t="s">
        <v>2403</v>
      </c>
      <c r="G86" s="13644" t="s">
        <v>24</v>
      </c>
      <c r="H86" s="13644" t="s">
        <v>24</v>
      </c>
      <c r="I86" s="13644" t="s">
        <v>1013</v>
      </c>
    </row>
    <row customHeight="1" ht="11.25">
      <c r="A87" s="13644" t="s">
        <v>2391</v>
      </c>
      <c r="B87" s="13644" t="s">
        <v>14</v>
      </c>
      <c r="C87" s="13644" t="s">
        <v>2509</v>
      </c>
      <c r="D87" s="13644" t="s">
        <v>2510</v>
      </c>
      <c r="E87" s="13644" t="s">
        <v>2511</v>
      </c>
      <c r="F87" s="13644" t="s">
        <v>52</v>
      </c>
      <c r="G87" s="13644" t="s">
        <v>24</v>
      </c>
      <c r="H87" s="13644" t="s">
        <v>24</v>
      </c>
      <c r="I87" s="13644" t="s">
        <v>1013</v>
      </c>
    </row>
    <row customHeight="1" ht="11.25">
      <c r="A88" s="13644" t="s">
        <v>2391</v>
      </c>
      <c r="B88" s="13644" t="s">
        <v>14</v>
      </c>
      <c r="C88" s="13644" t="s">
        <v>2523</v>
      </c>
      <c r="D88" s="13644" t="s">
        <v>2524</v>
      </c>
      <c r="E88" s="13644" t="s">
        <v>2525</v>
      </c>
      <c r="F88" s="13644" t="s">
        <v>2468</v>
      </c>
      <c r="G88" s="13644" t="s">
        <v>24</v>
      </c>
      <c r="H88" s="13644" t="s">
        <v>24</v>
      </c>
      <c r="I88" s="13644" t="s">
        <v>1013</v>
      </c>
    </row>
    <row customHeight="1" ht="11.25">
      <c r="A89" s="13644" t="s">
        <v>2391</v>
      </c>
      <c r="B89" s="13644" t="s">
        <v>14</v>
      </c>
      <c r="C89" s="13644" t="s">
        <v>2526</v>
      </c>
      <c r="D89" s="13644" t="s">
        <v>2527</v>
      </c>
      <c r="E89" s="13644" t="s">
        <v>2528</v>
      </c>
      <c r="F89" s="13644" t="s">
        <v>2403</v>
      </c>
      <c r="G89" s="13644" t="s">
        <v>24</v>
      </c>
      <c r="H89" s="13644" t="s">
        <v>24</v>
      </c>
      <c r="I89" s="13644" t="s">
        <v>1013</v>
      </c>
    </row>
    <row customHeight="1" ht="11.25">
      <c r="A90" s="13644" t="s">
        <v>2391</v>
      </c>
      <c r="B90" s="13644" t="s">
        <v>14</v>
      </c>
      <c r="C90" s="13644" t="s">
        <v>2529</v>
      </c>
      <c r="D90" s="13644" t="s">
        <v>2530</v>
      </c>
      <c r="E90" s="13644" t="s">
        <v>2531</v>
      </c>
      <c r="F90" s="13644" t="s">
        <v>2444</v>
      </c>
      <c r="G90" s="13644" t="s">
        <v>24</v>
      </c>
      <c r="H90" s="13644" t="s">
        <v>24</v>
      </c>
      <c r="I90" s="13644" t="s">
        <v>1013</v>
      </c>
    </row>
    <row customHeight="1" ht="11.25">
      <c r="A91" s="13644" t="s">
        <v>2391</v>
      </c>
      <c r="B91" s="13644" t="s">
        <v>14</v>
      </c>
      <c r="C91" s="13644" t="s">
        <v>2532</v>
      </c>
      <c r="D91" s="13644" t="s">
        <v>2533</v>
      </c>
      <c r="E91" s="13644" t="s">
        <v>2534</v>
      </c>
      <c r="F91" s="13644" t="s">
        <v>2535</v>
      </c>
      <c r="G91" s="13644" t="s">
        <v>24</v>
      </c>
      <c r="H91" s="13644" t="s">
        <v>24</v>
      </c>
      <c r="I91" s="13644" t="s">
        <v>1013</v>
      </c>
    </row>
    <row customHeight="1" ht="11.25">
      <c r="A92" s="13644" t="s">
        <v>2391</v>
      </c>
      <c r="B92" s="13644" t="s">
        <v>14</v>
      </c>
      <c r="C92" s="13644" t="s">
        <v>2544</v>
      </c>
      <c r="D92" s="13644" t="s">
        <v>2545</v>
      </c>
      <c r="E92" s="13644" t="s">
        <v>2546</v>
      </c>
      <c r="F92" s="13644" t="s">
        <v>2403</v>
      </c>
      <c r="G92" s="13644" t="s">
        <v>24</v>
      </c>
      <c r="H92" s="13644" t="s">
        <v>24</v>
      </c>
      <c r="I92" s="13644" t="s">
        <v>1013</v>
      </c>
    </row>
    <row customHeight="1" ht="11.25">
      <c r="A93" s="13644" t="s">
        <v>2391</v>
      </c>
      <c r="B93" s="13644" t="s">
        <v>14</v>
      </c>
      <c r="C93" s="13644" t="s">
        <v>2547</v>
      </c>
      <c r="D93" s="13644" t="s">
        <v>2548</v>
      </c>
      <c r="E93" s="13644" t="s">
        <v>2549</v>
      </c>
      <c r="F93" s="13644" t="s">
        <v>2550</v>
      </c>
      <c r="G93" s="13644" t="s">
        <v>2551</v>
      </c>
      <c r="H93" s="13644" t="s">
        <v>24</v>
      </c>
      <c r="I93" s="13644" t="s">
        <v>1013</v>
      </c>
    </row>
    <row customHeight="1" ht="11.25">
      <c r="A94" s="13644" t="s">
        <v>2391</v>
      </c>
      <c r="B94" s="13644" t="s">
        <v>14</v>
      </c>
      <c r="C94" s="13644" t="s">
        <v>2557</v>
      </c>
      <c r="D94" s="13644" t="s">
        <v>2558</v>
      </c>
      <c r="E94" s="13644" t="s">
        <v>2559</v>
      </c>
      <c r="F94" s="13644" t="s">
        <v>2560</v>
      </c>
      <c r="G94" s="13644" t="s">
        <v>24</v>
      </c>
      <c r="H94" s="13644" t="s">
        <v>24</v>
      </c>
      <c r="I94" s="13644" t="s">
        <v>1013</v>
      </c>
    </row>
    <row customHeight="1" ht="11.25">
      <c r="A95" s="13644" t="s">
        <v>2391</v>
      </c>
      <c r="B95" s="13644" t="s">
        <v>14</v>
      </c>
      <c r="C95" s="13644" t="s">
        <v>2561</v>
      </c>
      <c r="D95" s="13644" t="s">
        <v>2562</v>
      </c>
      <c r="E95" s="13644" t="s">
        <v>2563</v>
      </c>
      <c r="F95" s="13644" t="s">
        <v>2403</v>
      </c>
      <c r="G95" s="13644" t="s">
        <v>24</v>
      </c>
      <c r="H95" s="13644" t="s">
        <v>24</v>
      </c>
      <c r="I95" s="13644" t="s">
        <v>1013</v>
      </c>
    </row>
    <row customHeight="1" ht="11.25">
      <c r="A96" s="13644" t="s">
        <v>2391</v>
      </c>
      <c r="B96" s="13644" t="s">
        <v>14</v>
      </c>
      <c r="C96" s="13644" t="s">
        <v>2564</v>
      </c>
      <c r="D96" s="13644" t="s">
        <v>2565</v>
      </c>
      <c r="E96" s="13644" t="s">
        <v>2566</v>
      </c>
      <c r="F96" s="13644" t="s">
        <v>2403</v>
      </c>
      <c r="G96" s="13644" t="s">
        <v>24</v>
      </c>
      <c r="H96" s="13644" t="s">
        <v>24</v>
      </c>
      <c r="I96" s="13644" t="s">
        <v>1013</v>
      </c>
    </row>
    <row customHeight="1" ht="11.25">
      <c r="A97" s="13644" t="s">
        <v>2391</v>
      </c>
      <c r="B97" s="13644" t="s">
        <v>14</v>
      </c>
      <c r="C97" s="13644" t="s">
        <v>2567</v>
      </c>
      <c r="D97" s="13644" t="s">
        <v>2568</v>
      </c>
      <c r="E97" s="13644" t="s">
        <v>2569</v>
      </c>
      <c r="F97" s="13644" t="s">
        <v>2570</v>
      </c>
      <c r="G97" s="13644" t="s">
        <v>2571</v>
      </c>
      <c r="H97" s="13644" t="s">
        <v>24</v>
      </c>
      <c r="I97" s="13644" t="s">
        <v>1013</v>
      </c>
    </row>
    <row customHeight="1" ht="11.25">
      <c r="A98" s="13644" t="s">
        <v>2391</v>
      </c>
      <c r="B98" s="13644" t="s">
        <v>14</v>
      </c>
      <c r="C98" s="13644" t="s">
        <v>2572</v>
      </c>
      <c r="D98" s="13644" t="s">
        <v>2573</v>
      </c>
      <c r="E98" s="13644" t="s">
        <v>2574</v>
      </c>
      <c r="F98" s="13644" t="s">
        <v>52</v>
      </c>
      <c r="G98" s="13644" t="s">
        <v>24</v>
      </c>
      <c r="H98" s="13644" t="s">
        <v>2575</v>
      </c>
      <c r="I98" s="13644" t="s">
        <v>1013</v>
      </c>
    </row>
    <row customHeight="1" ht="11.25">
      <c r="A99" s="13644" t="s">
        <v>2391</v>
      </c>
      <c r="B99" s="13644" t="s">
        <v>14</v>
      </c>
      <c r="C99" s="13644" t="s">
        <v>2576</v>
      </c>
      <c r="D99" s="13644" t="s">
        <v>2577</v>
      </c>
      <c r="E99" s="13644" t="s">
        <v>2578</v>
      </c>
      <c r="F99" s="13644" t="s">
        <v>2483</v>
      </c>
      <c r="G99" s="13644" t="s">
        <v>24</v>
      </c>
      <c r="H99" s="13644" t="s">
        <v>24</v>
      </c>
      <c r="I99" s="13644" t="s">
        <v>1013</v>
      </c>
    </row>
    <row customHeight="1" ht="11.25">
      <c r="A100" s="13644" t="s">
        <v>2391</v>
      </c>
      <c r="B100" s="13644" t="s">
        <v>14</v>
      </c>
      <c r="C100" s="13644" t="s">
        <v>2582</v>
      </c>
      <c r="D100" s="13644" t="s">
        <v>2583</v>
      </c>
      <c r="E100" s="13644" t="s">
        <v>2584</v>
      </c>
      <c r="F100" s="13644" t="s">
        <v>2499</v>
      </c>
      <c r="G100" s="13644" t="s">
        <v>2585</v>
      </c>
      <c r="H100" s="13644" t="s">
        <v>24</v>
      </c>
      <c r="I100" s="13644" t="s">
        <v>1013</v>
      </c>
    </row>
    <row customHeight="1" ht="11.25">
      <c r="A101" s="13644" t="s">
        <v>2391</v>
      </c>
      <c r="B101" s="13644" t="s">
        <v>14</v>
      </c>
      <c r="C101" s="13644" t="s">
        <v>2586</v>
      </c>
      <c r="D101" s="13644" t="s">
        <v>2587</v>
      </c>
      <c r="E101" s="13644" t="s">
        <v>2588</v>
      </c>
      <c r="F101" s="13644" t="s">
        <v>2570</v>
      </c>
      <c r="G101" s="13644" t="s">
        <v>24</v>
      </c>
      <c r="H101" s="13644" t="s">
        <v>24</v>
      </c>
      <c r="I101" s="13644" t="s">
        <v>1013</v>
      </c>
    </row>
    <row customHeight="1" ht="11.25">
      <c r="A102" s="13644" t="s">
        <v>2391</v>
      </c>
      <c r="B102" s="13644" t="s">
        <v>14</v>
      </c>
      <c r="C102" s="13644" t="s">
        <v>2594</v>
      </c>
      <c r="D102" s="13644" t="s">
        <v>2595</v>
      </c>
      <c r="E102" s="13644" t="s">
        <v>2596</v>
      </c>
      <c r="F102" s="13644" t="s">
        <v>2597</v>
      </c>
      <c r="G102" s="13644" t="s">
        <v>24</v>
      </c>
      <c r="H102" s="13644" t="s">
        <v>24</v>
      </c>
      <c r="I102" s="13644" t="s">
        <v>1013</v>
      </c>
    </row>
    <row customHeight="1" ht="11.25">
      <c r="A103" s="13644" t="s">
        <v>2391</v>
      </c>
      <c r="B103" s="13644" t="s">
        <v>14</v>
      </c>
      <c r="C103" s="13644" t="s">
        <v>2598</v>
      </c>
      <c r="D103" s="13644" t="s">
        <v>2599</v>
      </c>
      <c r="E103" s="13644" t="s">
        <v>2600</v>
      </c>
      <c r="F103" s="13644" t="s">
        <v>2435</v>
      </c>
      <c r="G103" s="13644" t="s">
        <v>24</v>
      </c>
      <c r="H103" s="13644" t="s">
        <v>24</v>
      </c>
      <c r="I103" s="13644" t="s">
        <v>1013</v>
      </c>
    </row>
    <row customHeight="1" ht="11.25">
      <c r="A104" s="13644" t="s">
        <v>2391</v>
      </c>
      <c r="B104" s="13644" t="s">
        <v>14</v>
      </c>
      <c r="C104" s="13644" t="s">
        <v>2601</v>
      </c>
      <c r="D104" s="13644" t="s">
        <v>2602</v>
      </c>
      <c r="E104" s="13644" t="s">
        <v>2603</v>
      </c>
      <c r="F104" s="13644" t="s">
        <v>52</v>
      </c>
      <c r="G104" s="13644" t="s">
        <v>24</v>
      </c>
      <c r="H104" s="13644" t="s">
        <v>24</v>
      </c>
      <c r="I104" s="13644" t="s">
        <v>1013</v>
      </c>
    </row>
    <row customHeight="1" ht="11.25">
      <c r="A105" s="13644" t="s">
        <v>2391</v>
      </c>
      <c r="B105" s="13644" t="s">
        <v>14</v>
      </c>
      <c r="C105" s="13644" t="s">
        <v>2604</v>
      </c>
      <c r="D105" s="13644" t="s">
        <v>2605</v>
      </c>
      <c r="E105" s="13644" t="s">
        <v>2606</v>
      </c>
      <c r="F105" s="13644" t="s">
        <v>2607</v>
      </c>
      <c r="G105" s="13644" t="s">
        <v>2608</v>
      </c>
      <c r="H105" s="13644" t="s">
        <v>24</v>
      </c>
      <c r="I105" s="13644" t="s">
        <v>1013</v>
      </c>
    </row>
    <row customHeight="1" ht="11.25">
      <c r="A106" s="13644" t="s">
        <v>2391</v>
      </c>
      <c r="B106" s="13644" t="s">
        <v>14</v>
      </c>
      <c r="C106" s="13644" t="s">
        <v>2612</v>
      </c>
      <c r="D106" s="13644" t="s">
        <v>2613</v>
      </c>
      <c r="E106" s="13644" t="s">
        <v>2614</v>
      </c>
      <c r="F106" s="13644" t="s">
        <v>52</v>
      </c>
      <c r="G106" s="13644" t="s">
        <v>24</v>
      </c>
      <c r="H106" s="13644" t="s">
        <v>24</v>
      </c>
      <c r="I106" s="13644" t="s">
        <v>1013</v>
      </c>
    </row>
    <row customHeight="1" ht="11.25">
      <c r="A107" s="13644" t="s">
        <v>2391</v>
      </c>
      <c r="B107" s="13644" t="s">
        <v>14</v>
      </c>
      <c r="C107" s="13644" t="s">
        <v>2615</v>
      </c>
      <c r="D107" s="13644" t="s">
        <v>2616</v>
      </c>
      <c r="E107" s="13644" t="s">
        <v>2606</v>
      </c>
      <c r="F107" s="13644" t="s">
        <v>2617</v>
      </c>
      <c r="G107" s="13644" t="s">
        <v>2618</v>
      </c>
      <c r="H107" s="13644" t="s">
        <v>24</v>
      </c>
      <c r="I107" s="13644" t="s">
        <v>1013</v>
      </c>
    </row>
    <row customHeight="1" ht="11.25">
      <c r="A108" s="13644" t="s">
        <v>2391</v>
      </c>
      <c r="B108" s="13644" t="s">
        <v>14</v>
      </c>
      <c r="C108" s="13644" t="s">
        <v>2624</v>
      </c>
      <c r="D108" s="13644" t="s">
        <v>2625</v>
      </c>
      <c r="E108" s="13644" t="s">
        <v>2626</v>
      </c>
      <c r="F108" s="13644" t="s">
        <v>2627</v>
      </c>
      <c r="G108" s="13644" t="s">
        <v>24</v>
      </c>
      <c r="H108" s="13644" t="s">
        <v>24</v>
      </c>
      <c r="I108" s="13644" t="s">
        <v>1013</v>
      </c>
    </row>
    <row customHeight="1" ht="11.25">
      <c r="A109" s="13644" t="s">
        <v>2391</v>
      </c>
      <c r="B109" s="13644" t="s">
        <v>14</v>
      </c>
      <c r="C109" s="13644" t="s">
        <v>2633</v>
      </c>
      <c r="D109" s="13644" t="s">
        <v>2634</v>
      </c>
      <c r="E109" s="13644" t="s">
        <v>2635</v>
      </c>
      <c r="F109" s="13644" t="s">
        <v>2631</v>
      </c>
      <c r="G109" s="13644" t="s">
        <v>24</v>
      </c>
      <c r="H109" s="13644" t="s">
        <v>24</v>
      </c>
      <c r="I109" s="13644" t="s">
        <v>1013</v>
      </c>
    </row>
    <row customHeight="1" ht="11.25">
      <c r="A110" s="13644" t="s">
        <v>2391</v>
      </c>
      <c r="B110" s="13644" t="s">
        <v>14</v>
      </c>
      <c r="C110" s="13644" t="s">
        <v>2392</v>
      </c>
      <c r="D110" s="13644" t="s">
        <v>2393</v>
      </c>
      <c r="E110" s="13644" t="s">
        <v>2394</v>
      </c>
      <c r="F110" s="13644" t="s">
        <v>2395</v>
      </c>
      <c r="G110" s="13644" t="s">
        <v>2396</v>
      </c>
      <c r="H110" s="13644" t="s">
        <v>24</v>
      </c>
      <c r="I110" s="13644" t="s">
        <v>975</v>
      </c>
    </row>
    <row customHeight="1" ht="11.25">
      <c r="A111" s="13644" t="s">
        <v>2391</v>
      </c>
      <c r="B111" s="13644" t="s">
        <v>14</v>
      </c>
      <c r="C111" s="13644" t="s">
        <v>2397</v>
      </c>
      <c r="D111" s="13644" t="s">
        <v>2393</v>
      </c>
      <c r="E111" s="13644" t="s">
        <v>2394</v>
      </c>
      <c r="F111" s="13644" t="s">
        <v>2398</v>
      </c>
      <c r="G111" s="13644" t="s">
        <v>2399</v>
      </c>
      <c r="H111" s="13644" t="s">
        <v>24</v>
      </c>
      <c r="I111" s="13644" t="s">
        <v>975</v>
      </c>
    </row>
    <row customHeight="1" ht="11.25">
      <c r="A112" s="13644" t="s">
        <v>2391</v>
      </c>
      <c r="B112" s="13644" t="s">
        <v>14</v>
      </c>
      <c r="C112" s="13644" t="s">
        <v>2642</v>
      </c>
      <c r="D112" s="13644" t="s">
        <v>2643</v>
      </c>
      <c r="E112" s="13644" t="s">
        <v>2644</v>
      </c>
      <c r="F112" s="13644" t="s">
        <v>2457</v>
      </c>
      <c r="G112" s="13644" t="s">
        <v>2645</v>
      </c>
      <c r="H112" s="13644" t="s">
        <v>24</v>
      </c>
      <c r="I112" s="13644" t="s">
        <v>975</v>
      </c>
    </row>
    <row customHeight="1" ht="11.25">
      <c r="A113" s="13644" t="s">
        <v>2391</v>
      </c>
      <c r="B113" s="13644" t="s">
        <v>14</v>
      </c>
      <c r="C113" s="13644" t="s">
        <v>2400</v>
      </c>
      <c r="D113" s="13644" t="s">
        <v>2401</v>
      </c>
      <c r="E113" s="13644" t="s">
        <v>2402</v>
      </c>
      <c r="F113" s="13644" t="s">
        <v>2403</v>
      </c>
      <c r="G113" s="13644" t="s">
        <v>24</v>
      </c>
      <c r="H113" s="13644" t="s">
        <v>24</v>
      </c>
      <c r="I113" s="13644" t="s">
        <v>975</v>
      </c>
    </row>
    <row customHeight="1" ht="11.25">
      <c r="A114" s="13644" t="s">
        <v>2391</v>
      </c>
      <c r="B114" s="13644" t="s">
        <v>14</v>
      </c>
      <c r="C114" s="13644" t="s">
        <v>2646</v>
      </c>
      <c r="D114" s="13644" t="s">
        <v>2647</v>
      </c>
      <c r="E114" s="13644" t="s">
        <v>2648</v>
      </c>
      <c r="F114" s="13644" t="s">
        <v>2403</v>
      </c>
      <c r="G114" s="13644" t="s">
        <v>2649</v>
      </c>
      <c r="H114" s="13644" t="s">
        <v>24</v>
      </c>
      <c r="I114" s="13644" t="s">
        <v>975</v>
      </c>
    </row>
    <row customHeight="1" ht="11.25">
      <c r="A115" s="13644" t="s">
        <v>2391</v>
      </c>
      <c r="B115" s="13644" t="s">
        <v>14</v>
      </c>
      <c r="C115" s="13644" t="s">
        <v>2412</v>
      </c>
      <c r="D115" s="13644" t="s">
        <v>2413</v>
      </c>
      <c r="E115" s="13644" t="s">
        <v>2414</v>
      </c>
      <c r="F115" s="13644" t="s">
        <v>2411</v>
      </c>
      <c r="G115" s="13644" t="s">
        <v>2415</v>
      </c>
      <c r="H115" s="13644" t="s">
        <v>24</v>
      </c>
      <c r="I115" s="13644" t="s">
        <v>975</v>
      </c>
    </row>
    <row customHeight="1" ht="11.25">
      <c r="A116" s="13644" t="s">
        <v>2391</v>
      </c>
      <c r="B116" s="13644" t="s">
        <v>14</v>
      </c>
      <c r="C116" s="13644" t="s">
        <v>2650</v>
      </c>
      <c r="D116" s="13644" t="s">
        <v>2651</v>
      </c>
      <c r="E116" s="13644" t="s">
        <v>2652</v>
      </c>
      <c r="F116" s="13644" t="s">
        <v>2419</v>
      </c>
      <c r="G116" s="13644" t="s">
        <v>2653</v>
      </c>
      <c r="H116" s="13644" t="s">
        <v>24</v>
      </c>
      <c r="I116" s="13644" t="s">
        <v>975</v>
      </c>
    </row>
    <row customHeight="1" ht="11.25">
      <c r="A117" s="13644" t="s">
        <v>2391</v>
      </c>
      <c r="B117" s="13644" t="s">
        <v>14</v>
      </c>
      <c r="C117" s="13644" t="s">
        <v>2423</v>
      </c>
      <c r="D117" s="13644" t="s">
        <v>2424</v>
      </c>
      <c r="E117" s="13644" t="s">
        <v>2425</v>
      </c>
      <c r="F117" s="13644" t="s">
        <v>52</v>
      </c>
      <c r="G117" s="13644" t="s">
        <v>2426</v>
      </c>
      <c r="H117" s="13644" t="s">
        <v>24</v>
      </c>
      <c r="I117" s="13644" t="s">
        <v>975</v>
      </c>
    </row>
    <row customHeight="1" ht="11.25">
      <c r="A118" s="13644" t="s">
        <v>2391</v>
      </c>
      <c r="B118" s="13644" t="s">
        <v>14</v>
      </c>
      <c r="C118" s="13644" t="s">
        <v>2428</v>
      </c>
      <c r="D118" s="13644" t="s">
        <v>2429</v>
      </c>
      <c r="E118" s="13644" t="s">
        <v>2430</v>
      </c>
      <c r="F118" s="13644" t="s">
        <v>2431</v>
      </c>
      <c r="G118" s="13644" t="s">
        <v>24</v>
      </c>
      <c r="H118" s="13644" t="s">
        <v>24</v>
      </c>
      <c r="I118" s="13644" t="s">
        <v>975</v>
      </c>
    </row>
    <row customHeight="1" ht="11.25">
      <c r="A119" s="13644" t="s">
        <v>2391</v>
      </c>
      <c r="B119" s="13644" t="s">
        <v>14</v>
      </c>
      <c r="C119" s="13644" t="s">
        <v>2432</v>
      </c>
      <c r="D119" s="13644" t="s">
        <v>2433</v>
      </c>
      <c r="E119" s="13644" t="s">
        <v>2434</v>
      </c>
      <c r="F119" s="13644" t="s">
        <v>2435</v>
      </c>
      <c r="G119" s="13644" t="s">
        <v>2436</v>
      </c>
      <c r="H119" s="13644" t="s">
        <v>24</v>
      </c>
      <c r="I119" s="13644" t="s">
        <v>975</v>
      </c>
    </row>
    <row customHeight="1" ht="11.25">
      <c r="A120" s="13644" t="s">
        <v>2391</v>
      </c>
      <c r="B120" s="13644" t="s">
        <v>14</v>
      </c>
      <c r="C120" s="13644" t="s">
        <v>2654</v>
      </c>
      <c r="D120" s="13644" t="s">
        <v>2655</v>
      </c>
      <c r="E120" s="13644" t="s">
        <v>2448</v>
      </c>
      <c r="F120" s="13644" t="s">
        <v>2631</v>
      </c>
      <c r="G120" s="13644" t="s">
        <v>2656</v>
      </c>
      <c r="H120" s="13644" t="s">
        <v>24</v>
      </c>
      <c r="I120" s="13644" t="s">
        <v>975</v>
      </c>
    </row>
    <row customHeight="1" ht="11.25">
      <c r="A121" s="13644" t="s">
        <v>2391</v>
      </c>
      <c r="B121" s="13644" t="s">
        <v>14</v>
      </c>
      <c r="C121" s="13644" t="s">
        <v>2450</v>
      </c>
      <c r="D121" s="13644" t="s">
        <v>2451</v>
      </c>
      <c r="E121" s="13644" t="s">
        <v>2452</v>
      </c>
      <c r="F121" s="13644" t="s">
        <v>52</v>
      </c>
      <c r="G121" s="13644" t="s">
        <v>2453</v>
      </c>
      <c r="H121" s="13644" t="s">
        <v>24</v>
      </c>
      <c r="I121" s="13644" t="s">
        <v>975</v>
      </c>
    </row>
    <row customHeight="1" ht="11.25">
      <c r="A122" s="13644" t="s">
        <v>2391</v>
      </c>
      <c r="B122" s="13644" t="s">
        <v>14</v>
      </c>
      <c r="C122" s="13644" t="s">
        <v>2657</v>
      </c>
      <c r="D122" s="13644" t="s">
        <v>2658</v>
      </c>
      <c r="E122" s="13644" t="s">
        <v>2659</v>
      </c>
      <c r="F122" s="13644" t="s">
        <v>2483</v>
      </c>
      <c r="G122" s="13644" t="s">
        <v>2660</v>
      </c>
      <c r="H122" s="13644" t="s">
        <v>24</v>
      </c>
      <c r="I122" s="13644" t="s">
        <v>975</v>
      </c>
    </row>
    <row customHeight="1" ht="11.25">
      <c r="A123" s="13644" t="s">
        <v>2391</v>
      </c>
      <c r="B123" s="13644" t="s">
        <v>14</v>
      </c>
      <c r="C123" s="13644" t="s">
        <v>2461</v>
      </c>
      <c r="D123" s="13644" t="s">
        <v>2462</v>
      </c>
      <c r="E123" s="13644" t="s">
        <v>2463</v>
      </c>
      <c r="F123" s="13644" t="s">
        <v>52</v>
      </c>
      <c r="G123" s="13644" t="s">
        <v>2464</v>
      </c>
      <c r="H123" s="13644" t="s">
        <v>24</v>
      </c>
      <c r="I123" s="13644" t="s">
        <v>975</v>
      </c>
    </row>
    <row customHeight="1" ht="11.25">
      <c r="A124" s="13644" t="s">
        <v>2391</v>
      </c>
      <c r="B124" s="13644" t="s">
        <v>14</v>
      </c>
      <c r="C124" s="13644" t="s">
        <v>2465</v>
      </c>
      <c r="D124" s="13644" t="s">
        <v>2466</v>
      </c>
      <c r="E124" s="13644" t="s">
        <v>2467</v>
      </c>
      <c r="F124" s="13644" t="s">
        <v>2468</v>
      </c>
      <c r="G124" s="13644" t="s">
        <v>24</v>
      </c>
      <c r="H124" s="13644" t="s">
        <v>24</v>
      </c>
      <c r="I124" s="13644" t="s">
        <v>975</v>
      </c>
    </row>
    <row customHeight="1" ht="11.25">
      <c r="A125" s="13644" t="s">
        <v>2391</v>
      </c>
      <c r="B125" s="13644" t="s">
        <v>14</v>
      </c>
      <c r="C125" s="13644" t="s">
        <v>2661</v>
      </c>
      <c r="D125" s="13644" t="s">
        <v>2662</v>
      </c>
      <c r="E125" s="13644" t="s">
        <v>2663</v>
      </c>
      <c r="F125" s="13644" t="s">
        <v>2403</v>
      </c>
      <c r="G125" s="13644" t="s">
        <v>24</v>
      </c>
      <c r="H125" s="13644" t="s">
        <v>24</v>
      </c>
      <c r="I125" s="13644" t="s">
        <v>975</v>
      </c>
    </row>
    <row customHeight="1" ht="11.25">
      <c r="A126" s="13644" t="s">
        <v>2391</v>
      </c>
      <c r="B126" s="13644" t="s">
        <v>14</v>
      </c>
      <c r="C126" s="13644" t="s">
        <v>2469</v>
      </c>
      <c r="D126" s="13644" t="s">
        <v>2470</v>
      </c>
      <c r="E126" s="13644" t="s">
        <v>2471</v>
      </c>
      <c r="F126" s="13644" t="s">
        <v>2403</v>
      </c>
      <c r="G126" s="13644" t="s">
        <v>24</v>
      </c>
      <c r="H126" s="13644" t="s">
        <v>24</v>
      </c>
      <c r="I126" s="13644" t="s">
        <v>975</v>
      </c>
    </row>
    <row customHeight="1" ht="11.25">
      <c r="A127" s="13644" t="s">
        <v>2391</v>
      </c>
      <c r="B127" s="13644" t="s">
        <v>14</v>
      </c>
      <c r="C127" s="13644" t="s">
        <v>2472</v>
      </c>
      <c r="D127" s="13644" t="s">
        <v>2473</v>
      </c>
      <c r="E127" s="13644" t="s">
        <v>2474</v>
      </c>
      <c r="F127" s="13644" t="s">
        <v>2468</v>
      </c>
      <c r="G127" s="13644" t="s">
        <v>2475</v>
      </c>
      <c r="H127" s="13644" t="s">
        <v>24</v>
      </c>
      <c r="I127" s="13644" t="s">
        <v>975</v>
      </c>
    </row>
    <row customHeight="1" ht="11.25">
      <c r="A128" s="13644" t="s">
        <v>2391</v>
      </c>
      <c r="B128" s="13644" t="s">
        <v>14</v>
      </c>
      <c r="C128" s="13644" t="s">
        <v>2476</v>
      </c>
      <c r="D128" s="13644" t="s">
        <v>2477</v>
      </c>
      <c r="E128" s="13644" t="s">
        <v>2478</v>
      </c>
      <c r="F128" s="13644" t="s">
        <v>2468</v>
      </c>
      <c r="G128" s="13644" t="s">
        <v>2479</v>
      </c>
      <c r="H128" s="13644" t="s">
        <v>24</v>
      </c>
      <c r="I128" s="13644" t="s">
        <v>975</v>
      </c>
    </row>
    <row customHeight="1" ht="11.25">
      <c r="A129" s="13644" t="s">
        <v>2391</v>
      </c>
      <c r="B129" s="13644" t="s">
        <v>14</v>
      </c>
      <c r="C129" s="13644" t="s">
        <v>2480</v>
      </c>
      <c r="D129" s="13644" t="s">
        <v>2481</v>
      </c>
      <c r="E129" s="13644" t="s">
        <v>2482</v>
      </c>
      <c r="F129" s="13644" t="s">
        <v>2483</v>
      </c>
      <c r="G129" s="13644" t="s">
        <v>2484</v>
      </c>
      <c r="H129" s="13644" t="s">
        <v>24</v>
      </c>
      <c r="I129" s="13644" t="s">
        <v>975</v>
      </c>
    </row>
    <row customHeight="1" ht="11.25">
      <c r="A130" s="13644" t="s">
        <v>2391</v>
      </c>
      <c r="B130" s="13644" t="s">
        <v>14</v>
      </c>
      <c r="C130" s="13644" t="s">
        <v>2485</v>
      </c>
      <c r="D130" s="13644" t="s">
        <v>2486</v>
      </c>
      <c r="E130" s="13644" t="s">
        <v>2487</v>
      </c>
      <c r="F130" s="13644" t="s">
        <v>2488</v>
      </c>
      <c r="G130" s="13644" t="s">
        <v>24</v>
      </c>
      <c r="H130" s="13644" t="s">
        <v>24</v>
      </c>
      <c r="I130" s="13644" t="s">
        <v>975</v>
      </c>
    </row>
    <row customHeight="1" ht="11.25">
      <c r="A131" s="13644" t="s">
        <v>2391</v>
      </c>
      <c r="B131" s="13644" t="s">
        <v>14</v>
      </c>
      <c r="C131" s="13644" t="s">
        <v>2664</v>
      </c>
      <c r="D131" s="13644" t="s">
        <v>2665</v>
      </c>
      <c r="E131" s="13644" t="s">
        <v>2666</v>
      </c>
      <c r="F131" s="13644" t="s">
        <v>2667</v>
      </c>
      <c r="G131" s="13644" t="s">
        <v>24</v>
      </c>
      <c r="H131" s="13644" t="s">
        <v>24</v>
      </c>
      <c r="I131" s="13644" t="s">
        <v>975</v>
      </c>
    </row>
    <row customHeight="1" ht="11.25">
      <c r="A132" s="13644" t="s">
        <v>2391</v>
      </c>
      <c r="B132" s="13644" t="s">
        <v>14</v>
      </c>
      <c r="C132" s="13644" t="s">
        <v>2496</v>
      </c>
      <c r="D132" s="13644" t="s">
        <v>2497</v>
      </c>
      <c r="E132" s="13644" t="s">
        <v>2498</v>
      </c>
      <c r="F132" s="13644" t="s">
        <v>2499</v>
      </c>
      <c r="G132" s="13644" t="s">
        <v>24</v>
      </c>
      <c r="H132" s="13644" t="s">
        <v>24</v>
      </c>
      <c r="I132" s="13644" t="s">
        <v>975</v>
      </c>
    </row>
    <row customHeight="1" ht="11.25">
      <c r="A133" s="13644" t="s">
        <v>2391</v>
      </c>
      <c r="B133" s="13644" t="s">
        <v>14</v>
      </c>
      <c r="C133" s="13644" t="s">
        <v>2500</v>
      </c>
      <c r="D133" s="13644" t="s">
        <v>2501</v>
      </c>
      <c r="E133" s="13644" t="s">
        <v>2502</v>
      </c>
      <c r="F133" s="13644" t="s">
        <v>2403</v>
      </c>
      <c r="G133" s="13644" t="s">
        <v>24</v>
      </c>
      <c r="H133" s="13644" t="s">
        <v>24</v>
      </c>
      <c r="I133" s="13644" t="s">
        <v>975</v>
      </c>
    </row>
    <row customHeight="1" ht="11.25">
      <c r="A134" s="13644" t="s">
        <v>2391</v>
      </c>
      <c r="B134" s="13644" t="s">
        <v>14</v>
      </c>
      <c r="C134" s="13644" t="s">
        <v>2668</v>
      </c>
      <c r="D134" s="13644" t="s">
        <v>2669</v>
      </c>
      <c r="E134" s="13644" t="s">
        <v>2670</v>
      </c>
      <c r="F134" s="13644" t="s">
        <v>2499</v>
      </c>
      <c r="G134" s="13644" t="s">
        <v>2671</v>
      </c>
      <c r="H134" s="13644" t="s">
        <v>24</v>
      </c>
      <c r="I134" s="13644" t="s">
        <v>975</v>
      </c>
    </row>
    <row customHeight="1" ht="11.25">
      <c r="A135" s="13644" t="s">
        <v>2391</v>
      </c>
      <c r="B135" s="13644" t="s">
        <v>14</v>
      </c>
      <c r="C135" s="13644" t="s">
        <v>2506</v>
      </c>
      <c r="D135" s="13644" t="s">
        <v>2507</v>
      </c>
      <c r="E135" s="13644" t="s">
        <v>2508</v>
      </c>
      <c r="F135" s="13644" t="s">
        <v>2403</v>
      </c>
      <c r="G135" s="13644" t="s">
        <v>24</v>
      </c>
      <c r="H135" s="13644" t="s">
        <v>24</v>
      </c>
      <c r="I135" s="13644" t="s">
        <v>975</v>
      </c>
    </row>
    <row customHeight="1" ht="11.25">
      <c r="A136" s="13644" t="s">
        <v>2391</v>
      </c>
      <c r="B136" s="13644" t="s">
        <v>14</v>
      </c>
      <c r="C136" s="13644" t="s">
        <v>2512</v>
      </c>
      <c r="D136" s="13644" t="s">
        <v>2513</v>
      </c>
      <c r="E136" s="13644" t="s">
        <v>2514</v>
      </c>
      <c r="F136" s="13644" t="s">
        <v>2483</v>
      </c>
      <c r="G136" s="13644" t="s">
        <v>24</v>
      </c>
      <c r="H136" s="13644" t="s">
        <v>24</v>
      </c>
      <c r="I136" s="13644" t="s">
        <v>975</v>
      </c>
    </row>
    <row customHeight="1" ht="11.25">
      <c r="A137" s="13644" t="s">
        <v>2391</v>
      </c>
      <c r="B137" s="13644" t="s">
        <v>14</v>
      </c>
      <c r="C137" s="13644" t="s">
        <v>2515</v>
      </c>
      <c r="D137" s="13644" t="s">
        <v>2516</v>
      </c>
      <c r="E137" s="13644" t="s">
        <v>2517</v>
      </c>
      <c r="F137" s="13644" t="s">
        <v>2483</v>
      </c>
      <c r="G137" s="13644" t="s">
        <v>2518</v>
      </c>
      <c r="H137" s="13644" t="s">
        <v>24</v>
      </c>
      <c r="I137" s="13644" t="s">
        <v>975</v>
      </c>
    </row>
    <row customHeight="1" ht="11.25">
      <c r="A138" s="13644" t="s">
        <v>2391</v>
      </c>
      <c r="B138" s="13644" t="s">
        <v>14</v>
      </c>
      <c r="C138" s="13644" t="s">
        <v>2672</v>
      </c>
      <c r="D138" s="13644" t="s">
        <v>2673</v>
      </c>
      <c r="E138" s="13644" t="s">
        <v>2674</v>
      </c>
      <c r="F138" s="13644" t="s">
        <v>2550</v>
      </c>
      <c r="G138" s="13644" t="s">
        <v>2675</v>
      </c>
      <c r="H138" s="13644" t="s">
        <v>24</v>
      </c>
      <c r="I138" s="13644" t="s">
        <v>975</v>
      </c>
    </row>
    <row customHeight="1" ht="11.25">
      <c r="A139" s="13644" t="s">
        <v>2391</v>
      </c>
      <c r="B139" s="13644" t="s">
        <v>14</v>
      </c>
      <c r="C139" s="13644" t="s">
        <v>2676</v>
      </c>
      <c r="D139" s="13644" t="s">
        <v>2677</v>
      </c>
      <c r="E139" s="13644" t="s">
        <v>2678</v>
      </c>
      <c r="F139" s="13644" t="s">
        <v>2468</v>
      </c>
      <c r="G139" s="13644" t="s">
        <v>24</v>
      </c>
      <c r="H139" s="13644" t="s">
        <v>24</v>
      </c>
      <c r="I139" s="13644" t="s">
        <v>975</v>
      </c>
    </row>
    <row customHeight="1" ht="11.25">
      <c r="A140" s="13644" t="s">
        <v>2391</v>
      </c>
      <c r="B140" s="13644" t="s">
        <v>14</v>
      </c>
      <c r="C140" s="13644" t="s">
        <v>2526</v>
      </c>
      <c r="D140" s="13644" t="s">
        <v>2527</v>
      </c>
      <c r="E140" s="13644" t="s">
        <v>2528</v>
      </c>
      <c r="F140" s="13644" t="s">
        <v>2403</v>
      </c>
      <c r="G140" s="13644" t="s">
        <v>24</v>
      </c>
      <c r="H140" s="13644" t="s">
        <v>24</v>
      </c>
      <c r="I140" s="13644" t="s">
        <v>975</v>
      </c>
    </row>
    <row customHeight="1" ht="11.25">
      <c r="A141" s="13644" t="s">
        <v>2391</v>
      </c>
      <c r="B141" s="13644" t="s">
        <v>14</v>
      </c>
      <c r="C141" s="13644" t="s">
        <v>2532</v>
      </c>
      <c r="D141" s="13644" t="s">
        <v>2533</v>
      </c>
      <c r="E141" s="13644" t="s">
        <v>2534</v>
      </c>
      <c r="F141" s="13644" t="s">
        <v>2535</v>
      </c>
      <c r="G141" s="13644" t="s">
        <v>24</v>
      </c>
      <c r="H141" s="13644" t="s">
        <v>24</v>
      </c>
      <c r="I141" s="13644" t="s">
        <v>975</v>
      </c>
    </row>
    <row customHeight="1" ht="11.25">
      <c r="A142" s="13644" t="s">
        <v>2391</v>
      </c>
      <c r="B142" s="13644" t="s">
        <v>14</v>
      </c>
      <c r="C142" s="13644" t="s">
        <v>2540</v>
      </c>
      <c r="D142" s="13644" t="s">
        <v>2541</v>
      </c>
      <c r="E142" s="13644" t="s">
        <v>2542</v>
      </c>
      <c r="F142" s="13644" t="s">
        <v>2483</v>
      </c>
      <c r="G142" s="13644" t="s">
        <v>2543</v>
      </c>
      <c r="H142" s="13644" t="s">
        <v>24</v>
      </c>
      <c r="I142" s="13644" t="s">
        <v>975</v>
      </c>
    </row>
    <row customHeight="1" ht="11.25">
      <c r="A143" s="13644" t="s">
        <v>2391</v>
      </c>
      <c r="B143" s="13644" t="s">
        <v>14</v>
      </c>
      <c r="C143" s="13644" t="s">
        <v>2544</v>
      </c>
      <c r="D143" s="13644" t="s">
        <v>2545</v>
      </c>
      <c r="E143" s="13644" t="s">
        <v>2546</v>
      </c>
      <c r="F143" s="13644" t="s">
        <v>2403</v>
      </c>
      <c r="G143" s="13644" t="s">
        <v>24</v>
      </c>
      <c r="H143" s="13644" t="s">
        <v>24</v>
      </c>
      <c r="I143" s="13644" t="s">
        <v>975</v>
      </c>
    </row>
    <row customHeight="1" ht="11.25">
      <c r="A144" s="13644" t="s">
        <v>2391</v>
      </c>
      <c r="B144" s="13644" t="s">
        <v>14</v>
      </c>
      <c r="C144" s="13644" t="s">
        <v>2679</v>
      </c>
      <c r="D144" s="13644" t="s">
        <v>2680</v>
      </c>
      <c r="E144" s="13644" t="s">
        <v>2681</v>
      </c>
      <c r="F144" s="13644" t="s">
        <v>2667</v>
      </c>
      <c r="G144" s="13644" t="s">
        <v>24</v>
      </c>
      <c r="H144" s="13644" t="s">
        <v>2682</v>
      </c>
      <c r="I144" s="13644" t="s">
        <v>975</v>
      </c>
    </row>
    <row customHeight="1" ht="11.25">
      <c r="A145" s="13644" t="s">
        <v>2391</v>
      </c>
      <c r="B145" s="13644" t="s">
        <v>14</v>
      </c>
      <c r="C145" s="13644" t="s">
        <v>2683</v>
      </c>
      <c r="D145" s="13644" t="s">
        <v>2684</v>
      </c>
      <c r="E145" s="13644" t="s">
        <v>2685</v>
      </c>
      <c r="F145" s="13644" t="s">
        <v>52</v>
      </c>
      <c r="G145" s="13644" t="s">
        <v>2686</v>
      </c>
      <c r="H145" s="13644" t="s">
        <v>24</v>
      </c>
      <c r="I145" s="13644" t="s">
        <v>975</v>
      </c>
    </row>
    <row customHeight="1" ht="11.25">
      <c r="A146" s="13644" t="s">
        <v>2391</v>
      </c>
      <c r="B146" s="13644" t="s">
        <v>14</v>
      </c>
      <c r="C146" s="13644" t="s">
        <v>2552</v>
      </c>
      <c r="D146" s="13644" t="s">
        <v>2553</v>
      </c>
      <c r="E146" s="13644" t="s">
        <v>2554</v>
      </c>
      <c r="F146" s="13644" t="s">
        <v>2555</v>
      </c>
      <c r="G146" s="13644" t="s">
        <v>2556</v>
      </c>
      <c r="H146" s="13644" t="s">
        <v>24</v>
      </c>
      <c r="I146" s="13644" t="s">
        <v>975</v>
      </c>
    </row>
    <row customHeight="1" ht="11.25">
      <c r="A147" s="13644" t="s">
        <v>2391</v>
      </c>
      <c r="B147" s="13644" t="s">
        <v>14</v>
      </c>
      <c r="C147" s="13644" t="s">
        <v>2687</v>
      </c>
      <c r="D147" s="13644" t="s">
        <v>2688</v>
      </c>
      <c r="E147" s="13644" t="s">
        <v>2689</v>
      </c>
      <c r="F147" s="13644" t="s">
        <v>2690</v>
      </c>
      <c r="G147" s="13644" t="s">
        <v>2691</v>
      </c>
      <c r="H147" s="13644" t="s">
        <v>24</v>
      </c>
      <c r="I147" s="13644" t="s">
        <v>975</v>
      </c>
    </row>
    <row customHeight="1" ht="11.25">
      <c r="A148" s="13644" t="s">
        <v>2391</v>
      </c>
      <c r="B148" s="13644" t="s">
        <v>14</v>
      </c>
      <c r="C148" s="13644" t="s">
        <v>2557</v>
      </c>
      <c r="D148" s="13644" t="s">
        <v>2558</v>
      </c>
      <c r="E148" s="13644" t="s">
        <v>2559</v>
      </c>
      <c r="F148" s="13644" t="s">
        <v>2560</v>
      </c>
      <c r="G148" s="13644" t="s">
        <v>24</v>
      </c>
      <c r="H148" s="13644" t="s">
        <v>24</v>
      </c>
      <c r="I148" s="13644" t="s">
        <v>975</v>
      </c>
    </row>
    <row customHeight="1" ht="11.25">
      <c r="A149" s="13644" t="s">
        <v>2391</v>
      </c>
      <c r="B149" s="13644" t="s">
        <v>14</v>
      </c>
      <c r="C149" s="13644" t="s">
        <v>2692</v>
      </c>
      <c r="D149" s="13644" t="s">
        <v>2693</v>
      </c>
      <c r="E149" s="13644" t="s">
        <v>2694</v>
      </c>
      <c r="F149" s="13644" t="s">
        <v>2695</v>
      </c>
      <c r="G149" s="13644" t="s">
        <v>24</v>
      </c>
      <c r="H149" s="13644" t="s">
        <v>24</v>
      </c>
      <c r="I149" s="13644" t="s">
        <v>975</v>
      </c>
    </row>
    <row customHeight="1" ht="11.25">
      <c r="A150" s="13644" t="s">
        <v>2391</v>
      </c>
      <c r="B150" s="13644" t="s">
        <v>14</v>
      </c>
      <c r="C150" s="13644" t="s">
        <v>2696</v>
      </c>
      <c r="D150" s="13644" t="s">
        <v>2697</v>
      </c>
      <c r="E150" s="13644" t="s">
        <v>2698</v>
      </c>
      <c r="F150" s="13644" t="s">
        <v>2695</v>
      </c>
      <c r="G150" s="13644" t="s">
        <v>24</v>
      </c>
      <c r="H150" s="13644" t="s">
        <v>24</v>
      </c>
      <c r="I150" s="13644" t="s">
        <v>975</v>
      </c>
    </row>
    <row customHeight="1" ht="11.25">
      <c r="A151" s="13644" t="s">
        <v>2391</v>
      </c>
      <c r="B151" s="13644" t="s">
        <v>14</v>
      </c>
      <c r="C151" s="13644" t="s">
        <v>2699</v>
      </c>
      <c r="D151" s="13644" t="s">
        <v>2700</v>
      </c>
      <c r="E151" s="13644" t="s">
        <v>2701</v>
      </c>
      <c r="F151" s="13644" t="s">
        <v>2690</v>
      </c>
      <c r="G151" s="13644" t="s">
        <v>2702</v>
      </c>
      <c r="H151" s="13644" t="s">
        <v>24</v>
      </c>
      <c r="I151" s="13644" t="s">
        <v>975</v>
      </c>
    </row>
    <row customHeight="1" ht="11.25">
      <c r="A152" s="13644" t="s">
        <v>2391</v>
      </c>
      <c r="B152" s="13644" t="s">
        <v>14</v>
      </c>
      <c r="C152" s="13644" t="s">
        <v>2567</v>
      </c>
      <c r="D152" s="13644" t="s">
        <v>2568</v>
      </c>
      <c r="E152" s="13644" t="s">
        <v>2569</v>
      </c>
      <c r="F152" s="13644" t="s">
        <v>2570</v>
      </c>
      <c r="G152" s="13644" t="s">
        <v>2571</v>
      </c>
      <c r="H152" s="13644" t="s">
        <v>24</v>
      </c>
      <c r="I152" s="13644" t="s">
        <v>975</v>
      </c>
    </row>
    <row customHeight="1" ht="11.25">
      <c r="A153" s="13644" t="s">
        <v>2391</v>
      </c>
      <c r="B153" s="13644" t="s">
        <v>14</v>
      </c>
      <c r="C153" s="13644" t="s">
        <v>2703</v>
      </c>
      <c r="D153" s="13644" t="s">
        <v>2704</v>
      </c>
      <c r="E153" s="13644" t="s">
        <v>2705</v>
      </c>
      <c r="F153" s="13644" t="s">
        <v>2550</v>
      </c>
      <c r="G153" s="13644" t="s">
        <v>24</v>
      </c>
      <c r="H153" s="13644" t="s">
        <v>24</v>
      </c>
      <c r="I153" s="13644" t="s">
        <v>975</v>
      </c>
    </row>
    <row customHeight="1" ht="11.25">
      <c r="A154" s="13644" t="s">
        <v>2391</v>
      </c>
      <c r="B154" s="13644" t="s">
        <v>14</v>
      </c>
      <c r="C154" s="13644" t="s">
        <v>2706</v>
      </c>
      <c r="D154" s="13644" t="s">
        <v>2707</v>
      </c>
      <c r="E154" s="13644" t="s">
        <v>2708</v>
      </c>
      <c r="F154" s="13644" t="s">
        <v>2597</v>
      </c>
      <c r="G154" s="13644" t="s">
        <v>2709</v>
      </c>
      <c r="H154" s="13644" t="s">
        <v>24</v>
      </c>
      <c r="I154" s="13644" t="s">
        <v>975</v>
      </c>
    </row>
    <row customHeight="1" ht="11.25">
      <c r="A155" s="13644" t="s">
        <v>2391</v>
      </c>
      <c r="B155" s="13644" t="s">
        <v>14</v>
      </c>
      <c r="C155" s="13644" t="s">
        <v>2582</v>
      </c>
      <c r="D155" s="13644" t="s">
        <v>2583</v>
      </c>
      <c r="E155" s="13644" t="s">
        <v>2584</v>
      </c>
      <c r="F155" s="13644" t="s">
        <v>2499</v>
      </c>
      <c r="G155" s="13644" t="s">
        <v>2585</v>
      </c>
      <c r="H155" s="13644" t="s">
        <v>24</v>
      </c>
      <c r="I155" s="13644" t="s">
        <v>975</v>
      </c>
    </row>
    <row customHeight="1" ht="11.25">
      <c r="A156" s="13644" t="s">
        <v>2391</v>
      </c>
      <c r="B156" s="13644" t="s">
        <v>14</v>
      </c>
      <c r="C156" s="13644" t="s">
        <v>2710</v>
      </c>
      <c r="D156" s="13644" t="s">
        <v>2711</v>
      </c>
      <c r="E156" s="13644" t="s">
        <v>2712</v>
      </c>
      <c r="F156" s="13644" t="s">
        <v>2403</v>
      </c>
      <c r="G156" s="13644" t="s">
        <v>24</v>
      </c>
      <c r="H156" s="13644" t="s">
        <v>24</v>
      </c>
      <c r="I156" s="13644" t="s">
        <v>975</v>
      </c>
    </row>
    <row customHeight="1" ht="11.25">
      <c r="A157" s="13644" t="s">
        <v>2391</v>
      </c>
      <c r="B157" s="13644" t="s">
        <v>14</v>
      </c>
      <c r="C157" s="13644" t="s">
        <v>2604</v>
      </c>
      <c r="D157" s="13644" t="s">
        <v>2605</v>
      </c>
      <c r="E157" s="13644" t="s">
        <v>2606</v>
      </c>
      <c r="F157" s="13644" t="s">
        <v>2607</v>
      </c>
      <c r="G157" s="13644" t="s">
        <v>2608</v>
      </c>
      <c r="H157" s="13644" t="s">
        <v>24</v>
      </c>
      <c r="I157" s="13644" t="s">
        <v>975</v>
      </c>
    </row>
    <row customHeight="1" ht="11.25">
      <c r="A158" s="13644" t="s">
        <v>2391</v>
      </c>
      <c r="B158" s="13644" t="s">
        <v>14</v>
      </c>
      <c r="C158" s="13644" t="s">
        <v>2609</v>
      </c>
      <c r="D158" s="13644" t="s">
        <v>2610</v>
      </c>
      <c r="E158" s="13644" t="s">
        <v>2554</v>
      </c>
      <c r="F158" s="13644" t="s">
        <v>2611</v>
      </c>
      <c r="G158" s="13644" t="s">
        <v>24</v>
      </c>
      <c r="H158" s="13644" t="s">
        <v>24</v>
      </c>
      <c r="I158" s="13644" t="s">
        <v>975</v>
      </c>
    </row>
    <row customHeight="1" ht="11.25">
      <c r="A159" s="13644" t="s">
        <v>2391</v>
      </c>
      <c r="B159" s="13644" t="s">
        <v>14</v>
      </c>
      <c r="C159" s="13644" t="s">
        <v>2615</v>
      </c>
      <c r="D159" s="13644" t="s">
        <v>2616</v>
      </c>
      <c r="E159" s="13644" t="s">
        <v>2606</v>
      </c>
      <c r="F159" s="13644" t="s">
        <v>2617</v>
      </c>
      <c r="G159" s="13644" t="s">
        <v>2618</v>
      </c>
      <c r="H159" s="13644" t="s">
        <v>24</v>
      </c>
      <c r="I159" s="13644" t="s">
        <v>975</v>
      </c>
    </row>
    <row customHeight="1" ht="11.25">
      <c r="A160" s="13644" t="s">
        <v>2391</v>
      </c>
      <c r="B160" s="13644" t="s">
        <v>14</v>
      </c>
      <c r="C160" s="13644" t="s">
        <v>2619</v>
      </c>
      <c r="D160" s="13644" t="s">
        <v>2620</v>
      </c>
      <c r="E160" s="13644" t="s">
        <v>2621</v>
      </c>
      <c r="F160" s="13644" t="s">
        <v>2403</v>
      </c>
      <c r="G160" s="13644" t="s">
        <v>2622</v>
      </c>
      <c r="H160" s="13644" t="s">
        <v>2623</v>
      </c>
      <c r="I160" s="13644" t="s">
        <v>975</v>
      </c>
    </row>
    <row customHeight="1" ht="11.25">
      <c r="A161" s="13644" t="s">
        <v>2391</v>
      </c>
      <c r="B161" s="13644" t="s">
        <v>14</v>
      </c>
      <c r="C161" s="13644" t="s">
        <v>2624</v>
      </c>
      <c r="D161" s="13644" t="s">
        <v>2625</v>
      </c>
      <c r="E161" s="13644" t="s">
        <v>2626</v>
      </c>
      <c r="F161" s="13644" t="s">
        <v>2627</v>
      </c>
      <c r="G161" s="13644" t="s">
        <v>24</v>
      </c>
      <c r="H161" s="13644" t="s">
        <v>24</v>
      </c>
      <c r="I161" s="13644" t="s">
        <v>975</v>
      </c>
    </row>
    <row customHeight="1" ht="11.25">
      <c r="A162" s="13644" t="s">
        <v>2391</v>
      </c>
      <c r="B162" s="13644" t="s">
        <v>14</v>
      </c>
      <c r="C162" s="13644" t="s">
        <v>2633</v>
      </c>
      <c r="D162" s="13644" t="s">
        <v>2634</v>
      </c>
      <c r="E162" s="13644" t="s">
        <v>2635</v>
      </c>
      <c r="F162" s="13644" t="s">
        <v>2631</v>
      </c>
      <c r="G162" s="13644" t="s">
        <v>24</v>
      </c>
      <c r="H162" s="13644" t="s">
        <v>24</v>
      </c>
      <c r="I162" s="13644" t="s">
        <v>975</v>
      </c>
    </row>
    <row customHeight="1" ht="11.25">
      <c r="A163" s="13644" t="s">
        <v>2391</v>
      </c>
      <c r="B163" s="13644" t="s">
        <v>14</v>
      </c>
      <c r="C163" s="13644" t="s">
        <v>2639</v>
      </c>
      <c r="D163" s="13644" t="s">
        <v>2640</v>
      </c>
      <c r="E163" s="13644" t="s">
        <v>2641</v>
      </c>
      <c r="F163" s="13644" t="s">
        <v>2560</v>
      </c>
      <c r="G163" s="13644" t="s">
        <v>24</v>
      </c>
      <c r="H163" s="13644" t="s">
        <v>24</v>
      </c>
      <c r="I163" s="13644" t="s">
        <v>975</v>
      </c>
    </row>
    <row customHeight="1" ht="11.25">
      <c r="A164" s="13644" t="s">
        <v>2391</v>
      </c>
      <c r="B164" s="13644" t="s">
        <v>14</v>
      </c>
      <c r="C164" s="13644" t="s">
        <v>2713</v>
      </c>
      <c r="D164" s="13644" t="s">
        <v>2714</v>
      </c>
      <c r="E164" s="13644" t="s">
        <v>2715</v>
      </c>
      <c r="F164" s="13644" t="s">
        <v>2627</v>
      </c>
      <c r="G164" s="13644" t="s">
        <v>2716</v>
      </c>
      <c r="H164" s="13644" t="s">
        <v>24</v>
      </c>
      <c r="I164" s="13644" t="s">
        <v>1027</v>
      </c>
    </row>
    <row customHeight="1" ht="11.25">
      <c r="A165" s="13644" t="s">
        <v>2391</v>
      </c>
      <c r="B165" s="13644" t="s">
        <v>14</v>
      </c>
      <c r="C165" s="13644" t="s">
        <v>2397</v>
      </c>
      <c r="D165" s="13644" t="s">
        <v>2393</v>
      </c>
      <c r="E165" s="13644" t="s">
        <v>2394</v>
      </c>
      <c r="F165" s="13644" t="s">
        <v>2398</v>
      </c>
      <c r="G165" s="13644" t="s">
        <v>2399</v>
      </c>
      <c r="H165" s="13644" t="s">
        <v>24</v>
      </c>
      <c r="I165" s="13644" t="s">
        <v>1027</v>
      </c>
    </row>
    <row customHeight="1" ht="11.25">
      <c r="A166" s="13644" t="s">
        <v>2391</v>
      </c>
      <c r="B166" s="13644" t="s">
        <v>14</v>
      </c>
      <c r="C166" s="13644" t="s">
        <v>2642</v>
      </c>
      <c r="D166" s="13644" t="s">
        <v>2643</v>
      </c>
      <c r="E166" s="13644" t="s">
        <v>2644</v>
      </c>
      <c r="F166" s="13644" t="s">
        <v>2457</v>
      </c>
      <c r="G166" s="13644" t="s">
        <v>2645</v>
      </c>
      <c r="H166" s="13644" t="s">
        <v>24</v>
      </c>
      <c r="I166" s="13644" t="s">
        <v>1027</v>
      </c>
    </row>
    <row customHeight="1" ht="11.25">
      <c r="A167" s="13644" t="s">
        <v>2391</v>
      </c>
      <c r="B167" s="13644" t="s">
        <v>14</v>
      </c>
      <c r="C167" s="13644" t="s">
        <v>2400</v>
      </c>
      <c r="D167" s="13644" t="s">
        <v>2401</v>
      </c>
      <c r="E167" s="13644" t="s">
        <v>2402</v>
      </c>
      <c r="F167" s="13644" t="s">
        <v>2403</v>
      </c>
      <c r="G167" s="13644" t="s">
        <v>24</v>
      </c>
      <c r="H167" s="13644" t="s">
        <v>24</v>
      </c>
      <c r="I167" s="13644" t="s">
        <v>1027</v>
      </c>
    </row>
    <row customHeight="1" ht="11.25">
      <c r="A168" s="13644" t="s">
        <v>2391</v>
      </c>
      <c r="B168" s="13644" t="s">
        <v>14</v>
      </c>
      <c r="C168" s="13644" t="s">
        <v>2646</v>
      </c>
      <c r="D168" s="13644" t="s">
        <v>2647</v>
      </c>
      <c r="E168" s="13644" t="s">
        <v>2648</v>
      </c>
      <c r="F168" s="13644" t="s">
        <v>2403</v>
      </c>
      <c r="G168" s="13644" t="s">
        <v>2649</v>
      </c>
      <c r="H168" s="13644" t="s">
        <v>24</v>
      </c>
      <c r="I168" s="13644" t="s">
        <v>1027</v>
      </c>
    </row>
    <row customHeight="1" ht="11.25">
      <c r="A169" s="13644" t="s">
        <v>2391</v>
      </c>
      <c r="B169" s="13644" t="s">
        <v>14</v>
      </c>
      <c r="C169" s="13644" t="s">
        <v>2412</v>
      </c>
      <c r="D169" s="13644" t="s">
        <v>2413</v>
      </c>
      <c r="E169" s="13644" t="s">
        <v>2414</v>
      </c>
      <c r="F169" s="13644" t="s">
        <v>2411</v>
      </c>
      <c r="G169" s="13644" t="s">
        <v>2415</v>
      </c>
      <c r="H169" s="13644" t="s">
        <v>24</v>
      </c>
      <c r="I169" s="13644" t="s">
        <v>1027</v>
      </c>
    </row>
    <row customHeight="1" ht="11.25">
      <c r="A170" s="13644" t="s">
        <v>2391</v>
      </c>
      <c r="B170" s="13644" t="s">
        <v>14</v>
      </c>
      <c r="C170" s="13644" t="s">
        <v>2650</v>
      </c>
      <c r="D170" s="13644" t="s">
        <v>2651</v>
      </c>
      <c r="E170" s="13644" t="s">
        <v>2652</v>
      </c>
      <c r="F170" s="13644" t="s">
        <v>2419</v>
      </c>
      <c r="G170" s="13644" t="s">
        <v>2653</v>
      </c>
      <c r="H170" s="13644" t="s">
        <v>24</v>
      </c>
      <c r="I170" s="13644" t="s">
        <v>1027</v>
      </c>
    </row>
    <row customHeight="1" ht="11.25">
      <c r="A171" s="13644" t="s">
        <v>2391</v>
      </c>
      <c r="B171" s="13644" t="s">
        <v>14</v>
      </c>
      <c r="C171" s="13644" t="s">
        <v>2423</v>
      </c>
      <c r="D171" s="13644" t="s">
        <v>2424</v>
      </c>
      <c r="E171" s="13644" t="s">
        <v>2425</v>
      </c>
      <c r="F171" s="13644" t="s">
        <v>52</v>
      </c>
      <c r="G171" s="13644" t="s">
        <v>2426</v>
      </c>
      <c r="H171" s="13644" t="s">
        <v>24</v>
      </c>
      <c r="I171" s="13644" t="s">
        <v>1027</v>
      </c>
    </row>
    <row customHeight="1" ht="11.25">
      <c r="A172" s="13644" t="s">
        <v>2391</v>
      </c>
      <c r="B172" s="13644" t="s">
        <v>14</v>
      </c>
      <c r="C172" s="13644" t="s">
        <v>2432</v>
      </c>
      <c r="D172" s="13644" t="s">
        <v>2433</v>
      </c>
      <c r="E172" s="13644" t="s">
        <v>2434</v>
      </c>
      <c r="F172" s="13644" t="s">
        <v>2435</v>
      </c>
      <c r="G172" s="13644" t="s">
        <v>2436</v>
      </c>
      <c r="H172" s="13644" t="s">
        <v>24</v>
      </c>
      <c r="I172" s="13644" t="s">
        <v>1027</v>
      </c>
    </row>
    <row customHeight="1" ht="11.25">
      <c r="A173" s="13644" t="s">
        <v>2391</v>
      </c>
      <c r="B173" s="13644" t="s">
        <v>14</v>
      </c>
      <c r="C173" s="13644" t="s">
        <v>2654</v>
      </c>
      <c r="D173" s="13644" t="s">
        <v>2655</v>
      </c>
      <c r="E173" s="13644" t="s">
        <v>2448</v>
      </c>
      <c r="F173" s="13644" t="s">
        <v>2631</v>
      </c>
      <c r="G173" s="13644" t="s">
        <v>2656</v>
      </c>
      <c r="H173" s="13644" t="s">
        <v>24</v>
      </c>
      <c r="I173" s="13644" t="s">
        <v>1027</v>
      </c>
    </row>
    <row customHeight="1" ht="11.25">
      <c r="A174" s="13644" t="s">
        <v>2391</v>
      </c>
      <c r="B174" s="13644" t="s">
        <v>14</v>
      </c>
      <c r="C174" s="13644" t="s">
        <v>2450</v>
      </c>
      <c r="D174" s="13644" t="s">
        <v>2451</v>
      </c>
      <c r="E174" s="13644" t="s">
        <v>2452</v>
      </c>
      <c r="F174" s="13644" t="s">
        <v>52</v>
      </c>
      <c r="G174" s="13644" t="s">
        <v>2453</v>
      </c>
      <c r="H174" s="13644" t="s">
        <v>24</v>
      </c>
      <c r="I174" s="13644" t="s">
        <v>1027</v>
      </c>
    </row>
    <row customHeight="1" ht="11.25">
      <c r="A175" s="13644" t="s">
        <v>2391</v>
      </c>
      <c r="B175" s="13644" t="s">
        <v>14</v>
      </c>
      <c r="C175" s="13644" t="s">
        <v>2657</v>
      </c>
      <c r="D175" s="13644" t="s">
        <v>2658</v>
      </c>
      <c r="E175" s="13644" t="s">
        <v>2659</v>
      </c>
      <c r="F175" s="13644" t="s">
        <v>2483</v>
      </c>
      <c r="G175" s="13644" t="s">
        <v>2660</v>
      </c>
      <c r="H175" s="13644" t="s">
        <v>24</v>
      </c>
      <c r="I175" s="13644" t="s">
        <v>1027</v>
      </c>
    </row>
    <row customHeight="1" ht="11.25">
      <c r="A176" s="13644" t="s">
        <v>2391</v>
      </c>
      <c r="B176" s="13644" t="s">
        <v>14</v>
      </c>
      <c r="C176" s="13644" t="s">
        <v>2461</v>
      </c>
      <c r="D176" s="13644" t="s">
        <v>2462</v>
      </c>
      <c r="E176" s="13644" t="s">
        <v>2463</v>
      </c>
      <c r="F176" s="13644" t="s">
        <v>52</v>
      </c>
      <c r="G176" s="13644" t="s">
        <v>2464</v>
      </c>
      <c r="H176" s="13644" t="s">
        <v>24</v>
      </c>
      <c r="I176" s="13644" t="s">
        <v>1027</v>
      </c>
    </row>
    <row customHeight="1" ht="11.25">
      <c r="A177" s="13644" t="s">
        <v>2391</v>
      </c>
      <c r="B177" s="13644" t="s">
        <v>14</v>
      </c>
      <c r="C177" s="13644" t="s">
        <v>2465</v>
      </c>
      <c r="D177" s="13644" t="s">
        <v>2466</v>
      </c>
      <c r="E177" s="13644" t="s">
        <v>2467</v>
      </c>
      <c r="F177" s="13644" t="s">
        <v>2468</v>
      </c>
      <c r="G177" s="13644" t="s">
        <v>24</v>
      </c>
      <c r="H177" s="13644" t="s">
        <v>24</v>
      </c>
      <c r="I177" s="13644" t="s">
        <v>1027</v>
      </c>
    </row>
    <row customHeight="1" ht="11.25">
      <c r="A178" s="13644" t="s">
        <v>2391</v>
      </c>
      <c r="B178" s="13644" t="s">
        <v>14</v>
      </c>
      <c r="C178" s="13644" t="s">
        <v>2469</v>
      </c>
      <c r="D178" s="13644" t="s">
        <v>2470</v>
      </c>
      <c r="E178" s="13644" t="s">
        <v>2471</v>
      </c>
      <c r="F178" s="13644" t="s">
        <v>2403</v>
      </c>
      <c r="G178" s="13644" t="s">
        <v>24</v>
      </c>
      <c r="H178" s="13644" t="s">
        <v>24</v>
      </c>
      <c r="I178" s="13644" t="s">
        <v>1027</v>
      </c>
    </row>
    <row customHeight="1" ht="11.25">
      <c r="A179" s="13644" t="s">
        <v>2391</v>
      </c>
      <c r="B179" s="13644" t="s">
        <v>14</v>
      </c>
      <c r="C179" s="13644" t="s">
        <v>2472</v>
      </c>
      <c r="D179" s="13644" t="s">
        <v>2473</v>
      </c>
      <c r="E179" s="13644" t="s">
        <v>2474</v>
      </c>
      <c r="F179" s="13644" t="s">
        <v>2468</v>
      </c>
      <c r="G179" s="13644" t="s">
        <v>2475</v>
      </c>
      <c r="H179" s="13644" t="s">
        <v>24</v>
      </c>
      <c r="I179" s="13644" t="s">
        <v>1027</v>
      </c>
    </row>
    <row customHeight="1" ht="11.25">
      <c r="A180" s="13644" t="s">
        <v>2391</v>
      </c>
      <c r="B180" s="13644" t="s">
        <v>14</v>
      </c>
      <c r="C180" s="13644" t="s">
        <v>2476</v>
      </c>
      <c r="D180" s="13644" t="s">
        <v>2477</v>
      </c>
      <c r="E180" s="13644" t="s">
        <v>2478</v>
      </c>
      <c r="F180" s="13644" t="s">
        <v>2468</v>
      </c>
      <c r="G180" s="13644" t="s">
        <v>2479</v>
      </c>
      <c r="H180" s="13644" t="s">
        <v>24</v>
      </c>
      <c r="I180" s="13644" t="s">
        <v>1027</v>
      </c>
    </row>
    <row customHeight="1" ht="11.25">
      <c r="A181" s="13644" t="s">
        <v>2391</v>
      </c>
      <c r="B181" s="13644" t="s">
        <v>14</v>
      </c>
      <c r="C181" s="13644" t="s">
        <v>2480</v>
      </c>
      <c r="D181" s="13644" t="s">
        <v>2481</v>
      </c>
      <c r="E181" s="13644" t="s">
        <v>2482</v>
      </c>
      <c r="F181" s="13644" t="s">
        <v>2483</v>
      </c>
      <c r="G181" s="13644" t="s">
        <v>2484</v>
      </c>
      <c r="H181" s="13644" t="s">
        <v>24</v>
      </c>
      <c r="I181" s="13644" t="s">
        <v>1027</v>
      </c>
    </row>
    <row customHeight="1" ht="11.25">
      <c r="A182" s="13644" t="s">
        <v>2391</v>
      </c>
      <c r="B182" s="13644" t="s">
        <v>14</v>
      </c>
      <c r="C182" s="13644" t="s">
        <v>2485</v>
      </c>
      <c r="D182" s="13644" t="s">
        <v>2486</v>
      </c>
      <c r="E182" s="13644" t="s">
        <v>2487</v>
      </c>
      <c r="F182" s="13644" t="s">
        <v>2488</v>
      </c>
      <c r="G182" s="13644" t="s">
        <v>24</v>
      </c>
      <c r="H182" s="13644" t="s">
        <v>24</v>
      </c>
      <c r="I182" s="13644" t="s">
        <v>1027</v>
      </c>
    </row>
    <row customHeight="1" ht="11.25">
      <c r="A183" s="13644" t="s">
        <v>2391</v>
      </c>
      <c r="B183" s="13644" t="s">
        <v>14</v>
      </c>
      <c r="C183" s="13644" t="s">
        <v>2664</v>
      </c>
      <c r="D183" s="13644" t="s">
        <v>2665</v>
      </c>
      <c r="E183" s="13644" t="s">
        <v>2666</v>
      </c>
      <c r="F183" s="13644" t="s">
        <v>2667</v>
      </c>
      <c r="G183" s="13644" t="s">
        <v>24</v>
      </c>
      <c r="H183" s="13644" t="s">
        <v>24</v>
      </c>
      <c r="I183" s="13644" t="s">
        <v>1027</v>
      </c>
    </row>
    <row customHeight="1" ht="11.25">
      <c r="A184" s="13644" t="s">
        <v>2391</v>
      </c>
      <c r="B184" s="13644" t="s">
        <v>14</v>
      </c>
      <c r="C184" s="13644" t="s">
        <v>2496</v>
      </c>
      <c r="D184" s="13644" t="s">
        <v>2497</v>
      </c>
      <c r="E184" s="13644" t="s">
        <v>2498</v>
      </c>
      <c r="F184" s="13644" t="s">
        <v>2499</v>
      </c>
      <c r="G184" s="13644" t="s">
        <v>24</v>
      </c>
      <c r="H184" s="13644" t="s">
        <v>24</v>
      </c>
      <c r="I184" s="13644" t="s">
        <v>1027</v>
      </c>
    </row>
    <row customHeight="1" ht="11.25">
      <c r="A185" s="13644" t="s">
        <v>2391</v>
      </c>
      <c r="B185" s="13644" t="s">
        <v>14</v>
      </c>
      <c r="C185" s="13644" t="s">
        <v>2500</v>
      </c>
      <c r="D185" s="13644" t="s">
        <v>2501</v>
      </c>
      <c r="E185" s="13644" t="s">
        <v>2502</v>
      </c>
      <c r="F185" s="13644" t="s">
        <v>2403</v>
      </c>
      <c r="G185" s="13644" t="s">
        <v>24</v>
      </c>
      <c r="H185" s="13644" t="s">
        <v>24</v>
      </c>
      <c r="I185" s="13644" t="s">
        <v>1027</v>
      </c>
    </row>
    <row customHeight="1" ht="11.25">
      <c r="A186" s="13644" t="s">
        <v>2391</v>
      </c>
      <c r="B186" s="13644" t="s">
        <v>14</v>
      </c>
      <c r="C186" s="13644" t="s">
        <v>2668</v>
      </c>
      <c r="D186" s="13644" t="s">
        <v>2669</v>
      </c>
      <c r="E186" s="13644" t="s">
        <v>2670</v>
      </c>
      <c r="F186" s="13644" t="s">
        <v>2499</v>
      </c>
      <c r="G186" s="13644" t="s">
        <v>2671</v>
      </c>
      <c r="H186" s="13644" t="s">
        <v>24</v>
      </c>
      <c r="I186" s="13644" t="s">
        <v>1027</v>
      </c>
    </row>
    <row customHeight="1" ht="11.25">
      <c r="A187" s="13644" t="s">
        <v>2391</v>
      </c>
      <c r="B187" s="13644" t="s">
        <v>14</v>
      </c>
      <c r="C187" s="13644" t="s">
        <v>2506</v>
      </c>
      <c r="D187" s="13644" t="s">
        <v>2507</v>
      </c>
      <c r="E187" s="13644" t="s">
        <v>2508</v>
      </c>
      <c r="F187" s="13644" t="s">
        <v>2403</v>
      </c>
      <c r="G187" s="13644" t="s">
        <v>24</v>
      </c>
      <c r="H187" s="13644" t="s">
        <v>24</v>
      </c>
      <c r="I187" s="13644" t="s">
        <v>1027</v>
      </c>
    </row>
    <row customHeight="1" ht="11.25">
      <c r="A188" s="13644" t="s">
        <v>2391</v>
      </c>
      <c r="B188" s="13644" t="s">
        <v>14</v>
      </c>
      <c r="C188" s="13644" t="s">
        <v>2512</v>
      </c>
      <c r="D188" s="13644" t="s">
        <v>2513</v>
      </c>
      <c r="E188" s="13644" t="s">
        <v>2514</v>
      </c>
      <c r="F188" s="13644" t="s">
        <v>2483</v>
      </c>
      <c r="G188" s="13644" t="s">
        <v>24</v>
      </c>
      <c r="H188" s="13644" t="s">
        <v>24</v>
      </c>
      <c r="I188" s="13644" t="s">
        <v>1027</v>
      </c>
    </row>
    <row customHeight="1" ht="11.25">
      <c r="A189" s="13644" t="s">
        <v>2391</v>
      </c>
      <c r="B189" s="13644" t="s">
        <v>14</v>
      </c>
      <c r="C189" s="13644" t="s">
        <v>2515</v>
      </c>
      <c r="D189" s="13644" t="s">
        <v>2516</v>
      </c>
      <c r="E189" s="13644" t="s">
        <v>2517</v>
      </c>
      <c r="F189" s="13644" t="s">
        <v>2483</v>
      </c>
      <c r="G189" s="13644" t="s">
        <v>2518</v>
      </c>
      <c r="H189" s="13644" t="s">
        <v>24</v>
      </c>
      <c r="I189" s="13644" t="s">
        <v>1027</v>
      </c>
    </row>
    <row customHeight="1" ht="11.25">
      <c r="A190" s="13644" t="s">
        <v>2391</v>
      </c>
      <c r="B190" s="13644" t="s">
        <v>14</v>
      </c>
      <c r="C190" s="13644" t="s">
        <v>2672</v>
      </c>
      <c r="D190" s="13644" t="s">
        <v>2673</v>
      </c>
      <c r="E190" s="13644" t="s">
        <v>2674</v>
      </c>
      <c r="F190" s="13644" t="s">
        <v>2550</v>
      </c>
      <c r="G190" s="13644" t="s">
        <v>2675</v>
      </c>
      <c r="H190" s="13644" t="s">
        <v>24</v>
      </c>
      <c r="I190" s="13644" t="s">
        <v>1027</v>
      </c>
    </row>
    <row customHeight="1" ht="11.25">
      <c r="A191" s="13644" t="s">
        <v>2391</v>
      </c>
      <c r="B191" s="13644" t="s">
        <v>14</v>
      </c>
      <c r="C191" s="13644" t="s">
        <v>2676</v>
      </c>
      <c r="D191" s="13644" t="s">
        <v>2677</v>
      </c>
      <c r="E191" s="13644" t="s">
        <v>2678</v>
      </c>
      <c r="F191" s="13644" t="s">
        <v>2468</v>
      </c>
      <c r="G191" s="13644" t="s">
        <v>24</v>
      </c>
      <c r="H191" s="13644" t="s">
        <v>24</v>
      </c>
      <c r="I191" s="13644" t="s">
        <v>1027</v>
      </c>
    </row>
    <row customHeight="1" ht="11.25">
      <c r="A192" s="13644" t="s">
        <v>2391</v>
      </c>
      <c r="B192" s="13644" t="s">
        <v>14</v>
      </c>
      <c r="C192" s="13644" t="s">
        <v>2532</v>
      </c>
      <c r="D192" s="13644" t="s">
        <v>2533</v>
      </c>
      <c r="E192" s="13644" t="s">
        <v>2534</v>
      </c>
      <c r="F192" s="13644" t="s">
        <v>2535</v>
      </c>
      <c r="G192" s="13644" t="s">
        <v>24</v>
      </c>
      <c r="H192" s="13644" t="s">
        <v>24</v>
      </c>
      <c r="I192" s="13644" t="s">
        <v>1027</v>
      </c>
    </row>
    <row customHeight="1" ht="11.25">
      <c r="A193" s="13644" t="s">
        <v>2391</v>
      </c>
      <c r="B193" s="13644" t="s">
        <v>14</v>
      </c>
      <c r="C193" s="13644" t="s">
        <v>2540</v>
      </c>
      <c r="D193" s="13644" t="s">
        <v>2541</v>
      </c>
      <c r="E193" s="13644" t="s">
        <v>2542</v>
      </c>
      <c r="F193" s="13644" t="s">
        <v>2483</v>
      </c>
      <c r="G193" s="13644" t="s">
        <v>2543</v>
      </c>
      <c r="H193" s="13644" t="s">
        <v>24</v>
      </c>
      <c r="I193" s="13644" t="s">
        <v>1027</v>
      </c>
    </row>
    <row customHeight="1" ht="11.25">
      <c r="A194" s="13644" t="s">
        <v>2391</v>
      </c>
      <c r="B194" s="13644" t="s">
        <v>14</v>
      </c>
      <c r="C194" s="13644" t="s">
        <v>2544</v>
      </c>
      <c r="D194" s="13644" t="s">
        <v>2545</v>
      </c>
      <c r="E194" s="13644" t="s">
        <v>2546</v>
      </c>
      <c r="F194" s="13644" t="s">
        <v>2403</v>
      </c>
      <c r="G194" s="13644" t="s">
        <v>24</v>
      </c>
      <c r="H194" s="13644" t="s">
        <v>24</v>
      </c>
      <c r="I194" s="13644" t="s">
        <v>1027</v>
      </c>
    </row>
    <row customHeight="1" ht="11.25">
      <c r="A195" s="13644" t="s">
        <v>2391</v>
      </c>
      <c r="B195" s="13644" t="s">
        <v>14</v>
      </c>
      <c r="C195" s="13644" t="s">
        <v>2679</v>
      </c>
      <c r="D195" s="13644" t="s">
        <v>2680</v>
      </c>
      <c r="E195" s="13644" t="s">
        <v>2681</v>
      </c>
      <c r="F195" s="13644" t="s">
        <v>2667</v>
      </c>
      <c r="G195" s="13644" t="s">
        <v>24</v>
      </c>
      <c r="H195" s="13644" t="s">
        <v>2682</v>
      </c>
      <c r="I195" s="13644" t="s">
        <v>1027</v>
      </c>
    </row>
    <row customHeight="1" ht="11.25">
      <c r="A196" s="13644" t="s">
        <v>2391</v>
      </c>
      <c r="B196" s="13644" t="s">
        <v>14</v>
      </c>
      <c r="C196" s="13644" t="s">
        <v>2683</v>
      </c>
      <c r="D196" s="13644" t="s">
        <v>2684</v>
      </c>
      <c r="E196" s="13644" t="s">
        <v>2685</v>
      </c>
      <c r="F196" s="13644" t="s">
        <v>52</v>
      </c>
      <c r="G196" s="13644" t="s">
        <v>2686</v>
      </c>
      <c r="H196" s="13644" t="s">
        <v>24</v>
      </c>
      <c r="I196" s="13644" t="s">
        <v>1027</v>
      </c>
    </row>
    <row customHeight="1" ht="11.25">
      <c r="A197" s="13644" t="s">
        <v>2391</v>
      </c>
      <c r="B197" s="13644" t="s">
        <v>14</v>
      </c>
      <c r="C197" s="13644" t="s">
        <v>2552</v>
      </c>
      <c r="D197" s="13644" t="s">
        <v>2553</v>
      </c>
      <c r="E197" s="13644" t="s">
        <v>2554</v>
      </c>
      <c r="F197" s="13644" t="s">
        <v>2555</v>
      </c>
      <c r="G197" s="13644" t="s">
        <v>2556</v>
      </c>
      <c r="H197" s="13644" t="s">
        <v>24</v>
      </c>
      <c r="I197" s="13644" t="s">
        <v>1027</v>
      </c>
    </row>
    <row customHeight="1" ht="11.25">
      <c r="A198" s="13644" t="s">
        <v>2391</v>
      </c>
      <c r="B198" s="13644" t="s">
        <v>14</v>
      </c>
      <c r="C198" s="13644" t="s">
        <v>2557</v>
      </c>
      <c r="D198" s="13644" t="s">
        <v>2558</v>
      </c>
      <c r="E198" s="13644" t="s">
        <v>2559</v>
      </c>
      <c r="F198" s="13644" t="s">
        <v>2560</v>
      </c>
      <c r="G198" s="13644" t="s">
        <v>24</v>
      </c>
      <c r="H198" s="13644" t="s">
        <v>24</v>
      </c>
      <c r="I198" s="13644" t="s">
        <v>1027</v>
      </c>
    </row>
    <row customHeight="1" ht="11.25">
      <c r="A199" s="13644" t="s">
        <v>2391</v>
      </c>
      <c r="B199" s="13644" t="s">
        <v>14</v>
      </c>
      <c r="C199" s="13644" t="s">
        <v>2692</v>
      </c>
      <c r="D199" s="13644" t="s">
        <v>2693</v>
      </c>
      <c r="E199" s="13644" t="s">
        <v>2694</v>
      </c>
      <c r="F199" s="13644" t="s">
        <v>2695</v>
      </c>
      <c r="G199" s="13644" t="s">
        <v>24</v>
      </c>
      <c r="H199" s="13644" t="s">
        <v>24</v>
      </c>
      <c r="I199" s="13644" t="s">
        <v>1027</v>
      </c>
    </row>
    <row customHeight="1" ht="11.25">
      <c r="A200" s="13644" t="s">
        <v>2391</v>
      </c>
      <c r="B200" s="13644" t="s">
        <v>14</v>
      </c>
      <c r="C200" s="13644" t="s">
        <v>2696</v>
      </c>
      <c r="D200" s="13644" t="s">
        <v>2697</v>
      </c>
      <c r="E200" s="13644" t="s">
        <v>2698</v>
      </c>
      <c r="F200" s="13644" t="s">
        <v>2695</v>
      </c>
      <c r="G200" s="13644" t="s">
        <v>24</v>
      </c>
      <c r="H200" s="13644" t="s">
        <v>24</v>
      </c>
      <c r="I200" s="13644" t="s">
        <v>1027</v>
      </c>
    </row>
    <row customHeight="1" ht="11.25">
      <c r="A201" s="13644" t="s">
        <v>2391</v>
      </c>
      <c r="B201" s="13644" t="s">
        <v>14</v>
      </c>
      <c r="C201" s="13644" t="s">
        <v>2717</v>
      </c>
      <c r="D201" s="13644" t="s">
        <v>2718</v>
      </c>
      <c r="E201" s="13644" t="s">
        <v>2719</v>
      </c>
      <c r="F201" s="13644" t="s">
        <v>52</v>
      </c>
      <c r="G201" s="13644" t="s">
        <v>24</v>
      </c>
      <c r="H201" s="13644" t="s">
        <v>2720</v>
      </c>
      <c r="I201" s="13644" t="s">
        <v>1027</v>
      </c>
    </row>
    <row customHeight="1" ht="11.25">
      <c r="A202" s="13644" t="s">
        <v>2391</v>
      </c>
      <c r="B202" s="13644" t="s">
        <v>14</v>
      </c>
      <c r="C202" s="13644" t="s">
        <v>2699</v>
      </c>
      <c r="D202" s="13644" t="s">
        <v>2700</v>
      </c>
      <c r="E202" s="13644" t="s">
        <v>2701</v>
      </c>
      <c r="F202" s="13644" t="s">
        <v>2690</v>
      </c>
      <c r="G202" s="13644" t="s">
        <v>2702</v>
      </c>
      <c r="H202" s="13644" t="s">
        <v>24</v>
      </c>
      <c r="I202" s="13644" t="s">
        <v>1027</v>
      </c>
    </row>
    <row customHeight="1" ht="11.25">
      <c r="A203" s="13644" t="s">
        <v>2391</v>
      </c>
      <c r="B203" s="13644" t="s">
        <v>14</v>
      </c>
      <c r="C203" s="13644" t="s">
        <v>2567</v>
      </c>
      <c r="D203" s="13644" t="s">
        <v>2568</v>
      </c>
      <c r="E203" s="13644" t="s">
        <v>2569</v>
      </c>
      <c r="F203" s="13644" t="s">
        <v>2570</v>
      </c>
      <c r="G203" s="13644" t="s">
        <v>2571</v>
      </c>
      <c r="H203" s="13644" t="s">
        <v>24</v>
      </c>
      <c r="I203" s="13644" t="s">
        <v>1027</v>
      </c>
    </row>
    <row customHeight="1" ht="11.25">
      <c r="A204" s="13644" t="s">
        <v>2391</v>
      </c>
      <c r="B204" s="13644" t="s">
        <v>14</v>
      </c>
      <c r="C204" s="13644" t="s">
        <v>2703</v>
      </c>
      <c r="D204" s="13644" t="s">
        <v>2704</v>
      </c>
      <c r="E204" s="13644" t="s">
        <v>2705</v>
      </c>
      <c r="F204" s="13644" t="s">
        <v>2550</v>
      </c>
      <c r="G204" s="13644" t="s">
        <v>24</v>
      </c>
      <c r="H204" s="13644" t="s">
        <v>24</v>
      </c>
      <c r="I204" s="13644" t="s">
        <v>1027</v>
      </c>
    </row>
    <row customHeight="1" ht="11.25">
      <c r="A205" s="13644" t="s">
        <v>2391</v>
      </c>
      <c r="B205" s="13644" t="s">
        <v>14</v>
      </c>
      <c r="C205" s="13644" t="s">
        <v>2706</v>
      </c>
      <c r="D205" s="13644" t="s">
        <v>2707</v>
      </c>
      <c r="E205" s="13644" t="s">
        <v>2708</v>
      </c>
      <c r="F205" s="13644" t="s">
        <v>2597</v>
      </c>
      <c r="G205" s="13644" t="s">
        <v>2709</v>
      </c>
      <c r="H205" s="13644" t="s">
        <v>24</v>
      </c>
      <c r="I205" s="13644" t="s">
        <v>1027</v>
      </c>
    </row>
    <row customHeight="1" ht="11.25">
      <c r="A206" s="13644" t="s">
        <v>2391</v>
      </c>
      <c r="B206" s="13644" t="s">
        <v>14</v>
      </c>
      <c r="C206" s="13644" t="s">
        <v>2582</v>
      </c>
      <c r="D206" s="13644" t="s">
        <v>2583</v>
      </c>
      <c r="E206" s="13644" t="s">
        <v>2584</v>
      </c>
      <c r="F206" s="13644" t="s">
        <v>2499</v>
      </c>
      <c r="G206" s="13644" t="s">
        <v>2585</v>
      </c>
      <c r="H206" s="13644" t="s">
        <v>24</v>
      </c>
      <c r="I206" s="13644" t="s">
        <v>1027</v>
      </c>
    </row>
    <row customHeight="1" ht="11.25">
      <c r="A207" s="13644" t="s">
        <v>2391</v>
      </c>
      <c r="B207" s="13644" t="s">
        <v>14</v>
      </c>
      <c r="C207" s="13644" t="s">
        <v>2710</v>
      </c>
      <c r="D207" s="13644" t="s">
        <v>2711</v>
      </c>
      <c r="E207" s="13644" t="s">
        <v>2712</v>
      </c>
      <c r="F207" s="13644" t="s">
        <v>2403</v>
      </c>
      <c r="G207" s="13644" t="s">
        <v>24</v>
      </c>
      <c r="H207" s="13644" t="s">
        <v>24</v>
      </c>
      <c r="I207" s="13644" t="s">
        <v>1027</v>
      </c>
    </row>
    <row customHeight="1" ht="11.25">
      <c r="A208" s="13644" t="s">
        <v>2391</v>
      </c>
      <c r="B208" s="13644" t="s">
        <v>14</v>
      </c>
      <c r="C208" s="13644" t="s">
        <v>2721</v>
      </c>
      <c r="D208" s="13644" t="s">
        <v>2722</v>
      </c>
      <c r="E208" s="13644" t="s">
        <v>2723</v>
      </c>
      <c r="F208" s="13644" t="s">
        <v>2724</v>
      </c>
      <c r="G208" s="13644" t="s">
        <v>2725</v>
      </c>
      <c r="H208" s="13644" t="s">
        <v>24</v>
      </c>
      <c r="I208" s="13644" t="s">
        <v>1027</v>
      </c>
    </row>
    <row customHeight="1" ht="11.25">
      <c r="A209" s="13644" t="s">
        <v>2391</v>
      </c>
      <c r="B209" s="13644" t="s">
        <v>14</v>
      </c>
      <c r="C209" s="13644" t="s">
        <v>2604</v>
      </c>
      <c r="D209" s="13644" t="s">
        <v>2605</v>
      </c>
      <c r="E209" s="13644" t="s">
        <v>2606</v>
      </c>
      <c r="F209" s="13644" t="s">
        <v>2607</v>
      </c>
      <c r="G209" s="13644" t="s">
        <v>2608</v>
      </c>
      <c r="H209" s="13644" t="s">
        <v>24</v>
      </c>
      <c r="I209" s="13644" t="s">
        <v>1027</v>
      </c>
    </row>
    <row customHeight="1" ht="11.25">
      <c r="A210" s="13644" t="s">
        <v>2391</v>
      </c>
      <c r="B210" s="13644" t="s">
        <v>14</v>
      </c>
      <c r="C210" s="13644" t="s">
        <v>2615</v>
      </c>
      <c r="D210" s="13644" t="s">
        <v>2616</v>
      </c>
      <c r="E210" s="13644" t="s">
        <v>2606</v>
      </c>
      <c r="F210" s="13644" t="s">
        <v>2617</v>
      </c>
      <c r="G210" s="13644" t="s">
        <v>2618</v>
      </c>
      <c r="H210" s="13644" t="s">
        <v>24</v>
      </c>
      <c r="I210" s="13644" t="s">
        <v>1027</v>
      </c>
    </row>
    <row customHeight="1" ht="11.25">
      <c r="A211" s="13644" t="s">
        <v>2391</v>
      </c>
      <c r="B211" s="13644" t="s">
        <v>14</v>
      </c>
      <c r="C211" s="13644" t="s">
        <v>2619</v>
      </c>
      <c r="D211" s="13644" t="s">
        <v>2620</v>
      </c>
      <c r="E211" s="13644" t="s">
        <v>2621</v>
      </c>
      <c r="F211" s="13644" t="s">
        <v>2403</v>
      </c>
      <c r="G211" s="13644" t="s">
        <v>2622</v>
      </c>
      <c r="H211" s="13644" t="s">
        <v>2623</v>
      </c>
      <c r="I211" s="13644" t="s">
        <v>1027</v>
      </c>
    </row>
    <row customHeight="1" ht="11.25">
      <c r="A212" s="13644" t="s">
        <v>2391</v>
      </c>
      <c r="B212" s="13644" t="s">
        <v>14</v>
      </c>
      <c r="C212" s="13644" t="s">
        <v>2624</v>
      </c>
      <c r="D212" s="13644" t="s">
        <v>2625</v>
      </c>
      <c r="E212" s="13644" t="s">
        <v>2626</v>
      </c>
      <c r="F212" s="13644" t="s">
        <v>2627</v>
      </c>
      <c r="G212" s="13644" t="s">
        <v>24</v>
      </c>
      <c r="H212" s="13644" t="s">
        <v>24</v>
      </c>
      <c r="I212" s="13644" t="s">
        <v>1027</v>
      </c>
    </row>
    <row customHeight="1" ht="11.25">
      <c r="A213" s="13644" t="s">
        <v>2391</v>
      </c>
      <c r="B213" s="13644" t="s">
        <v>14</v>
      </c>
      <c r="C213" s="13644" t="s">
        <v>2633</v>
      </c>
      <c r="D213" s="13644" t="s">
        <v>2634</v>
      </c>
      <c r="E213" s="13644" t="s">
        <v>2635</v>
      </c>
      <c r="F213" s="13644" t="s">
        <v>2631</v>
      </c>
      <c r="G213" s="13644" t="s">
        <v>24</v>
      </c>
      <c r="H213" s="13644" t="s">
        <v>24</v>
      </c>
      <c r="I213" s="13644" t="s">
        <v>1027</v>
      </c>
    </row>
    <row customHeight="1" ht="11.25">
      <c r="A214" s="13644" t="s">
        <v>2391</v>
      </c>
      <c r="B214" s="13644" t="s">
        <v>14</v>
      </c>
      <c r="C214" s="13644" t="s">
        <v>2726</v>
      </c>
      <c r="D214" s="13644" t="s">
        <v>2727</v>
      </c>
      <c r="E214" s="13644" t="s">
        <v>2728</v>
      </c>
      <c r="F214" s="13644" t="s">
        <v>2729</v>
      </c>
      <c r="G214" s="13644" t="s">
        <v>24</v>
      </c>
      <c r="H214" s="13644" t="s">
        <v>24</v>
      </c>
      <c r="I214" s="13644" t="s">
        <v>1027</v>
      </c>
    </row>
    <row customHeight="1" ht="11.25">
      <c r="A215" s="13644" t="s">
        <v>2391</v>
      </c>
      <c r="B215" s="13644" t="s">
        <v>14</v>
      </c>
      <c r="C215" s="13644" t="s">
        <v>2639</v>
      </c>
      <c r="D215" s="13644" t="s">
        <v>2640</v>
      </c>
      <c r="E215" s="13644" t="s">
        <v>2641</v>
      </c>
      <c r="F215" s="13644" t="s">
        <v>2560</v>
      </c>
      <c r="G215" s="13644" t="s">
        <v>24</v>
      </c>
      <c r="H215" s="13644" t="s">
        <v>24</v>
      </c>
      <c r="I215" s="13644" t="s">
        <v>1027</v>
      </c>
    </row>
    <row customHeight="1" ht="11.25">
      <c r="A216" s="13644" t="s">
        <v>2391</v>
      </c>
      <c r="B216" s="13644" t="s">
        <v>14</v>
      </c>
      <c r="C216" s="13644" t="s">
        <v>2404</v>
      </c>
      <c r="D216" s="13644" t="s">
        <v>2405</v>
      </c>
      <c r="E216" s="13644" t="s">
        <v>2406</v>
      </c>
      <c r="F216" s="13644" t="s">
        <v>52</v>
      </c>
      <c r="G216" s="13644" t="s">
        <v>2407</v>
      </c>
      <c r="H216" s="13644" t="s">
        <v>24</v>
      </c>
      <c r="I216" s="13644" t="s">
        <v>1832</v>
      </c>
    </row>
    <row customHeight="1" ht="11.25">
      <c r="A217" s="13644" t="s">
        <v>2391</v>
      </c>
      <c r="B217" s="13644" t="s">
        <v>14</v>
      </c>
      <c r="C217" s="13644" t="s">
        <v>2730</v>
      </c>
      <c r="D217" s="13644" t="s">
        <v>2731</v>
      </c>
      <c r="E217" s="13644" t="s">
        <v>2732</v>
      </c>
      <c r="F217" s="13644" t="s">
        <v>2419</v>
      </c>
      <c r="G217" s="13644" t="s">
        <v>24</v>
      </c>
      <c r="H217" s="13644" t="s">
        <v>24</v>
      </c>
      <c r="I217" s="13644" t="s">
        <v>1832</v>
      </c>
    </row>
    <row customHeight="1" ht="11.25">
      <c r="A218" s="13644" t="s">
        <v>2391</v>
      </c>
      <c r="B218" s="13644" t="s">
        <v>14</v>
      </c>
      <c r="C218" s="13644" t="s">
        <v>2489</v>
      </c>
      <c r="D218" s="13644" t="s">
        <v>2490</v>
      </c>
      <c r="E218" s="13644" t="s">
        <v>2491</v>
      </c>
      <c r="F218" s="13644" t="s">
        <v>2435</v>
      </c>
      <c r="G218" s="13644" t="s">
        <v>24</v>
      </c>
      <c r="H218" s="13644" t="s">
        <v>24</v>
      </c>
      <c r="I218" s="13644" t="s">
        <v>1832</v>
      </c>
    </row>
    <row customHeight="1" ht="11.25">
      <c r="A219" s="13644" t="s">
        <v>2391</v>
      </c>
      <c r="B219" s="13644" t="s">
        <v>14</v>
      </c>
      <c r="C219" s="13644" t="s">
        <v>2679</v>
      </c>
      <c r="D219" s="13644" t="s">
        <v>2680</v>
      </c>
      <c r="E219" s="13644" t="s">
        <v>2681</v>
      </c>
      <c r="F219" s="13644" t="s">
        <v>2667</v>
      </c>
      <c r="G219" s="13644" t="s">
        <v>24</v>
      </c>
      <c r="H219" s="13644" t="s">
        <v>2682</v>
      </c>
      <c r="I219" s="13644" t="s">
        <v>1832</v>
      </c>
    </row>
    <row customHeight="1" ht="11.25">
      <c r="A220" s="13644" t="s">
        <v>2391</v>
      </c>
      <c r="B220" s="13644" t="s">
        <v>14</v>
      </c>
      <c r="C220" s="13644" t="s">
        <v>2547</v>
      </c>
      <c r="D220" s="13644" t="s">
        <v>2548</v>
      </c>
      <c r="E220" s="13644" t="s">
        <v>2549</v>
      </c>
      <c r="F220" s="13644" t="s">
        <v>2550</v>
      </c>
      <c r="G220" s="13644" t="s">
        <v>2551</v>
      </c>
      <c r="H220" s="13644" t="s">
        <v>24</v>
      </c>
      <c r="I220" s="13644" t="s">
        <v>1832</v>
      </c>
    </row>
    <row customHeight="1" ht="11.25">
      <c r="A221" s="13644" t="s">
        <v>2391</v>
      </c>
      <c r="B221" s="13644" t="s">
        <v>14</v>
      </c>
      <c r="C221" s="13644" t="s">
        <v>2733</v>
      </c>
      <c r="D221" s="13644" t="s">
        <v>2734</v>
      </c>
      <c r="E221" s="13644" t="s">
        <v>2735</v>
      </c>
      <c r="F221" s="13644" t="s">
        <v>2631</v>
      </c>
      <c r="G221" s="13644" t="s">
        <v>24</v>
      </c>
      <c r="H221" s="13644" t="s">
        <v>24</v>
      </c>
      <c r="I221" s="13644" t="s">
        <v>1832</v>
      </c>
    </row>
    <row customHeight="1" ht="11.25">
      <c r="A222" s="13644" t="s">
        <v>2391</v>
      </c>
      <c r="B222" s="13644" t="s">
        <v>14</v>
      </c>
      <c r="C222" s="13644" t="s">
        <v>2736</v>
      </c>
      <c r="D222" s="13644" t="s">
        <v>2737</v>
      </c>
      <c r="E222" s="13644" t="s">
        <v>2738</v>
      </c>
      <c r="F222" s="13644" t="s">
        <v>2483</v>
      </c>
      <c r="G222" s="13644" t="s">
        <v>24</v>
      </c>
      <c r="H222" s="13644" t="s">
        <v>24</v>
      </c>
      <c r="I222" s="13644" t="s">
        <v>1832</v>
      </c>
    </row>
    <row customHeight="1" ht="11.25">
      <c r="A223" s="13644" t="s">
        <v>2391</v>
      </c>
      <c r="B223" s="13644" t="s">
        <v>14</v>
      </c>
      <c r="C223" s="13644" t="s">
        <v>2739</v>
      </c>
      <c r="D223" s="13644" t="s">
        <v>2740</v>
      </c>
      <c r="E223" s="13644" t="s">
        <v>2741</v>
      </c>
      <c r="F223" s="13644" t="s">
        <v>2499</v>
      </c>
      <c r="G223" s="13644" t="s">
        <v>24</v>
      </c>
      <c r="H223" s="13644" t="s">
        <v>24</v>
      </c>
      <c r="I223" s="13644" t="s">
        <v>1832</v>
      </c>
    </row>
    <row customHeight="1" ht="11.25">
      <c r="A224" s="13644" t="s">
        <v>2391</v>
      </c>
      <c r="B224" s="13644" t="s">
        <v>14</v>
      </c>
      <c r="C224" s="13644" t="s">
        <v>2742</v>
      </c>
      <c r="D224" s="13644" t="s">
        <v>2743</v>
      </c>
      <c r="E224" s="13644" t="s">
        <v>2744</v>
      </c>
      <c r="F224" s="13644" t="s">
        <v>2535</v>
      </c>
      <c r="G224" s="13644" t="s">
        <v>24</v>
      </c>
      <c r="H224" s="13644" t="s">
        <v>24</v>
      </c>
      <c r="I224" s="13644" t="s">
        <v>1832</v>
      </c>
    </row>
    <row customHeight="1" ht="11.25">
      <c r="A225" s="13644" t="s">
        <v>2391</v>
      </c>
      <c r="B225" s="13644" t="s">
        <v>14</v>
      </c>
      <c r="C225" s="13644" t="s">
        <v>2745</v>
      </c>
      <c r="D225" s="13644" t="s">
        <v>2746</v>
      </c>
      <c r="E225" s="13644" t="s">
        <v>2747</v>
      </c>
      <c r="F225" s="13644" t="s">
        <v>52</v>
      </c>
      <c r="G225" s="13644" t="s">
        <v>24</v>
      </c>
      <c r="H225" s="13644" t="s">
        <v>24</v>
      </c>
      <c r="I225" s="13644" t="s">
        <v>1832</v>
      </c>
    </row>
    <row customHeight="1" ht="11.25">
      <c r="A226" s="13644" t="s">
        <v>2391</v>
      </c>
      <c r="B226" s="13644" t="s">
        <v>14</v>
      </c>
      <c r="C226" s="13644" t="s">
        <v>2748</v>
      </c>
      <c r="D226" s="13644" t="s">
        <v>2749</v>
      </c>
      <c r="E226" s="13644" t="s">
        <v>2750</v>
      </c>
      <c r="F226" s="13644" t="s">
        <v>2435</v>
      </c>
      <c r="G226" s="13644" t="s">
        <v>24</v>
      </c>
      <c r="H226" s="13644" t="s">
        <v>24</v>
      </c>
      <c r="I226" s="13644" t="s">
        <v>1832</v>
      </c>
    </row>
    <row customHeight="1" ht="11.25">
      <c r="A227" s="13644" t="s">
        <v>2391</v>
      </c>
      <c r="B227" s="13644" t="s">
        <v>14</v>
      </c>
      <c r="C227" s="13644" t="s">
        <v>2751</v>
      </c>
      <c r="D227" s="13644" t="s">
        <v>2752</v>
      </c>
      <c r="E227" s="13644" t="s">
        <v>2753</v>
      </c>
      <c r="F227" s="13644" t="s">
        <v>2444</v>
      </c>
      <c r="G227" s="13644" t="s">
        <v>24</v>
      </c>
      <c r="H227" s="13644" t="s">
        <v>24</v>
      </c>
      <c r="I227" s="13644" t="s">
        <v>1832</v>
      </c>
    </row>
    <row customHeight="1" ht="11.25">
      <c r="A228" s="13644" t="s">
        <v>2391</v>
      </c>
      <c r="B228" s="13644" t="s">
        <v>14</v>
      </c>
      <c r="C228" s="13644" t="s">
        <v>2754</v>
      </c>
      <c r="D228" s="13644" t="s">
        <v>2755</v>
      </c>
      <c r="E228" s="13644" t="s">
        <v>2756</v>
      </c>
      <c r="F228" s="13644" t="s">
        <v>2468</v>
      </c>
      <c r="G228" s="13644" t="s">
        <v>24</v>
      </c>
      <c r="H228" s="13644" t="s">
        <v>24</v>
      </c>
      <c r="I228" s="13644" t="s">
        <v>1832</v>
      </c>
    </row>
    <row customHeight="1" ht="11.25">
      <c r="A229" s="13644" t="s">
        <v>2391</v>
      </c>
      <c r="B229" s="13644" t="s">
        <v>14</v>
      </c>
      <c r="C229" s="13644" t="s">
        <v>2757</v>
      </c>
      <c r="D229" s="13644" t="s">
        <v>2758</v>
      </c>
      <c r="E229" s="13644" t="s">
        <v>2759</v>
      </c>
      <c r="F229" s="13644" t="s">
        <v>2488</v>
      </c>
      <c r="G229" s="13644" t="s">
        <v>2760</v>
      </c>
      <c r="H229" s="13644" t="s">
        <v>24</v>
      </c>
      <c r="I229" s="13644" t="s">
        <v>1832</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51632A-0AD1-1EA2-8B66-EC8A3D3F2EEE}" mc:Ignorable="x14ac xr xr2 xr3">
  <sheetPr>
    <tabColor rgb="FFFFCC99"/>
  </sheetPr>
  <dimension ref="A1:G48"/>
  <sheetViews>
    <sheetView topLeftCell="A1" showGridLines="0" workbookViewId="0">
      <selection activeCell="A1" sqref="A1"/>
    </sheetView>
  </sheetViews>
  <sheetFormatPr customHeight="1" defaultRowHeight="11.25"/>
  <cols>
    <col min="1" max="1" style="13084" width="9.140625"/>
  </cols>
  <sheetData>
    <row customHeight="1" ht="11.25">
      <c r="A1" s="373" t="s">
        <v>2761</v>
      </c>
      <c r="B1" s="48" t="s">
        <v>2762</v>
      </c>
      <c r="C1" s="48" t="s">
        <v>2763</v>
      </c>
      <c r="D1" s="48" t="s">
        <v>2764</v>
      </c>
      <c r="E1" s="0" t="s">
        <v>2765</v>
      </c>
      <c r="F1" s="0" t="s">
        <v>2766</v>
      </c>
      <c r="G1" s="0" t="s">
        <v>2767</v>
      </c>
    </row>
    <row customHeight="1" ht="11.25">
      <c r="A2" s="373" t="s">
        <v>14</v>
      </c>
      <c r="B2" s="0" t="s">
        <v>2768</v>
      </c>
      <c r="C2" s="0" t="s">
        <v>2769</v>
      </c>
      <c r="D2" s="0" t="s">
        <v>2768</v>
      </c>
      <c r="E2" s="0" t="s">
        <v>2769</v>
      </c>
      <c r="F2" s="0" t="s">
        <v>2770</v>
      </c>
      <c r="G2" s="0" t="s">
        <v>193</v>
      </c>
    </row>
    <row customHeight="1" ht="11.25">
      <c r="A3" s="373" t="s">
        <v>14</v>
      </c>
      <c r="B3" s="0" t="s">
        <v>2771</v>
      </c>
      <c r="C3" s="0" t="s">
        <v>2772</v>
      </c>
      <c r="D3" s="0" t="s">
        <v>2771</v>
      </c>
      <c r="E3" s="0" t="s">
        <v>2772</v>
      </c>
      <c r="F3" s="0" t="s">
        <v>2770</v>
      </c>
      <c r="G3" s="0" t="s">
        <v>104</v>
      </c>
    </row>
    <row customHeight="1" ht="11.25">
      <c r="A4" s="373" t="s">
        <v>14</v>
      </c>
      <c r="B4" s="0" t="s">
        <v>2773</v>
      </c>
      <c r="C4" s="0" t="s">
        <v>2774</v>
      </c>
      <c r="D4" s="0" t="s">
        <v>2773</v>
      </c>
      <c r="E4" s="0" t="s">
        <v>2774</v>
      </c>
      <c r="F4" s="0" t="s">
        <v>2770</v>
      </c>
      <c r="G4" s="0" t="s">
        <v>91</v>
      </c>
    </row>
    <row customHeight="1" ht="11.25">
      <c r="A5" s="373" t="s">
        <v>14</v>
      </c>
      <c r="B5" s="0" t="s">
        <v>137</v>
      </c>
      <c r="C5" s="0" t="s">
        <v>138</v>
      </c>
      <c r="D5" s="0" t="s">
        <v>137</v>
      </c>
      <c r="E5" s="0" t="s">
        <v>138</v>
      </c>
      <c r="F5" s="0" t="s">
        <v>2770</v>
      </c>
      <c r="G5" s="0" t="s">
        <v>92</v>
      </c>
    </row>
    <row customHeight="1" ht="11.25">
      <c r="A6" s="373" t="s">
        <v>14</v>
      </c>
      <c r="B6" s="0" t="s">
        <v>2775</v>
      </c>
      <c r="C6" s="0" t="s">
        <v>2776</v>
      </c>
      <c r="D6" s="0" t="s">
        <v>2775</v>
      </c>
      <c r="E6" s="0" t="s">
        <v>2776</v>
      </c>
      <c r="F6" s="0" t="s">
        <v>2770</v>
      </c>
      <c r="G6" s="0" t="s">
        <v>116</v>
      </c>
    </row>
    <row customHeight="1" ht="11.25">
      <c r="A7" s="373" t="s">
        <v>14</v>
      </c>
      <c r="B7" s="0" t="s">
        <v>141</v>
      </c>
      <c r="C7" s="0" t="s">
        <v>142</v>
      </c>
      <c r="D7" s="0" t="s">
        <v>141</v>
      </c>
      <c r="E7" s="0" t="s">
        <v>142</v>
      </c>
      <c r="F7" s="0" t="s">
        <v>2770</v>
      </c>
      <c r="G7" s="0" t="s">
        <v>93</v>
      </c>
    </row>
    <row customHeight="1" ht="11.25">
      <c r="A8" s="373" t="s">
        <v>14</v>
      </c>
      <c r="B8" s="0" t="s">
        <v>185</v>
      </c>
      <c r="C8" s="0" t="s">
        <v>186</v>
      </c>
      <c r="D8" s="0" t="s">
        <v>185</v>
      </c>
      <c r="E8" s="0" t="s">
        <v>186</v>
      </c>
      <c r="F8" s="0" t="s">
        <v>2770</v>
      </c>
      <c r="G8" s="0" t="s">
        <v>94</v>
      </c>
    </row>
    <row customHeight="1" ht="11.25">
      <c r="A9" s="373" t="s">
        <v>14</v>
      </c>
      <c r="B9" s="0" t="s">
        <v>2777</v>
      </c>
      <c r="C9" s="0" t="s">
        <v>2778</v>
      </c>
      <c r="D9" s="0" t="s">
        <v>2777</v>
      </c>
      <c r="E9" s="0" t="s">
        <v>2778</v>
      </c>
      <c r="F9" s="0" t="s">
        <v>2770</v>
      </c>
      <c r="G9" s="0" t="s">
        <v>130</v>
      </c>
    </row>
    <row customHeight="1" ht="11.25">
      <c r="A10" s="373" t="s">
        <v>14</v>
      </c>
      <c r="B10" s="0" t="s">
        <v>150</v>
      </c>
      <c r="C10" s="0" t="s">
        <v>151</v>
      </c>
      <c r="D10" s="0" t="s">
        <v>150</v>
      </c>
      <c r="E10" s="0" t="s">
        <v>151</v>
      </c>
      <c r="F10" s="0" t="s">
        <v>2770</v>
      </c>
      <c r="G10" s="0" t="s">
        <v>135</v>
      </c>
    </row>
    <row customHeight="1" ht="11.25">
      <c r="A11" s="373" t="s">
        <v>14</v>
      </c>
      <c r="B11" s="0" t="s">
        <v>182</v>
      </c>
      <c r="C11" s="0" t="s">
        <v>183</v>
      </c>
      <c r="D11" s="0" t="s">
        <v>182</v>
      </c>
      <c r="E11" s="0" t="s">
        <v>183</v>
      </c>
      <c r="F11" s="0" t="s">
        <v>2770</v>
      </c>
      <c r="G11" s="0" t="s">
        <v>139</v>
      </c>
    </row>
    <row customHeight="1" ht="11.25">
      <c r="A12" s="373" t="s">
        <v>14</v>
      </c>
      <c r="B12" s="0" t="s">
        <v>154</v>
      </c>
      <c r="C12" s="0" t="s">
        <v>2779</v>
      </c>
      <c r="D12" s="0" t="s">
        <v>2780</v>
      </c>
      <c r="E12" s="0" t="s">
        <v>2781</v>
      </c>
      <c r="F12" s="0" t="s">
        <v>2782</v>
      </c>
      <c r="G12" s="0" t="s">
        <v>143</v>
      </c>
    </row>
    <row customHeight="1" ht="11.25">
      <c r="A13" s="373" t="s">
        <v>14</v>
      </c>
      <c r="B13" s="0" t="s">
        <v>154</v>
      </c>
      <c r="C13" s="0" t="s">
        <v>2779</v>
      </c>
      <c r="D13" s="0" t="s">
        <v>155</v>
      </c>
      <c r="E13" s="0" t="s">
        <v>156</v>
      </c>
      <c r="F13" s="0" t="s">
        <v>2783</v>
      </c>
      <c r="G13" s="0" t="s">
        <v>148</v>
      </c>
    </row>
    <row customHeight="1" ht="11.25">
      <c r="A14" s="373" t="s">
        <v>14</v>
      </c>
      <c r="B14" s="0" t="s">
        <v>154</v>
      </c>
      <c r="C14" s="0" t="s">
        <v>2779</v>
      </c>
      <c r="D14" s="0" t="s">
        <v>2784</v>
      </c>
      <c r="E14" s="0" t="s">
        <v>2785</v>
      </c>
      <c r="F14" s="0" t="s">
        <v>2782</v>
      </c>
      <c r="G14" s="0" t="s">
        <v>152</v>
      </c>
    </row>
    <row customHeight="1" ht="11.25">
      <c r="A15" s="373" t="s">
        <v>14</v>
      </c>
      <c r="B15" s="0" t="s">
        <v>154</v>
      </c>
      <c r="C15" s="0" t="s">
        <v>2779</v>
      </c>
      <c r="D15" s="0" t="s">
        <v>154</v>
      </c>
      <c r="E15" s="0" t="s">
        <v>2779</v>
      </c>
      <c r="F15" s="0" t="s">
        <v>2786</v>
      </c>
      <c r="G15" s="0" t="s">
        <v>157</v>
      </c>
    </row>
    <row customHeight="1" ht="11.25">
      <c r="A16" s="373" t="s">
        <v>14</v>
      </c>
      <c r="B16" s="0" t="s">
        <v>154</v>
      </c>
      <c r="C16" s="0" t="s">
        <v>2779</v>
      </c>
      <c r="D16" s="0" t="s">
        <v>160</v>
      </c>
      <c r="E16" s="0" t="s">
        <v>161</v>
      </c>
      <c r="F16" s="0" t="s">
        <v>2787</v>
      </c>
      <c r="G16" s="0" t="s">
        <v>159</v>
      </c>
    </row>
    <row customHeight="1" ht="11.25">
      <c r="A17" s="373" t="s">
        <v>14</v>
      </c>
      <c r="B17" s="0" t="s">
        <v>168</v>
      </c>
      <c r="C17" s="0" t="s">
        <v>169</v>
      </c>
      <c r="D17" s="0" t="s">
        <v>168</v>
      </c>
      <c r="E17" s="0" t="s">
        <v>169</v>
      </c>
      <c r="F17" s="0" t="s">
        <v>2788</v>
      </c>
      <c r="G17" s="0" t="s">
        <v>166</v>
      </c>
    </row>
    <row customHeight="1" ht="11.25">
      <c r="A18" s="373" t="s">
        <v>14</v>
      </c>
      <c r="B18" s="0" t="s">
        <v>2789</v>
      </c>
      <c r="C18" s="0" t="s">
        <v>2790</v>
      </c>
      <c r="D18" s="0" t="s">
        <v>2789</v>
      </c>
      <c r="E18" s="0" t="s">
        <v>2790</v>
      </c>
      <c r="F18" s="0" t="s">
        <v>2770</v>
      </c>
      <c r="G18" s="0" t="s">
        <v>170</v>
      </c>
    </row>
    <row customHeight="1" ht="11.25">
      <c r="A19" s="373" t="s">
        <v>14</v>
      </c>
      <c r="B19" s="0" t="s">
        <v>108</v>
      </c>
      <c r="C19" s="0" t="s">
        <v>2791</v>
      </c>
      <c r="D19" s="0" t="s">
        <v>108</v>
      </c>
      <c r="E19" s="0" t="s">
        <v>2791</v>
      </c>
      <c r="F19" s="0" t="s">
        <v>2786</v>
      </c>
      <c r="G19" s="0" t="s">
        <v>175</v>
      </c>
    </row>
    <row customHeight="1" ht="11.25">
      <c r="A20" s="373" t="s">
        <v>14</v>
      </c>
      <c r="B20" s="0" t="s">
        <v>108</v>
      </c>
      <c r="C20" s="0" t="s">
        <v>2791</v>
      </c>
      <c r="D20" s="0" t="s">
        <v>2792</v>
      </c>
      <c r="E20" s="0" t="s">
        <v>2793</v>
      </c>
      <c r="F20" s="0" t="s">
        <v>2782</v>
      </c>
      <c r="G20" s="0" t="s">
        <v>180</v>
      </c>
    </row>
    <row customHeight="1" ht="11.25">
      <c r="A21" s="373" t="s">
        <v>14</v>
      </c>
      <c r="B21" s="0" t="s">
        <v>108</v>
      </c>
      <c r="C21" s="0" t="s">
        <v>2791</v>
      </c>
      <c r="D21" s="0" t="s">
        <v>119</v>
      </c>
      <c r="E21" s="0" t="s">
        <v>120</v>
      </c>
      <c r="F21" s="0" t="s">
        <v>2787</v>
      </c>
      <c r="G21" s="0" t="s">
        <v>118</v>
      </c>
    </row>
    <row customHeight="1" ht="11.25">
      <c r="A22" s="373" t="s">
        <v>14</v>
      </c>
      <c r="B22" s="0" t="s">
        <v>108</v>
      </c>
      <c r="C22" s="0" t="s">
        <v>2791</v>
      </c>
      <c r="D22" s="0" t="s">
        <v>123</v>
      </c>
      <c r="E22" s="0" t="s">
        <v>124</v>
      </c>
      <c r="F22" s="0" t="s">
        <v>2787</v>
      </c>
      <c r="G22" s="0" t="s">
        <v>122</v>
      </c>
    </row>
    <row customHeight="1" ht="11.25">
      <c r="A23" s="373" t="s">
        <v>14</v>
      </c>
      <c r="B23" s="0" t="s">
        <v>108</v>
      </c>
      <c r="C23" s="0" t="s">
        <v>2791</v>
      </c>
      <c r="D23" s="0" t="s">
        <v>109</v>
      </c>
      <c r="E23" s="0" t="s">
        <v>110</v>
      </c>
      <c r="F23" s="0" t="s">
        <v>2787</v>
      </c>
      <c r="G23" s="0" t="s">
        <v>107</v>
      </c>
    </row>
    <row customHeight="1" ht="11.25">
      <c r="A24" s="373" t="s">
        <v>14</v>
      </c>
      <c r="B24" s="0" t="s">
        <v>108</v>
      </c>
      <c r="C24" s="0" t="s">
        <v>2791</v>
      </c>
      <c r="D24" s="0" t="s">
        <v>2794</v>
      </c>
      <c r="E24" s="0" t="s">
        <v>2795</v>
      </c>
      <c r="F24" s="0" t="s">
        <v>2787</v>
      </c>
      <c r="G24" s="0" t="s">
        <v>1768</v>
      </c>
    </row>
    <row customHeight="1" ht="11.25">
      <c r="A25" s="373" t="s">
        <v>14</v>
      </c>
      <c r="B25" s="0" t="s">
        <v>108</v>
      </c>
      <c r="C25" s="0" t="s">
        <v>2791</v>
      </c>
      <c r="D25" s="0" t="s">
        <v>178</v>
      </c>
      <c r="E25" s="0" t="s">
        <v>179</v>
      </c>
      <c r="F25" s="0" t="s">
        <v>2782</v>
      </c>
      <c r="G25" s="0" t="s">
        <v>177</v>
      </c>
    </row>
    <row customHeight="1" ht="11.25">
      <c r="A26" s="373" t="s">
        <v>14</v>
      </c>
      <c r="B26" s="0" t="s">
        <v>108</v>
      </c>
      <c r="C26" s="0" t="s">
        <v>2791</v>
      </c>
      <c r="D26" s="0" t="s">
        <v>164</v>
      </c>
      <c r="E26" s="0" t="s">
        <v>165</v>
      </c>
      <c r="F26" s="0" t="s">
        <v>2782</v>
      </c>
      <c r="G26" s="0" t="s">
        <v>163</v>
      </c>
    </row>
    <row customHeight="1" ht="11.25">
      <c r="A27" s="373" t="s">
        <v>14</v>
      </c>
      <c r="B27" s="0" t="s">
        <v>108</v>
      </c>
      <c r="C27" s="0" t="s">
        <v>2791</v>
      </c>
      <c r="D27" s="0" t="s">
        <v>2796</v>
      </c>
      <c r="E27" s="0" t="s">
        <v>2797</v>
      </c>
      <c r="F27" s="0" t="s">
        <v>2782</v>
      </c>
      <c r="G27" s="0" t="s">
        <v>1782</v>
      </c>
    </row>
    <row customHeight="1" ht="11.25">
      <c r="A28" s="373" t="s">
        <v>14</v>
      </c>
      <c r="B28" s="0" t="s">
        <v>108</v>
      </c>
      <c r="C28" s="0" t="s">
        <v>2791</v>
      </c>
      <c r="D28" s="0" t="s">
        <v>2798</v>
      </c>
      <c r="E28" s="0" t="s">
        <v>2799</v>
      </c>
      <c r="F28" s="0" t="s">
        <v>2783</v>
      </c>
      <c r="G28" s="0" t="s">
        <v>1790</v>
      </c>
    </row>
    <row customHeight="1" ht="11.25">
      <c r="A29" s="373" t="s">
        <v>14</v>
      </c>
      <c r="B29" s="0" t="s">
        <v>108</v>
      </c>
      <c r="C29" s="0" t="s">
        <v>2791</v>
      </c>
      <c r="D29" s="0" t="s">
        <v>113</v>
      </c>
      <c r="E29" s="0" t="s">
        <v>114</v>
      </c>
      <c r="F29" s="0" t="s">
        <v>2787</v>
      </c>
      <c r="G29" s="0" t="s">
        <v>112</v>
      </c>
    </row>
    <row customHeight="1" ht="11.25">
      <c r="A30" s="373" t="s">
        <v>14</v>
      </c>
      <c r="B30" s="0" t="s">
        <v>108</v>
      </c>
      <c r="C30" s="0" t="s">
        <v>2791</v>
      </c>
      <c r="D30" s="0" t="s">
        <v>173</v>
      </c>
      <c r="E30" s="0" t="s">
        <v>174</v>
      </c>
      <c r="F30" s="0" t="s">
        <v>2782</v>
      </c>
      <c r="G30" s="0" t="s">
        <v>172</v>
      </c>
    </row>
    <row customHeight="1" ht="11.25">
      <c r="A31" s="373" t="s">
        <v>14</v>
      </c>
      <c r="B31" s="0" t="s">
        <v>127</v>
      </c>
      <c r="C31" s="0" t="s">
        <v>2800</v>
      </c>
      <c r="D31" s="0" t="s">
        <v>127</v>
      </c>
      <c r="E31" s="0" t="s">
        <v>2800</v>
      </c>
      <c r="F31" s="0" t="s">
        <v>2786</v>
      </c>
      <c r="G31" s="0" t="s">
        <v>1798</v>
      </c>
    </row>
    <row customHeight="1" ht="11.25">
      <c r="A32" s="373" t="s">
        <v>14</v>
      </c>
      <c r="B32" s="0" t="s">
        <v>127</v>
      </c>
      <c r="C32" s="0" t="s">
        <v>2800</v>
      </c>
      <c r="D32" s="0" t="s">
        <v>133</v>
      </c>
      <c r="E32" s="0" t="s">
        <v>134</v>
      </c>
      <c r="F32" s="0" t="s">
        <v>2787</v>
      </c>
      <c r="G32" s="0" t="s">
        <v>132</v>
      </c>
    </row>
    <row customHeight="1" ht="11.25">
      <c r="A33" s="373" t="s">
        <v>14</v>
      </c>
      <c r="B33" s="0" t="s">
        <v>127</v>
      </c>
      <c r="C33" s="0" t="s">
        <v>2800</v>
      </c>
      <c r="D33" s="0" t="s">
        <v>128</v>
      </c>
      <c r="E33" s="0" t="s">
        <v>129</v>
      </c>
      <c r="F33" s="0" t="s">
        <v>2782</v>
      </c>
      <c r="G33" s="0" t="s">
        <v>126</v>
      </c>
    </row>
    <row customHeight="1" ht="11.25">
      <c r="A34" s="373" t="s">
        <v>14</v>
      </c>
      <c r="B34" s="0" t="s">
        <v>146</v>
      </c>
      <c r="C34" s="0" t="s">
        <v>147</v>
      </c>
      <c r="D34" s="0" t="s">
        <v>146</v>
      </c>
      <c r="E34" s="0" t="s">
        <v>147</v>
      </c>
      <c r="F34" s="0" t="s">
        <v>2788</v>
      </c>
      <c r="G34" s="0" t="s">
        <v>145</v>
      </c>
    </row>
    <row customHeight="1" ht="11.25">
      <c r="A35" s="373" t="s">
        <v>14</v>
      </c>
      <c r="B35" s="0" t="s">
        <v>2801</v>
      </c>
      <c r="C35" s="0" t="s">
        <v>2802</v>
      </c>
      <c r="D35" s="0" t="s">
        <v>2803</v>
      </c>
      <c r="E35" s="0" t="s">
        <v>2804</v>
      </c>
      <c r="F35" s="0" t="s">
        <v>2783</v>
      </c>
      <c r="G35" s="0" t="s">
        <v>1806</v>
      </c>
    </row>
    <row customHeight="1" ht="11.25">
      <c r="A36" s="373" t="s">
        <v>14</v>
      </c>
      <c r="B36" s="0" t="s">
        <v>2801</v>
      </c>
      <c r="C36" s="0" t="s">
        <v>2802</v>
      </c>
      <c r="D36" s="0" t="s">
        <v>2801</v>
      </c>
      <c r="E36" s="0" t="s">
        <v>2802</v>
      </c>
      <c r="F36" s="0" t="s">
        <v>2786</v>
      </c>
      <c r="G36" s="0" t="s">
        <v>1811</v>
      </c>
    </row>
    <row customHeight="1" ht="11.25">
      <c r="A37" s="373" t="s">
        <v>14</v>
      </c>
      <c r="B37" s="0" t="s">
        <v>2801</v>
      </c>
      <c r="C37" s="0" t="s">
        <v>2802</v>
      </c>
      <c r="D37" s="0" t="s">
        <v>2805</v>
      </c>
      <c r="E37" s="0" t="s">
        <v>2806</v>
      </c>
      <c r="F37" s="0" t="s">
        <v>2787</v>
      </c>
      <c r="G37" s="0" t="s">
        <v>1815</v>
      </c>
    </row>
    <row customHeight="1" ht="11.25">
      <c r="A38" s="373" t="s">
        <v>14</v>
      </c>
      <c r="B38" s="0" t="s">
        <v>2801</v>
      </c>
      <c r="C38" s="0" t="s">
        <v>2802</v>
      </c>
      <c r="D38" s="0" t="s">
        <v>2807</v>
      </c>
      <c r="E38" s="0" t="s">
        <v>2808</v>
      </c>
      <c r="F38" s="0" t="s">
        <v>2787</v>
      </c>
      <c r="G38" s="0" t="s">
        <v>1822</v>
      </c>
    </row>
    <row customHeight="1" ht="11.25">
      <c r="A39" s="373" t="s">
        <v>14</v>
      </c>
      <c r="B39" s="0" t="s">
        <v>2801</v>
      </c>
      <c r="C39" s="0" t="s">
        <v>2802</v>
      </c>
      <c r="D39" s="0" t="s">
        <v>2809</v>
      </c>
      <c r="E39" s="0" t="s">
        <v>2810</v>
      </c>
      <c r="F39" s="0" t="s">
        <v>2782</v>
      </c>
      <c r="G39" s="0" t="s">
        <v>1828</v>
      </c>
    </row>
    <row customHeight="1" ht="11.25">
      <c r="A40" s="373" t="s">
        <v>14</v>
      </c>
      <c r="B40" s="0" t="s">
        <v>2811</v>
      </c>
      <c r="C40" s="0" t="s">
        <v>2812</v>
      </c>
      <c r="D40" s="0" t="s">
        <v>2813</v>
      </c>
      <c r="E40" s="0" t="s">
        <v>2814</v>
      </c>
      <c r="F40" s="0" t="s">
        <v>2782</v>
      </c>
      <c r="G40" s="0" t="s">
        <v>1833</v>
      </c>
    </row>
    <row customHeight="1" ht="11.25">
      <c r="A41" s="373" t="s">
        <v>14</v>
      </c>
      <c r="B41" s="0" t="s">
        <v>2811</v>
      </c>
      <c r="C41" s="0" t="s">
        <v>2812</v>
      </c>
      <c r="D41" s="0" t="s">
        <v>2815</v>
      </c>
      <c r="E41" s="0" t="s">
        <v>2816</v>
      </c>
      <c r="F41" s="0" t="s">
        <v>2787</v>
      </c>
      <c r="G41" s="0" t="s">
        <v>1837</v>
      </c>
    </row>
    <row customHeight="1" ht="11.25">
      <c r="A42" s="373" t="s">
        <v>14</v>
      </c>
      <c r="B42" s="0" t="s">
        <v>2811</v>
      </c>
      <c r="C42" s="0" t="s">
        <v>2812</v>
      </c>
      <c r="D42" s="0" t="s">
        <v>2811</v>
      </c>
      <c r="E42" s="0" t="s">
        <v>2812</v>
      </c>
      <c r="F42" s="0" t="s">
        <v>2786</v>
      </c>
      <c r="G42" s="0" t="s">
        <v>1840</v>
      </c>
    </row>
    <row customHeight="1" ht="11.25">
      <c r="A43" s="373" t="s">
        <v>14</v>
      </c>
      <c r="B43" s="0" t="s">
        <v>2817</v>
      </c>
      <c r="C43" s="0" t="s">
        <v>2818</v>
      </c>
      <c r="D43" s="0" t="s">
        <v>2817</v>
      </c>
      <c r="E43" s="0" t="s">
        <v>2818</v>
      </c>
      <c r="F43" s="0" t="s">
        <v>2788</v>
      </c>
      <c r="G43" s="0" t="s">
        <v>1847</v>
      </c>
    </row>
    <row customHeight="1" ht="11.25">
      <c r="A44" s="373" t="s">
        <v>14</v>
      </c>
      <c r="B44" s="0" t="s">
        <v>2819</v>
      </c>
      <c r="C44" s="0" t="s">
        <v>2820</v>
      </c>
      <c r="D44" s="0" t="s">
        <v>2819</v>
      </c>
      <c r="E44" s="0" t="s">
        <v>2820</v>
      </c>
      <c r="F44" s="0" t="s">
        <v>2788</v>
      </c>
      <c r="G44" s="0" t="s">
        <v>1856</v>
      </c>
    </row>
    <row customHeight="1" ht="11.25">
      <c r="A45" s="373" t="s">
        <v>14</v>
      </c>
      <c r="B45" s="0" t="s">
        <v>2821</v>
      </c>
      <c r="C45" s="0" t="s">
        <v>2822</v>
      </c>
      <c r="D45" s="0" t="s">
        <v>2821</v>
      </c>
      <c r="E45" s="0" t="s">
        <v>2822</v>
      </c>
      <c r="F45" s="0" t="s">
        <v>2788</v>
      </c>
      <c r="G45" s="0" t="s">
        <v>1861</v>
      </c>
    </row>
    <row customHeight="1" ht="11.25">
      <c r="A46" s="373" t="s">
        <v>14</v>
      </c>
      <c r="B46" s="0" t="s">
        <v>2823</v>
      </c>
      <c r="C46" s="0" t="s">
        <v>2824</v>
      </c>
      <c r="D46" s="0" t="s">
        <v>2823</v>
      </c>
      <c r="E46" s="0" t="s">
        <v>2824</v>
      </c>
      <c r="F46" s="0" t="s">
        <v>2788</v>
      </c>
      <c r="G46" s="0" t="s">
        <v>1865</v>
      </c>
    </row>
    <row customHeight="1" ht="11.25">
      <c r="A47" s="373" t="s">
        <v>14</v>
      </c>
      <c r="B47" s="0" t="s">
        <v>2825</v>
      </c>
      <c r="C47" s="0" t="s">
        <v>2826</v>
      </c>
      <c r="D47" s="0" t="s">
        <v>2825</v>
      </c>
      <c r="E47" s="0" t="s">
        <v>2826</v>
      </c>
      <c r="F47" s="0" t="s">
        <v>2788</v>
      </c>
      <c r="G47" s="0" t="s">
        <v>1871</v>
      </c>
    </row>
    <row customHeight="1" ht="11.25">
      <c r="A48" s="373" t="s">
        <v>14</v>
      </c>
      <c r="B48" s="0" t="s">
        <v>101</v>
      </c>
      <c r="C48" s="0" t="s">
        <v>102</v>
      </c>
      <c r="D48" s="0" t="s">
        <v>101</v>
      </c>
      <c r="E48" s="0" t="s">
        <v>102</v>
      </c>
      <c r="F48" s="0" t="s">
        <v>2770</v>
      </c>
      <c r="G48" s="0" t="s">
        <v>100</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488606-8404-3B1A-3E7F-0F84F092225A}" mc:Ignorable="x14ac xr xr2 xr3">
  <sheetPr>
    <tabColor rgb="FFFFCC99"/>
  </sheetPr>
  <dimension ref="A1:D44"/>
  <sheetViews>
    <sheetView topLeftCell="A1" showGridLines="0" workbookViewId="0">
      <selection activeCell="A1" sqref="A1"/>
    </sheetView>
  </sheetViews>
  <sheetFormatPr defaultColWidth="9.140625" customHeight="1" defaultRowHeight="11.25"/>
  <cols>
    <col min="1" max="4" style="13645" width="9.140625"/>
  </cols>
  <sheetData>
    <row customHeight="1" ht="11.25">
      <c r="A1" s="841" t="s">
        <v>2827</v>
      </c>
      <c r="B1" s="841" t="s">
        <v>2828</v>
      </c>
      <c r="C1" s="841" t="s">
        <v>2829</v>
      </c>
      <c r="D1" s="841" t="s">
        <v>2830</v>
      </c>
    </row>
    <row customHeight="1" ht="11.25">
      <c r="A2" s="13646" t="s">
        <v>193</v>
      </c>
      <c r="B2" s="13646" t="s">
        <v>2831</v>
      </c>
      <c r="C2" s="13646" t="s">
        <v>2832</v>
      </c>
      <c r="D2" s="13646" t="s">
        <v>2833</v>
      </c>
    </row>
    <row customHeight="1" ht="11.25">
      <c r="A3" s="13646" t="s">
        <v>104</v>
      </c>
      <c r="B3" s="13646" t="s">
        <v>2834</v>
      </c>
      <c r="C3" s="13646" t="s">
        <v>2832</v>
      </c>
      <c r="D3" s="13646" t="s">
        <v>2835</v>
      </c>
    </row>
    <row customHeight="1" ht="11.25">
      <c r="A4" s="13646" t="s">
        <v>91</v>
      </c>
      <c r="B4" s="13646" t="s">
        <v>2836</v>
      </c>
      <c r="C4" s="13646" t="s">
        <v>2832</v>
      </c>
      <c r="D4" s="13646" t="s">
        <v>2837</v>
      </c>
    </row>
    <row customHeight="1" ht="11.25">
      <c r="A5" s="13646" t="s">
        <v>92</v>
      </c>
      <c r="B5" s="13646" t="s">
        <v>2838</v>
      </c>
      <c r="C5" s="13646" t="s">
        <v>2832</v>
      </c>
      <c r="D5" s="13646" t="s">
        <v>2839</v>
      </c>
    </row>
    <row customHeight="1" ht="11.25">
      <c r="A6" s="13646" t="s">
        <v>116</v>
      </c>
      <c r="B6" s="13646" t="s">
        <v>2840</v>
      </c>
      <c r="C6" s="13646" t="s">
        <v>2832</v>
      </c>
      <c r="D6" s="13646" t="s">
        <v>2839</v>
      </c>
    </row>
    <row customHeight="1" ht="11.25">
      <c r="A7" s="13646" t="s">
        <v>93</v>
      </c>
      <c r="B7" s="13646" t="s">
        <v>2841</v>
      </c>
      <c r="C7" s="13646" t="s">
        <v>2842</v>
      </c>
      <c r="D7" s="13646" t="s">
        <v>2833</v>
      </c>
    </row>
    <row customHeight="1" ht="11.25">
      <c r="A8" s="13646" t="s">
        <v>94</v>
      </c>
      <c r="B8" s="13646" t="s">
        <v>2843</v>
      </c>
      <c r="C8" s="13646" t="s">
        <v>2842</v>
      </c>
      <c r="D8" s="13646" t="s">
        <v>2833</v>
      </c>
    </row>
    <row customHeight="1" ht="11.25">
      <c r="A9" s="13646" t="s">
        <v>130</v>
      </c>
      <c r="B9" s="13646" t="s">
        <v>2844</v>
      </c>
      <c r="C9" s="13646" t="s">
        <v>2832</v>
      </c>
      <c r="D9" s="13646" t="s">
        <v>2835</v>
      </c>
    </row>
    <row customHeight="1" ht="11.25">
      <c r="A10" s="13646" t="s">
        <v>135</v>
      </c>
      <c r="B10" s="13646" t="s">
        <v>2845</v>
      </c>
      <c r="C10" s="13646" t="s">
        <v>2842</v>
      </c>
      <c r="D10" s="13646" t="s">
        <v>2846</v>
      </c>
    </row>
    <row customHeight="1" ht="11.25">
      <c r="A11" s="13646" t="s">
        <v>139</v>
      </c>
      <c r="B11" s="13646" t="s">
        <v>2847</v>
      </c>
      <c r="C11" s="13646" t="s">
        <v>2848</v>
      </c>
      <c r="D11" s="13646" t="s">
        <v>2849</v>
      </c>
    </row>
    <row customHeight="1" ht="11.25">
      <c r="A12" s="13646" t="s">
        <v>143</v>
      </c>
      <c r="B12" s="13646" t="s">
        <v>2850</v>
      </c>
      <c r="C12" s="13646" t="s">
        <v>2851</v>
      </c>
      <c r="D12" s="13646" t="s">
        <v>2852</v>
      </c>
    </row>
    <row customHeight="1" ht="11.25">
      <c r="A13" s="13646" t="s">
        <v>148</v>
      </c>
      <c r="B13" s="13646" t="s">
        <v>2853</v>
      </c>
      <c r="C13" s="13646" t="s">
        <v>2851</v>
      </c>
      <c r="D13" s="13646" t="s">
        <v>2846</v>
      </c>
    </row>
    <row customHeight="1" ht="11.25">
      <c r="A14" s="13646" t="s">
        <v>152</v>
      </c>
      <c r="B14" s="13646" t="s">
        <v>2854</v>
      </c>
      <c r="C14" s="13646" t="s">
        <v>2851</v>
      </c>
      <c r="D14" s="13646" t="s">
        <v>2846</v>
      </c>
    </row>
    <row customHeight="1" ht="11.25">
      <c r="A15" s="13646" t="s">
        <v>157</v>
      </c>
      <c r="B15" s="13646" t="s">
        <v>2855</v>
      </c>
      <c r="C15" s="13646" t="s">
        <v>2851</v>
      </c>
      <c r="D15" s="13646" t="s">
        <v>2846</v>
      </c>
    </row>
    <row customHeight="1" ht="11.25">
      <c r="A16" s="13646" t="s">
        <v>159</v>
      </c>
      <c r="B16" s="13646" t="s">
        <v>2856</v>
      </c>
      <c r="C16" s="13646" t="s">
        <v>2851</v>
      </c>
      <c r="D16" s="13646" t="s">
        <v>2846</v>
      </c>
    </row>
    <row customHeight="1" ht="11.25">
      <c r="A17" s="13646" t="s">
        <v>166</v>
      </c>
      <c r="B17" s="13646" t="s">
        <v>2857</v>
      </c>
      <c r="C17" s="13646" t="s">
        <v>2851</v>
      </c>
      <c r="D17" s="13646" t="s">
        <v>2846</v>
      </c>
    </row>
    <row customHeight="1" ht="11.25">
      <c r="A18" s="13646" t="s">
        <v>170</v>
      </c>
      <c r="B18" s="13646" t="s">
        <v>2858</v>
      </c>
      <c r="C18" s="13646" t="s">
        <v>2859</v>
      </c>
      <c r="D18" s="13646" t="s">
        <v>2849</v>
      </c>
    </row>
    <row customHeight="1" ht="11.25">
      <c r="A19" s="13646" t="s">
        <v>175</v>
      </c>
      <c r="B19" s="13646" t="s">
        <v>2860</v>
      </c>
      <c r="C19" s="13646" t="s">
        <v>2848</v>
      </c>
      <c r="D19" s="13646" t="s">
        <v>2849</v>
      </c>
    </row>
    <row customHeight="1" ht="11.25">
      <c r="A20" s="13646" t="s">
        <v>180</v>
      </c>
      <c r="B20" s="13646" t="s">
        <v>2861</v>
      </c>
      <c r="C20" s="13646" t="s">
        <v>2848</v>
      </c>
      <c r="D20" s="13646" t="s">
        <v>2849</v>
      </c>
    </row>
    <row customHeight="1" ht="11.25">
      <c r="A21" s="13646" t="s">
        <v>118</v>
      </c>
      <c r="B21" s="13646" t="s">
        <v>2862</v>
      </c>
      <c r="C21" s="13646" t="s">
        <v>2851</v>
      </c>
      <c r="D21" s="13646" t="s">
        <v>2863</v>
      </c>
    </row>
    <row customHeight="1" ht="11.25">
      <c r="A22" s="13646" t="s">
        <v>122</v>
      </c>
      <c r="B22" s="13646" t="s">
        <v>2864</v>
      </c>
      <c r="C22" s="13646" t="s">
        <v>2832</v>
      </c>
      <c r="D22" s="13646" t="s">
        <v>2835</v>
      </c>
    </row>
    <row customHeight="1" ht="11.25">
      <c r="A23" s="13646" t="s">
        <v>107</v>
      </c>
      <c r="B23" s="13646" t="s">
        <v>2865</v>
      </c>
      <c r="C23" s="13646" t="s">
        <v>2832</v>
      </c>
      <c r="D23" s="13646" t="s">
        <v>2835</v>
      </c>
    </row>
    <row customHeight="1" ht="11.25">
      <c r="A24" s="13646" t="s">
        <v>1768</v>
      </c>
      <c r="B24" s="13646" t="s">
        <v>2866</v>
      </c>
      <c r="C24" s="13646" t="s">
        <v>2832</v>
      </c>
      <c r="D24" s="13646" t="s">
        <v>2835</v>
      </c>
    </row>
    <row customHeight="1" ht="11.25">
      <c r="A25" s="13646" t="s">
        <v>177</v>
      </c>
      <c r="B25" s="13646" t="s">
        <v>2867</v>
      </c>
      <c r="C25" s="13646" t="s">
        <v>2832</v>
      </c>
      <c r="D25" s="13646" t="s">
        <v>2835</v>
      </c>
    </row>
    <row customHeight="1" ht="11.25">
      <c r="A26" s="13646" t="s">
        <v>163</v>
      </c>
      <c r="B26" s="13646" t="s">
        <v>2868</v>
      </c>
      <c r="C26" s="13646" t="s">
        <v>2832</v>
      </c>
      <c r="D26" s="13646" t="s">
        <v>2837</v>
      </c>
    </row>
    <row customHeight="1" ht="11.25">
      <c r="A27" s="13646" t="s">
        <v>1782</v>
      </c>
      <c r="B27" s="13646" t="s">
        <v>2869</v>
      </c>
      <c r="C27" s="13646" t="s">
        <v>2832</v>
      </c>
      <c r="D27" s="13646" t="s">
        <v>2835</v>
      </c>
    </row>
    <row customHeight="1" ht="11.25">
      <c r="A28" s="13646" t="s">
        <v>1790</v>
      </c>
      <c r="B28" s="13646" t="s">
        <v>2870</v>
      </c>
      <c r="C28" s="13646" t="s">
        <v>2832</v>
      </c>
      <c r="D28" s="13646" t="s">
        <v>2835</v>
      </c>
    </row>
    <row customHeight="1" ht="11.25">
      <c r="A29" s="13646" t="s">
        <v>112</v>
      </c>
      <c r="B29" s="13646" t="s">
        <v>2871</v>
      </c>
      <c r="C29" s="13646" t="s">
        <v>2832</v>
      </c>
      <c r="D29" s="13646" t="s">
        <v>2872</v>
      </c>
    </row>
    <row customHeight="1" ht="11.25">
      <c r="A30" s="13646" t="s">
        <v>172</v>
      </c>
      <c r="B30" s="13646" t="s">
        <v>2873</v>
      </c>
      <c r="C30" s="13646" t="s">
        <v>2874</v>
      </c>
      <c r="D30" s="13646" t="s">
        <v>2833</v>
      </c>
    </row>
    <row customHeight="1" ht="11.25">
      <c r="A31" s="13646" t="s">
        <v>1798</v>
      </c>
      <c r="B31" s="13646" t="s">
        <v>2875</v>
      </c>
      <c r="C31" s="13646" t="s">
        <v>2832</v>
      </c>
      <c r="D31" s="13646" t="s">
        <v>2872</v>
      </c>
    </row>
    <row customHeight="1" ht="11.25">
      <c r="A32" s="13646" t="s">
        <v>132</v>
      </c>
      <c r="B32" s="13646" t="s">
        <v>2876</v>
      </c>
      <c r="C32" s="13646" t="s">
        <v>2832</v>
      </c>
      <c r="D32" s="13646" t="s">
        <v>2835</v>
      </c>
    </row>
    <row customHeight="1" ht="11.25">
      <c r="A33" s="13646" t="s">
        <v>126</v>
      </c>
      <c r="B33" s="13646" t="s">
        <v>2877</v>
      </c>
      <c r="C33" s="13646" t="s">
        <v>2874</v>
      </c>
      <c r="D33" s="13646" t="s">
        <v>2878</v>
      </c>
    </row>
    <row customHeight="1" ht="11.25">
      <c r="A34" s="13646" t="s">
        <v>145</v>
      </c>
      <c r="B34" s="13646" t="s">
        <v>2879</v>
      </c>
      <c r="C34" s="13646" t="s">
        <v>2880</v>
      </c>
      <c r="D34" s="13646" t="s">
        <v>2846</v>
      </c>
    </row>
    <row customHeight="1" ht="11.25">
      <c r="A35" s="13646" t="s">
        <v>1806</v>
      </c>
      <c r="B35" s="13646" t="s">
        <v>2881</v>
      </c>
      <c r="C35" s="13646" t="s">
        <v>2882</v>
      </c>
      <c r="D35" s="13646" t="s">
        <v>2883</v>
      </c>
    </row>
    <row customHeight="1" ht="11.25">
      <c r="A36" s="13646" t="s">
        <v>1811</v>
      </c>
      <c r="B36" s="13646" t="s">
        <v>2884</v>
      </c>
      <c r="C36" s="13646" t="s">
        <v>2842</v>
      </c>
      <c r="D36" s="13646" t="s">
        <v>2885</v>
      </c>
    </row>
    <row customHeight="1" ht="11.25">
      <c r="A37" s="13646" t="s">
        <v>1815</v>
      </c>
      <c r="B37" s="13646" t="s">
        <v>2886</v>
      </c>
      <c r="C37" s="13646" t="s">
        <v>2887</v>
      </c>
      <c r="D37" s="13646" t="s">
        <v>2885</v>
      </c>
    </row>
    <row customHeight="1" ht="11.25">
      <c r="A38" s="13646" t="s">
        <v>1822</v>
      </c>
      <c r="B38" s="13646" t="s">
        <v>2888</v>
      </c>
      <c r="C38" s="13646" t="s">
        <v>2889</v>
      </c>
      <c r="D38" s="13646" t="s">
        <v>2835</v>
      </c>
    </row>
    <row customHeight="1" ht="11.25">
      <c r="A39" s="13646" t="s">
        <v>1828</v>
      </c>
      <c r="B39" s="13646" t="s">
        <v>2890</v>
      </c>
      <c r="C39" s="13646" t="s">
        <v>2851</v>
      </c>
      <c r="D39" s="13646" t="s">
        <v>2863</v>
      </c>
    </row>
    <row customHeight="1" ht="11.25">
      <c r="A40" s="13646" t="s">
        <v>1833</v>
      </c>
      <c r="B40" s="13646" t="s">
        <v>2891</v>
      </c>
      <c r="C40" s="13646" t="s">
        <v>2848</v>
      </c>
      <c r="D40" s="13646" t="s">
        <v>2892</v>
      </c>
    </row>
    <row customHeight="1" ht="11.25">
      <c r="A41" s="13646" t="s">
        <v>1837</v>
      </c>
      <c r="B41" s="13646" t="s">
        <v>2893</v>
      </c>
      <c r="C41" s="13646" t="s">
        <v>2832</v>
      </c>
      <c r="D41" s="13646" t="s">
        <v>2839</v>
      </c>
    </row>
    <row customHeight="1" ht="11.25">
      <c r="A42" s="13646" t="s">
        <v>1840</v>
      </c>
      <c r="B42" s="13646" t="s">
        <v>2894</v>
      </c>
      <c r="C42" s="13646" t="s">
        <v>2874</v>
      </c>
      <c r="D42" s="13646" t="s">
        <v>2892</v>
      </c>
    </row>
    <row customHeight="1" ht="11.25">
      <c r="A43" s="13646" t="s">
        <v>1847</v>
      </c>
      <c r="B43" s="13646" t="s">
        <v>2895</v>
      </c>
      <c r="C43" s="13646" t="s">
        <v>2874</v>
      </c>
      <c r="D43" s="13646" t="s">
        <v>2892</v>
      </c>
    </row>
    <row customHeight="1" ht="11.25">
      <c r="A44" s="13646" t="s">
        <v>1856</v>
      </c>
      <c r="B44" s="13646" t="s">
        <v>2896</v>
      </c>
      <c r="C44" s="13646" t="s">
        <v>2842</v>
      </c>
      <c r="D44" s="13646" t="s">
        <v>2846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22171C-37D4-D239-74CA-A802460F9C38}"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287603-C911-C6A7-2E54-E457652B054A}" mc:Ignorable="x14ac xr xr2 xr3">
  <sheetPr>
    <tabColor rgb="FFFFCC99"/>
  </sheetPr>
  <dimension ref="A1:B21"/>
  <sheetViews>
    <sheetView topLeftCell="A1" showGridLines="0" workbookViewId="0">
      <selection activeCell="A1" sqref="A1"/>
    </sheetView>
  </sheetViews>
  <sheetFormatPr defaultColWidth="9.140625" customHeight="1" defaultRowHeight="11.25"/>
  <cols>
    <col min="1" max="2" style="13647" width="9.140625"/>
  </cols>
  <sheetData>
    <row customHeight="1" ht="11.25">
      <c r="A1" s="169" t="s">
        <v>211</v>
      </c>
      <c r="B1" s="169" t="s">
        <v>2897</v>
      </c>
    </row>
    <row customHeight="1" ht="11.25">
      <c r="A2" s="13648" t="s">
        <v>99</v>
      </c>
      <c r="B2" s="13648" t="s">
        <v>2898</v>
      </c>
    </row>
    <row customHeight="1" ht="11.25">
      <c r="A3" s="13648" t="s">
        <v>106</v>
      </c>
      <c r="B3" s="13648" t="s">
        <v>2899</v>
      </c>
    </row>
    <row customHeight="1" ht="11.25">
      <c r="A4" s="13648" t="s">
        <v>111</v>
      </c>
      <c r="B4" s="13648" t="s">
        <v>2900</v>
      </c>
    </row>
    <row customHeight="1" ht="11.25">
      <c r="A5" s="13648" t="s">
        <v>115</v>
      </c>
      <c r="B5" s="13648" t="s">
        <v>2901</v>
      </c>
    </row>
    <row customHeight="1" ht="11.25">
      <c r="A6" s="13648" t="s">
        <v>117</v>
      </c>
      <c r="B6" s="13648" t="s">
        <v>2902</v>
      </c>
    </row>
    <row customHeight="1" ht="11.25">
      <c r="A7" s="13648" t="s">
        <v>121</v>
      </c>
      <c r="B7" s="13648" t="s">
        <v>2903</v>
      </c>
    </row>
    <row customHeight="1" ht="11.25">
      <c r="A8" s="13648" t="s">
        <v>125</v>
      </c>
      <c r="B8" s="13648" t="s">
        <v>2904</v>
      </c>
    </row>
    <row customHeight="1" ht="11.25">
      <c r="A9" s="13648" t="s">
        <v>131</v>
      </c>
      <c r="B9" s="13648" t="s">
        <v>2905</v>
      </c>
    </row>
    <row customHeight="1" ht="11.25">
      <c r="A10" s="13648" t="s">
        <v>136</v>
      </c>
      <c r="B10" s="13648" t="s">
        <v>2906</v>
      </c>
    </row>
    <row customHeight="1" ht="11.25">
      <c r="A11" s="13648" t="s">
        <v>140</v>
      </c>
      <c r="B11" s="13648" t="s">
        <v>2907</v>
      </c>
    </row>
    <row customHeight="1" ht="11.25">
      <c r="A12" s="13648" t="s">
        <v>144</v>
      </c>
      <c r="B12" s="13648" t="s">
        <v>2908</v>
      </c>
    </row>
    <row customHeight="1" ht="11.25">
      <c r="A13" s="13648" t="s">
        <v>149</v>
      </c>
      <c r="B13" s="13648" t="s">
        <v>2909</v>
      </c>
    </row>
    <row customHeight="1" ht="11.25">
      <c r="A14" s="13648" t="s">
        <v>153</v>
      </c>
      <c r="B14" s="13648" t="s">
        <v>2910</v>
      </c>
    </row>
    <row customHeight="1" ht="11.25">
      <c r="A15" s="13648" t="s">
        <v>158</v>
      </c>
      <c r="B15" s="13648" t="s">
        <v>2911</v>
      </c>
    </row>
    <row customHeight="1" ht="11.25">
      <c r="A16" s="13648" t="s">
        <v>162</v>
      </c>
      <c r="B16" s="13648" t="s">
        <v>2912</v>
      </c>
    </row>
    <row customHeight="1" ht="11.25">
      <c r="A17" s="13648" t="s">
        <v>167</v>
      </c>
      <c r="B17" s="13648" t="s">
        <v>2913</v>
      </c>
    </row>
    <row customHeight="1" ht="11.25">
      <c r="A18" s="13648" t="s">
        <v>171</v>
      </c>
      <c r="B18" s="13648" t="s">
        <v>2914</v>
      </c>
    </row>
    <row customHeight="1" ht="11.25">
      <c r="A19" s="13648" t="s">
        <v>176</v>
      </c>
      <c r="B19" s="13648" t="s">
        <v>2915</v>
      </c>
    </row>
    <row customHeight="1" ht="11.25">
      <c r="A20" s="13648" t="s">
        <v>181</v>
      </c>
      <c r="B20" s="13648" t="s">
        <v>2916</v>
      </c>
    </row>
    <row customHeight="1" ht="11.25">
      <c r="A21" s="13648" t="s">
        <v>184</v>
      </c>
      <c r="B21" s="13648" t="s">
        <v>2917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29AF89-A403-26F7-B537-9729B58A43B7}"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3645" width="9.140625"/>
    <col min="2" max="2" style="13645" width="65.28125" customWidth="1"/>
  </cols>
  <sheetData>
    <row customHeight="1" ht="11.25">
      <c r="A1" s="841" t="s">
        <v>2918</v>
      </c>
      <c r="B1" s="841" t="s">
        <v>2919</v>
      </c>
    </row>
    <row customHeight="1" ht="11.25">
      <c r="A2" s="841">
        <v>4213775</v>
      </c>
      <c r="B2" s="841" t="s">
        <v>1454</v>
      </c>
    </row>
    <row customHeight="1" ht="11.25">
      <c r="A3" s="841">
        <v>4213784</v>
      </c>
      <c r="B3" s="841" t="s">
        <v>1486</v>
      </c>
    </row>
    <row customHeight="1" ht="11.25">
      <c r="A4" s="841">
        <v>4213781</v>
      </c>
      <c r="B4" s="841" t="s">
        <v>1479</v>
      </c>
    </row>
    <row customHeight="1" ht="11.25">
      <c r="A5" s="841">
        <v>4213776</v>
      </c>
      <c r="B5" s="841" t="s">
        <v>241</v>
      </c>
    </row>
    <row customHeight="1" ht="11.25">
      <c r="A6" s="841">
        <v>4213777</v>
      </c>
      <c r="B6" s="841" t="s">
        <v>399</v>
      </c>
    </row>
    <row customHeight="1" ht="11.25">
      <c r="A7" s="841">
        <v>4213778</v>
      </c>
      <c r="B7" s="841" t="s">
        <v>405</v>
      </c>
    </row>
    <row customHeight="1" ht="11.25">
      <c r="A8" s="841">
        <v>4213780</v>
      </c>
      <c r="B8" s="841" t="s">
        <v>411</v>
      </c>
    </row>
    <row customHeight="1" ht="11.25">
      <c r="A9" s="841">
        <v>4213779</v>
      </c>
      <c r="B9" s="841" t="s">
        <v>1618</v>
      </c>
    </row>
    <row customHeight="1" ht="11.25">
      <c r="A10" s="841">
        <v>4213783</v>
      </c>
      <c r="B10" s="841" t="s">
        <v>1633</v>
      </c>
    </row>
    <row customHeight="1" ht="11.25">
      <c r="A11" s="841">
        <v>4213782</v>
      </c>
      <c r="B11" s="841" t="s">
        <v>417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8D168E-B239-704C-D234-C96E5F2F94EF}"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3645" width="9.140625"/>
    <col min="2" max="2" style="13645" width="65.28125" customWidth="1"/>
  </cols>
  <sheetData>
    <row customHeight="1" ht="11.25">
      <c r="A1" s="841" t="s">
        <v>2918</v>
      </c>
      <c r="B1" s="841" t="s">
        <v>2920</v>
      </c>
    </row>
    <row customHeight="1" ht="11.25">
      <c r="A2" s="841" t="s">
        <v>2921</v>
      </c>
      <c r="B2" s="841" t="s">
        <v>1726</v>
      </c>
    </row>
    <row customHeight="1" ht="11.25">
      <c r="A3" s="841" t="s">
        <v>2922</v>
      </c>
      <c r="B3" s="841" t="s">
        <v>1735</v>
      </c>
    </row>
    <row customHeight="1" ht="11.25">
      <c r="A4" s="841" t="s">
        <v>2923</v>
      </c>
      <c r="B4" s="841" t="s">
        <v>1743</v>
      </c>
    </row>
    <row customHeight="1" ht="11.25">
      <c r="A5" s="841" t="s">
        <v>2924</v>
      </c>
      <c r="B5" s="841" t="s">
        <v>1752</v>
      </c>
    </row>
    <row customHeight="1" ht="11.25">
      <c r="A6" s="841" t="s">
        <v>2925</v>
      </c>
      <c r="B6" s="841" t="s">
        <v>1757</v>
      </c>
    </row>
    <row customHeight="1" ht="11.25">
      <c r="A7" s="841" t="s">
        <v>2926</v>
      </c>
      <c r="B7" s="841" t="s">
        <v>1764</v>
      </c>
    </row>
    <row customHeight="1" ht="11.25">
      <c r="A8" s="841" t="s">
        <v>2927</v>
      </c>
      <c r="B8" s="841" t="s">
        <v>1771</v>
      </c>
    </row>
    <row customHeight="1" ht="11.25">
      <c r="A9" s="841" t="s">
        <v>2928</v>
      </c>
      <c r="B9" s="841" t="s">
        <v>1776</v>
      </c>
    </row>
    <row customHeight="1" ht="11.25">
      <c r="A10" s="841" t="s">
        <v>2929</v>
      </c>
      <c r="B10" s="841" t="s">
        <v>1779</v>
      </c>
    </row>
    <row customHeight="1" ht="11.25">
      <c r="A11" s="841" t="s">
        <v>2930</v>
      </c>
      <c r="B11" s="841" t="s">
        <v>1786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8FAB95-11A2-5287-495A-A7FBDAC5A771}" mc:Ignorable="x14ac xr xr2 xr3">
  <sheetPr>
    <tabColor theme="3" tint="0.6"/>
  </sheetPr>
  <dimension ref="A1:AS17"/>
  <sheetViews>
    <sheetView topLeftCell="A1" showGridLines="0" zoomScale="90" workbookViewId="0">
      <selection activeCell="A1" sqref="A1"/>
    </sheetView>
  </sheetViews>
  <sheetFormatPr defaultColWidth="10.57421875" customHeight="1" defaultRowHeight="14.25"/>
  <cols>
    <col min="1" max="1" style="3193" width="9.140625" hidden="1" customWidth="1"/>
    <col min="2" max="2" style="3172" width="9.140625" hidden="1" customWidth="1"/>
    <col min="3" max="3" style="3194" width="3.7109375" customWidth="1"/>
    <col min="4" max="4" style="3172" width="5.57421875" customWidth="1"/>
    <col min="5" max="5" style="3172" width="48.421875" customWidth="1"/>
    <col min="6" max="6" style="3172" width="38.140625" customWidth="1"/>
    <col min="7" max="7" style="2624" width="1.7109375" hidden="1" customWidth="1"/>
    <col min="8" max="11" style="3172" width="19.8515625" customWidth="1"/>
    <col min="12" max="12" style="3172" width="9.7109375" customWidth="1"/>
    <col min="13" max="18" style="3172" width="19.8515625" customWidth="1"/>
    <col min="19" max="19" style="2624" width="1.7109375" hidden="1" customWidth="1"/>
    <col min="20" max="22" style="3195" width="19.8515625" hidden="1" customWidth="1"/>
    <col min="23" max="23" style="2624" width="1.7109375" hidden="1" customWidth="1"/>
    <col min="24" max="26" style="3195" width="19.8515625" hidden="1" customWidth="1"/>
    <col min="27" max="27" style="2624" width="1.7109375" hidden="1" customWidth="1"/>
    <col min="28" max="29" style="3195" width="19.8515625" hidden="1" customWidth="1"/>
    <col min="30" max="30" style="2624" width="1.7109375" hidden="1" customWidth="1"/>
    <col min="31" max="31" style="3172" width="103.7109375" customWidth="1"/>
    <col min="32" max="34" style="3195" width="103.7109375" hidden="1" customWidth="1"/>
    <col min="35" max="35" style="3196" width="3.7109375" customWidth="1"/>
    <col min="36" max="38" style="3149" width="10.57421875"/>
    <col min="39" max="39" style="3149" width="13.7109375" hidden="1" customWidth="1"/>
    <col min="40" max="40" style="3149" width="15.421875" customWidth="1"/>
    <col min="41" max="41" style="3149" width="16.28125" customWidth="1"/>
    <col min="42" max="45" style="3149" width="10.57421875"/>
  </cols>
  <sheetData>
    <row customHeight="1" ht="14.25" hidden="1">
      <c r="E1" s="418"/>
      <c r="F1" s="418"/>
      <c r="G1" s="418"/>
      <c r="H1" s="2082" t="s">
        <v>567</v>
      </c>
      <c r="I1" s="2082"/>
      <c r="J1" s="2082"/>
      <c r="K1" s="2082"/>
      <c r="L1" s="2082"/>
      <c r="M1" s="2082"/>
      <c r="N1" s="2082"/>
      <c r="O1" s="2082"/>
      <c r="P1" s="2082"/>
      <c r="Q1" s="2082"/>
      <c r="R1" s="2082"/>
      <c r="T1" s="2082" t="s">
        <v>568</v>
      </c>
      <c r="U1" s="2082"/>
      <c r="V1" s="2082"/>
      <c r="X1" s="2082" t="s">
        <v>569</v>
      </c>
      <c r="Y1" s="2082"/>
      <c r="Z1" s="2082"/>
      <c r="AB1" s="2082" t="s">
        <v>570</v>
      </c>
      <c r="AC1" s="2082"/>
    </row>
    <row customHeight="1" ht="14.25" hidden="1"/>
    <row s="3132" customFormat="1" customHeight="1" ht="6">
      <c r="C3" s="707"/>
      <c r="D3" s="708"/>
      <c r="E3" s="708"/>
      <c r="F3" s="708"/>
      <c r="G3" s="708"/>
      <c r="H3" s="708" t="s">
        <v>571</v>
      </c>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J3" s="517"/>
      <c r="AK3" s="517"/>
      <c r="AL3" s="517"/>
      <c r="AM3" s="517"/>
      <c r="AN3" s="517"/>
      <c r="AO3" s="517"/>
      <c r="AP3" s="517"/>
      <c r="AQ3" s="517"/>
      <c r="AR3" s="517"/>
      <c r="AS3" s="517"/>
    </row>
    <row customHeight="1" ht="37.5">
      <c r="C4" s="456"/>
      <c r="D4" s="201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020"/>
      <c r="F4" s="2020"/>
      <c r="G4" s="2020"/>
      <c r="H4" s="2020"/>
      <c r="I4" s="2020"/>
      <c r="J4" s="2020"/>
      <c r="K4" s="2020"/>
      <c r="L4" s="2020"/>
      <c r="M4" s="2020"/>
      <c r="N4" s="2020"/>
      <c r="O4" s="2020"/>
      <c r="P4" s="2020"/>
      <c r="Q4" s="2020"/>
      <c r="R4" s="2021"/>
      <c r="S4" s="859"/>
      <c r="T4" s="705"/>
      <c r="U4" s="705"/>
      <c r="V4" s="705"/>
      <c r="W4" s="705"/>
      <c r="X4" s="705"/>
      <c r="Y4" s="705"/>
      <c r="Z4" s="705"/>
      <c r="AA4" s="705"/>
      <c r="AB4" s="705"/>
      <c r="AC4" s="705"/>
      <c r="AD4" s="705"/>
      <c r="AE4" s="497"/>
      <c r="AF4" s="497"/>
      <c r="AG4" s="497"/>
      <c r="AH4" s="497"/>
      <c r="AI4" s="494"/>
    </row>
    <row s="2624" customFormat="1" customHeight="1" ht="17.25">
      <c r="A5" s="765"/>
      <c r="C5" s="828"/>
      <c r="D5" s="2079" t="str">
        <f>IF(org=0,"Не определено",org)</f>
        <v>АО "Мурманэнергосбыт"</v>
      </c>
      <c r="E5" s="2080"/>
      <c r="F5" s="2080"/>
      <c r="G5" s="2080"/>
      <c r="H5" s="2080"/>
      <c r="I5" s="2080"/>
      <c r="J5" s="2080"/>
      <c r="K5" s="2080"/>
      <c r="L5" s="2080"/>
      <c r="M5" s="2080"/>
      <c r="N5" s="2080"/>
      <c r="O5" s="2080"/>
      <c r="P5" s="2080"/>
      <c r="Q5" s="2080"/>
      <c r="R5" s="2081"/>
      <c r="S5" s="859"/>
      <c r="T5" s="705"/>
      <c r="U5" s="705"/>
      <c r="V5" s="705"/>
      <c r="W5" s="705"/>
      <c r="X5" s="705"/>
      <c r="Y5" s="705"/>
      <c r="Z5" s="705"/>
      <c r="AA5" s="705"/>
      <c r="AB5" s="705"/>
      <c r="AC5" s="705"/>
      <c r="AD5" s="705"/>
      <c r="AE5" s="497"/>
      <c r="AF5" s="497"/>
      <c r="AG5" s="497"/>
      <c r="AH5" s="497"/>
      <c r="AI5" s="494"/>
      <c r="AJ5" s="517"/>
      <c r="AK5" s="517"/>
      <c r="AL5" s="517"/>
      <c r="AM5" s="517"/>
      <c r="AN5" s="517"/>
      <c r="AO5" s="517"/>
      <c r="AP5" s="517"/>
      <c r="AQ5" s="517"/>
      <c r="AR5" s="517"/>
      <c r="AS5" s="517"/>
    </row>
    <row s="3144" customFormat="1" customHeight="1" ht="11.25">
      <c r="A6" s="485"/>
      <c r="C6" s="492"/>
      <c r="D6" s="491"/>
      <c r="E6" s="491"/>
      <c r="F6" s="491"/>
      <c r="G6" s="491"/>
      <c r="H6" s="491"/>
      <c r="I6" s="491"/>
      <c r="J6" s="491"/>
      <c r="K6" s="491"/>
      <c r="L6" s="491"/>
      <c r="M6" s="491"/>
      <c r="N6" s="491"/>
      <c r="O6" s="491"/>
      <c r="P6" s="491"/>
      <c r="Q6" s="491"/>
      <c r="R6" s="758"/>
      <c r="S6" s="758"/>
      <c r="T6" s="491"/>
      <c r="U6" s="491"/>
      <c r="V6" s="718"/>
      <c r="W6" s="718"/>
      <c r="X6" s="491"/>
      <c r="Y6" s="491"/>
      <c r="Z6" s="718"/>
      <c r="AA6" s="718"/>
      <c r="AB6" s="491"/>
      <c r="AC6" s="718"/>
      <c r="AD6" s="718"/>
      <c r="AE6" s="491"/>
      <c r="AF6" s="491"/>
      <c r="AG6" s="491"/>
      <c r="AH6" s="491"/>
      <c r="AJ6" s="495"/>
      <c r="AK6" s="495"/>
      <c r="AL6" s="495"/>
      <c r="AM6" s="495"/>
      <c r="AN6" s="495"/>
      <c r="AO6" s="495"/>
      <c r="AP6" s="495"/>
      <c r="AQ6" s="495"/>
      <c r="AR6" s="495"/>
      <c r="AS6" s="495"/>
    </row>
    <row customHeight="1" ht="14.25">
      <c r="C7" s="456"/>
      <c r="D7" s="2068" t="s">
        <v>513</v>
      </c>
      <c r="E7" s="2083"/>
      <c r="F7" s="2083"/>
      <c r="G7" s="2083"/>
      <c r="H7" s="2083"/>
      <c r="I7" s="2083"/>
      <c r="J7" s="2083"/>
      <c r="K7" s="2083"/>
      <c r="L7" s="2083"/>
      <c r="M7" s="2083"/>
      <c r="N7" s="2083"/>
      <c r="O7" s="2083"/>
      <c r="P7" s="2083"/>
      <c r="Q7" s="2083"/>
      <c r="R7" s="2083"/>
      <c r="S7" s="2083"/>
      <c r="T7" s="2083"/>
      <c r="U7" s="2083"/>
      <c r="V7" s="2083"/>
      <c r="W7" s="2083"/>
      <c r="X7" s="2083"/>
      <c r="Y7" s="2083"/>
      <c r="Z7" s="2083"/>
      <c r="AA7" s="2083"/>
      <c r="AB7" s="2083"/>
      <c r="AC7" s="2083"/>
      <c r="AD7" s="2084"/>
      <c r="AE7" s="2067" t="s">
        <v>514</v>
      </c>
      <c r="AF7" s="2067" t="s">
        <v>514</v>
      </c>
      <c r="AG7" s="2067" t="s">
        <v>514</v>
      </c>
      <c r="AH7" s="2067" t="s">
        <v>514</v>
      </c>
    </row>
    <row customHeight="1" ht="25.5">
      <c r="C8" s="456"/>
      <c r="D8" s="1971" t="s">
        <v>89</v>
      </c>
      <c r="E8" s="2067" t="str">
        <f>"Наименование "&amp;IF(TEMPLATE_SPHERE&lt;&gt;"HEAT","централизованной ","")&amp;"системы "&amp;TEMPLATE_SPHERE_RUS</f>
        <v>Наименование системы теплоснабжения</v>
      </c>
      <c r="F8" s="2067" t="str">
        <f>IF(TEMPLATE_SPHERE&lt;&gt;"HEAT","Регулируемый вид деятельности","Вид регулируемой деятельности")</f>
        <v>Вид регулируемой деятельности</v>
      </c>
      <c r="G8" s="834"/>
      <c r="H8" s="2073" t="s">
        <v>572</v>
      </c>
      <c r="I8" s="2075" t="s">
        <v>573</v>
      </c>
      <c r="J8" s="2067" t="s">
        <v>574</v>
      </c>
      <c r="K8" s="2067"/>
      <c r="L8" s="2067"/>
      <c r="M8" s="2068"/>
      <c r="N8" s="2067" t="s">
        <v>575</v>
      </c>
      <c r="O8" s="2067"/>
      <c r="P8" s="2067" t="s">
        <v>576</v>
      </c>
      <c r="Q8" s="2067"/>
      <c r="R8" s="2071" t="s">
        <v>577</v>
      </c>
      <c r="S8" s="830"/>
      <c r="T8" s="2069" t="s">
        <v>578</v>
      </c>
      <c r="U8" s="2069" t="s">
        <v>579</v>
      </c>
      <c r="V8" s="2069" t="s">
        <v>580</v>
      </c>
      <c r="W8" s="832"/>
      <c r="X8" s="2069" t="s">
        <v>581</v>
      </c>
      <c r="Y8" s="2069" t="s">
        <v>582</v>
      </c>
      <c r="Z8" s="2069" t="s">
        <v>583</v>
      </c>
      <c r="AA8" s="832"/>
      <c r="AB8" s="2069" t="s">
        <v>584</v>
      </c>
      <c r="AC8" s="2069" t="s">
        <v>577</v>
      </c>
      <c r="AD8" s="832"/>
      <c r="AE8" s="2067"/>
      <c r="AF8" s="2067"/>
      <c r="AG8" s="2067"/>
      <c r="AH8" s="2067"/>
    </row>
    <row customHeight="1" ht="43.5">
      <c r="C9" s="456"/>
      <c r="D9" s="1971"/>
      <c r="E9" s="2067"/>
      <c r="F9" s="2067"/>
      <c r="G9" s="835"/>
      <c r="H9" s="2074"/>
      <c r="I9" s="2076"/>
      <c r="J9" s="431" t="s">
        <v>585</v>
      </c>
      <c r="K9" s="431" t="s">
        <v>586</v>
      </c>
      <c r="L9" s="431" t="s">
        <v>587</v>
      </c>
      <c r="M9" s="437" t="s">
        <v>588</v>
      </c>
      <c r="N9" s="431" t="s">
        <v>589</v>
      </c>
      <c r="O9" s="431" t="s">
        <v>588</v>
      </c>
      <c r="P9" s="431" t="s">
        <v>590</v>
      </c>
      <c r="Q9" s="431" t="s">
        <v>588</v>
      </c>
      <c r="R9" s="2072"/>
      <c r="S9" s="831"/>
      <c r="T9" s="2070"/>
      <c r="U9" s="2070"/>
      <c r="V9" s="2070"/>
      <c r="W9" s="833"/>
      <c r="X9" s="2070"/>
      <c r="Y9" s="2070"/>
      <c r="Z9" s="2070"/>
      <c r="AA9" s="833"/>
      <c r="AB9" s="2070"/>
      <c r="AC9" s="2070"/>
      <c r="AD9" s="833"/>
      <c r="AE9" s="2067"/>
      <c r="AF9" s="2067"/>
      <c r="AG9" s="2067"/>
      <c r="AH9" s="2067"/>
    </row>
    <row customHeight="1" ht="12" hidden="1">
      <c r="C10" s="493"/>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3"/>
      <c r="AP10" s="506"/>
      <c r="AQ10" s="506"/>
    </row>
    <row s="2611" customFormat="1" customHeight="1" ht="11.25" hidden="1">
      <c r="C11" s="504"/>
      <c r="D11" s="505" t="s">
        <v>591</v>
      </c>
      <c r="E11" s="505"/>
      <c r="F11" s="505"/>
      <c r="G11" s="505"/>
      <c r="H11" s="503"/>
      <c r="I11" s="503"/>
      <c r="J11" s="503"/>
      <c r="K11" s="503"/>
      <c r="L11" s="503"/>
      <c r="M11" s="503"/>
      <c r="N11" s="503"/>
      <c r="O11" s="503"/>
      <c r="P11" s="503"/>
      <c r="Q11" s="503"/>
      <c r="R11" s="503"/>
      <c r="S11" s="503"/>
      <c r="T11" s="503"/>
      <c r="U11" s="503"/>
      <c r="V11" s="503"/>
      <c r="W11" s="503"/>
      <c r="X11" s="503"/>
      <c r="Y11" s="503"/>
      <c r="Z11" s="503"/>
      <c r="AA11" s="503"/>
      <c r="AB11" s="503"/>
      <c r="AC11" s="503"/>
      <c r="AD11" s="503"/>
      <c r="AE11" s="441"/>
      <c r="AF11" s="441"/>
      <c r="AG11" s="441"/>
      <c r="AH11" s="441"/>
      <c r="AJ11" s="495"/>
      <c r="AK11" s="495"/>
      <c r="AL11" s="495"/>
      <c r="AM11" s="495"/>
      <c r="AN11" s="495"/>
      <c r="AO11" s="495"/>
      <c r="AP11" s="495"/>
      <c r="AQ11" s="495"/>
      <c r="AR11" s="495"/>
      <c r="AS11" s="495"/>
    </row>
    <row customHeight="1" ht="14.25">
      <c r="A12" s="453"/>
      <c r="C12" s="456"/>
      <c r="D12" s="440" t="s">
        <v>193</v>
      </c>
      <c r="E12" s="1818" t="s">
        <v>24</v>
      </c>
      <c r="F12" s="861"/>
      <c r="G12" s="862"/>
      <c r="H12" s="1819"/>
      <c r="I12" s="1819"/>
      <c r="J12" s="439"/>
      <c r="K12" s="1906"/>
      <c r="L12" s="438"/>
      <c r="M12" s="1906"/>
      <c r="N12" s="439"/>
      <c r="O12" s="1906"/>
      <c r="P12" s="439"/>
      <c r="Q12" s="1906"/>
      <c r="R12" s="439"/>
      <c r="S12" s="860"/>
      <c r="T12" s="1819"/>
      <c r="U12" s="439"/>
      <c r="V12" s="439"/>
      <c r="W12" s="833"/>
      <c r="X12" s="1819"/>
      <c r="Y12" s="439"/>
      <c r="Z12" s="439"/>
      <c r="AA12" s="833"/>
      <c r="AB12" s="1819"/>
      <c r="AC12" s="439"/>
      <c r="AD12" s="833"/>
      <c r="AE12" s="2077" t="s">
        <v>592</v>
      </c>
      <c r="AF12" s="2077" t="s">
        <v>593</v>
      </c>
      <c r="AG12" s="2077" t="s">
        <v>594</v>
      </c>
      <c r="AH12" s="2077" t="s">
        <v>595</v>
      </c>
      <c r="AI12" s="453"/>
      <c r="AM12" s="517"/>
      <c r="AP12" s="506" t="s">
        <v>596</v>
      </c>
      <c r="AQ12" s="506" t="s">
        <v>596</v>
      </c>
    </row>
    <row customHeight="1" ht="17.25">
      <c r="A13" s="453"/>
      <c r="C13" s="456"/>
      <c r="D13" s="411"/>
      <c r="E13" s="875" t="str">
        <f>IF(TITLE_DIFFERENTIATION_TYPE="нет","","Добавить систему")</f>
        <v/>
      </c>
      <c r="F13" s="875" t="str">
        <f>IF(TITLE_DIFFERENTIATION_TYPE="нет","Добавить вид деятельности","")</f>
        <v>Добавить вид деятельности</v>
      </c>
      <c r="G13" s="303"/>
      <c r="H13" s="412"/>
      <c r="I13" s="412"/>
      <c r="J13" s="412"/>
      <c r="K13" s="412"/>
      <c r="L13" s="412"/>
      <c r="M13" s="412"/>
      <c r="N13" s="412"/>
      <c r="O13" s="412"/>
      <c r="P13" s="412"/>
      <c r="Q13" s="412"/>
      <c r="R13" s="412"/>
      <c r="S13" s="412"/>
      <c r="T13" s="412"/>
      <c r="U13" s="412"/>
      <c r="V13" s="412"/>
      <c r="W13" s="412"/>
      <c r="X13" s="412"/>
      <c r="Y13" s="412"/>
      <c r="Z13" s="412"/>
      <c r="AA13" s="412"/>
      <c r="AB13" s="412"/>
      <c r="AC13" s="412"/>
      <c r="AD13" s="863"/>
      <c r="AE13" s="2078"/>
      <c r="AF13" s="2078"/>
      <c r="AG13" s="2078"/>
      <c r="AH13" s="2078"/>
      <c r="AI13" s="453"/>
    </row>
    <row customHeight="1" ht="14.25">
      <c r="AI14" s="453"/>
    </row>
    <row customHeight="1" ht="14.25">
      <c r="E15" s="764"/>
      <c r="L15" s="764"/>
    </row>
    <row customHeight="1" ht="14.25">
      <c r="L16" s="764"/>
    </row>
    <row customHeight="1" ht="14.25">
      <c r="L17" s="764"/>
    </row>
  </sheetData>
  <sheetProtection formatColumns="0" formatRows="0" autoFilter="0" sort="0" insertRows="0" insertColumns="1" deleteRows="0" deleteColumns="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D977A6-DB37-A1E5-D985-857423D54E7D}" mc:Ignorable="x14ac xr xr2 xr3">
  <sheetPr>
    <tabColor rgb="FFFFCC99"/>
  </sheetPr>
  <dimension ref="A1:G47"/>
  <sheetViews>
    <sheetView topLeftCell="A1" showGridLines="0" workbookViewId="0">
      <selection activeCell="A1" sqref="A1"/>
    </sheetView>
  </sheetViews>
  <sheetFormatPr customHeight="1" defaultRowHeight="11.25"/>
  <sheetData>
    <row customHeight="1" ht="11.25">
      <c r="A1" s="373" t="s">
        <v>2761</v>
      </c>
      <c r="B1" s="373" t="s">
        <v>2762</v>
      </c>
      <c r="C1" s="373" t="s">
        <v>2763</v>
      </c>
      <c r="D1" s="373" t="s">
        <v>2764</v>
      </c>
      <c r="E1" s="0" t="s">
        <v>2765</v>
      </c>
      <c r="F1" s="0" t="s">
        <v>2766</v>
      </c>
      <c r="G1" s="0" t="s">
        <v>2767</v>
      </c>
    </row>
    <row customHeight="1" ht="11.25">
      <c r="A2" s="0" t="s">
        <v>14</v>
      </c>
      <c r="B2" s="0" t="s">
        <v>2768</v>
      </c>
      <c r="C2" s="0" t="s">
        <v>2769</v>
      </c>
      <c r="D2" s="0" t="s">
        <v>2768</v>
      </c>
      <c r="E2" s="0" t="s">
        <v>2769</v>
      </c>
      <c r="F2" s="0" t="s">
        <v>2770</v>
      </c>
      <c r="G2" s="0" t="s">
        <v>193</v>
      </c>
    </row>
    <row customHeight="1" ht="11.25">
      <c r="A3" s="0" t="s">
        <v>14</v>
      </c>
      <c r="B3" s="0" t="s">
        <v>2771</v>
      </c>
      <c r="C3" s="0" t="s">
        <v>2772</v>
      </c>
      <c r="D3" s="0" t="s">
        <v>2771</v>
      </c>
      <c r="E3" s="0" t="s">
        <v>2772</v>
      </c>
      <c r="F3" s="0" t="s">
        <v>2770</v>
      </c>
      <c r="G3" s="0" t="s">
        <v>104</v>
      </c>
    </row>
    <row customHeight="1" ht="11.25">
      <c r="A4" s="0" t="s">
        <v>14</v>
      </c>
      <c r="B4" s="0" t="s">
        <v>2773</v>
      </c>
      <c r="C4" s="0" t="s">
        <v>2774</v>
      </c>
      <c r="D4" s="0" t="s">
        <v>2773</v>
      </c>
      <c r="E4" s="0" t="s">
        <v>2774</v>
      </c>
      <c r="F4" s="0" t="s">
        <v>2770</v>
      </c>
      <c r="G4" s="0" t="s">
        <v>91</v>
      </c>
    </row>
    <row customHeight="1" ht="11.25">
      <c r="A5" s="0" t="s">
        <v>14</v>
      </c>
      <c r="B5" s="0" t="s">
        <v>137</v>
      </c>
      <c r="C5" s="0" t="s">
        <v>138</v>
      </c>
      <c r="D5" s="0" t="s">
        <v>137</v>
      </c>
      <c r="E5" s="0" t="s">
        <v>138</v>
      </c>
      <c r="F5" s="0" t="s">
        <v>2770</v>
      </c>
      <c r="G5" s="0" t="s">
        <v>92</v>
      </c>
    </row>
    <row customHeight="1" ht="11.25">
      <c r="A6" s="0" t="s">
        <v>14</v>
      </c>
      <c r="B6" s="0" t="s">
        <v>2775</v>
      </c>
      <c r="C6" s="0" t="s">
        <v>2776</v>
      </c>
      <c r="D6" s="0" t="s">
        <v>2775</v>
      </c>
      <c r="E6" s="0" t="s">
        <v>2776</v>
      </c>
      <c r="F6" s="0" t="s">
        <v>2770</v>
      </c>
      <c r="G6" s="0" t="s">
        <v>116</v>
      </c>
    </row>
    <row customHeight="1" ht="11.25">
      <c r="A7" s="0" t="s">
        <v>14</v>
      </c>
      <c r="B7" s="0" t="s">
        <v>141</v>
      </c>
      <c r="C7" s="0" t="s">
        <v>142</v>
      </c>
      <c r="D7" s="0" t="s">
        <v>141</v>
      </c>
      <c r="E7" s="0" t="s">
        <v>142</v>
      </c>
      <c r="F7" s="0" t="s">
        <v>2770</v>
      </c>
      <c r="G7" s="0" t="s">
        <v>93</v>
      </c>
    </row>
    <row customHeight="1" ht="11.25">
      <c r="A8" s="0" t="s">
        <v>14</v>
      </c>
      <c r="B8" s="0" t="s">
        <v>185</v>
      </c>
      <c r="C8" s="0" t="s">
        <v>186</v>
      </c>
      <c r="D8" s="0" t="s">
        <v>185</v>
      </c>
      <c r="E8" s="0" t="s">
        <v>186</v>
      </c>
      <c r="F8" s="0" t="s">
        <v>2770</v>
      </c>
      <c r="G8" s="0" t="s">
        <v>94</v>
      </c>
    </row>
    <row customHeight="1" ht="11.25">
      <c r="A9" s="0" t="s">
        <v>14</v>
      </c>
      <c r="B9" s="0" t="s">
        <v>2777</v>
      </c>
      <c r="C9" s="0" t="s">
        <v>2778</v>
      </c>
      <c r="D9" s="0" t="s">
        <v>2777</v>
      </c>
      <c r="E9" s="0" t="s">
        <v>2778</v>
      </c>
      <c r="F9" s="0" t="s">
        <v>2770</v>
      </c>
      <c r="G9" s="0" t="s">
        <v>130</v>
      </c>
    </row>
    <row customHeight="1" ht="11.25">
      <c r="A10" s="0" t="s">
        <v>14</v>
      </c>
      <c r="B10" s="0" t="s">
        <v>150</v>
      </c>
      <c r="C10" s="0" t="s">
        <v>151</v>
      </c>
      <c r="D10" s="0" t="s">
        <v>150</v>
      </c>
      <c r="E10" s="0" t="s">
        <v>151</v>
      </c>
      <c r="F10" s="0" t="s">
        <v>2770</v>
      </c>
      <c r="G10" s="0" t="s">
        <v>135</v>
      </c>
    </row>
    <row customHeight="1" ht="11.25">
      <c r="A11" s="0" t="s">
        <v>14</v>
      </c>
      <c r="B11" s="0" t="s">
        <v>182</v>
      </c>
      <c r="C11" s="0" t="s">
        <v>183</v>
      </c>
      <c r="D11" s="0" t="s">
        <v>182</v>
      </c>
      <c r="E11" s="0" t="s">
        <v>183</v>
      </c>
      <c r="F11" s="0" t="s">
        <v>2770</v>
      </c>
      <c r="G11" s="0" t="s">
        <v>139</v>
      </c>
    </row>
    <row customHeight="1" ht="11.25">
      <c r="A12" s="0" t="s">
        <v>14</v>
      </c>
      <c r="B12" s="0" t="s">
        <v>154</v>
      </c>
      <c r="C12" s="0" t="s">
        <v>2779</v>
      </c>
      <c r="D12" s="0" t="s">
        <v>2780</v>
      </c>
      <c r="E12" s="0" t="s">
        <v>2781</v>
      </c>
      <c r="F12" s="0" t="s">
        <v>2782</v>
      </c>
      <c r="G12" s="0" t="s">
        <v>143</v>
      </c>
    </row>
    <row customHeight="1" ht="11.25">
      <c r="A13" s="0" t="s">
        <v>14</v>
      </c>
      <c r="B13" s="0" t="s">
        <v>154</v>
      </c>
      <c r="C13" s="0" t="s">
        <v>2779</v>
      </c>
      <c r="D13" s="0" t="s">
        <v>155</v>
      </c>
      <c r="E13" s="0" t="s">
        <v>156</v>
      </c>
      <c r="F13" s="0" t="s">
        <v>2783</v>
      </c>
      <c r="G13" s="0" t="s">
        <v>148</v>
      </c>
    </row>
    <row customHeight="1" ht="11.25">
      <c r="A14" s="0" t="s">
        <v>14</v>
      </c>
      <c r="B14" s="0" t="s">
        <v>154</v>
      </c>
      <c r="C14" s="0" t="s">
        <v>2779</v>
      </c>
      <c r="D14" s="0" t="s">
        <v>2784</v>
      </c>
      <c r="E14" s="0" t="s">
        <v>2785</v>
      </c>
      <c r="F14" s="0" t="s">
        <v>2782</v>
      </c>
      <c r="G14" s="0" t="s">
        <v>152</v>
      </c>
    </row>
    <row customHeight="1" ht="11.25">
      <c r="A15" s="0" t="s">
        <v>14</v>
      </c>
      <c r="B15" s="0" t="s">
        <v>154</v>
      </c>
      <c r="C15" s="0" t="s">
        <v>2779</v>
      </c>
      <c r="D15" s="0" t="s">
        <v>154</v>
      </c>
      <c r="E15" s="0" t="s">
        <v>2779</v>
      </c>
      <c r="F15" s="0" t="s">
        <v>2786</v>
      </c>
      <c r="G15" s="0" t="s">
        <v>157</v>
      </c>
    </row>
    <row customHeight="1" ht="11.25">
      <c r="A16" s="0" t="s">
        <v>14</v>
      </c>
      <c r="B16" s="0" t="s">
        <v>154</v>
      </c>
      <c r="C16" s="0" t="s">
        <v>2779</v>
      </c>
      <c r="D16" s="0" t="s">
        <v>160</v>
      </c>
      <c r="E16" s="0" t="s">
        <v>161</v>
      </c>
      <c r="F16" s="0" t="s">
        <v>2787</v>
      </c>
      <c r="G16" s="0" t="s">
        <v>159</v>
      </c>
    </row>
    <row customHeight="1" ht="11.25">
      <c r="A17" s="0" t="s">
        <v>14</v>
      </c>
      <c r="B17" s="0" t="s">
        <v>168</v>
      </c>
      <c r="C17" s="0" t="s">
        <v>169</v>
      </c>
      <c r="D17" s="0" t="s">
        <v>168</v>
      </c>
      <c r="E17" s="0" t="s">
        <v>169</v>
      </c>
      <c r="F17" s="0" t="s">
        <v>2788</v>
      </c>
      <c r="G17" s="0" t="s">
        <v>166</v>
      </c>
    </row>
    <row customHeight="1" ht="11.25">
      <c r="A18" s="0" t="s">
        <v>14</v>
      </c>
      <c r="B18" s="0" t="s">
        <v>2789</v>
      </c>
      <c r="C18" s="0" t="s">
        <v>2790</v>
      </c>
      <c r="D18" s="0" t="s">
        <v>2789</v>
      </c>
      <c r="E18" s="0" t="s">
        <v>2790</v>
      </c>
      <c r="F18" s="0" t="s">
        <v>2770</v>
      </c>
      <c r="G18" s="0" t="s">
        <v>170</v>
      </c>
    </row>
    <row customHeight="1" ht="11.25">
      <c r="A19" s="0" t="s">
        <v>14</v>
      </c>
      <c r="B19" s="0" t="s">
        <v>108</v>
      </c>
      <c r="C19" s="0" t="s">
        <v>2791</v>
      </c>
      <c r="D19" s="0" t="s">
        <v>108</v>
      </c>
      <c r="E19" s="0" t="s">
        <v>2791</v>
      </c>
      <c r="F19" s="0" t="s">
        <v>2786</v>
      </c>
      <c r="G19" s="0" t="s">
        <v>175</v>
      </c>
    </row>
    <row customHeight="1" ht="11.25">
      <c r="A20" s="0" t="s">
        <v>14</v>
      </c>
      <c r="B20" s="0" t="s">
        <v>108</v>
      </c>
      <c r="C20" s="0" t="s">
        <v>2791</v>
      </c>
      <c r="D20" s="0" t="s">
        <v>2792</v>
      </c>
      <c r="E20" s="0" t="s">
        <v>2793</v>
      </c>
      <c r="F20" s="0" t="s">
        <v>2782</v>
      </c>
      <c r="G20" s="0" t="s">
        <v>180</v>
      </c>
    </row>
    <row customHeight="1" ht="11.25">
      <c r="A21" s="0" t="s">
        <v>14</v>
      </c>
      <c r="B21" s="0" t="s">
        <v>108</v>
      </c>
      <c r="C21" s="0" t="s">
        <v>2791</v>
      </c>
      <c r="D21" s="0" t="s">
        <v>119</v>
      </c>
      <c r="E21" s="0" t="s">
        <v>120</v>
      </c>
      <c r="F21" s="0" t="s">
        <v>2787</v>
      </c>
      <c r="G21" s="0" t="s">
        <v>118</v>
      </c>
    </row>
    <row customHeight="1" ht="11.25">
      <c r="A22" s="0" t="s">
        <v>14</v>
      </c>
      <c r="B22" s="0" t="s">
        <v>108</v>
      </c>
      <c r="C22" s="0" t="s">
        <v>2791</v>
      </c>
      <c r="D22" s="0" t="s">
        <v>123</v>
      </c>
      <c r="E22" s="0" t="s">
        <v>124</v>
      </c>
      <c r="F22" s="0" t="s">
        <v>2787</v>
      </c>
      <c r="G22" s="0" t="s">
        <v>122</v>
      </c>
    </row>
    <row customHeight="1" ht="11.25">
      <c r="A23" s="0" t="s">
        <v>14</v>
      </c>
      <c r="B23" s="0" t="s">
        <v>108</v>
      </c>
      <c r="C23" s="0" t="s">
        <v>2791</v>
      </c>
      <c r="D23" s="0" t="s">
        <v>109</v>
      </c>
      <c r="E23" s="0" t="s">
        <v>110</v>
      </c>
      <c r="F23" s="0" t="s">
        <v>2787</v>
      </c>
      <c r="G23" s="0" t="s">
        <v>107</v>
      </c>
    </row>
    <row customHeight="1" ht="11.25">
      <c r="A24" s="0" t="s">
        <v>14</v>
      </c>
      <c r="B24" s="0" t="s">
        <v>108</v>
      </c>
      <c r="C24" s="0" t="s">
        <v>2791</v>
      </c>
      <c r="D24" s="0" t="s">
        <v>2794</v>
      </c>
      <c r="E24" s="0" t="s">
        <v>2795</v>
      </c>
      <c r="F24" s="0" t="s">
        <v>2787</v>
      </c>
      <c r="G24" s="0" t="s">
        <v>1768</v>
      </c>
    </row>
    <row customHeight="1" ht="11.25">
      <c r="A25" s="0" t="s">
        <v>14</v>
      </c>
      <c r="B25" s="0" t="s">
        <v>108</v>
      </c>
      <c r="C25" s="0" t="s">
        <v>2791</v>
      </c>
      <c r="D25" s="0" t="s">
        <v>178</v>
      </c>
      <c r="E25" s="0" t="s">
        <v>179</v>
      </c>
      <c r="F25" s="0" t="s">
        <v>2782</v>
      </c>
      <c r="G25" s="0" t="s">
        <v>177</v>
      </c>
    </row>
    <row customHeight="1" ht="11.25">
      <c r="A26" s="0" t="s">
        <v>14</v>
      </c>
      <c r="B26" s="0" t="s">
        <v>108</v>
      </c>
      <c r="C26" s="0" t="s">
        <v>2791</v>
      </c>
      <c r="D26" s="0" t="s">
        <v>164</v>
      </c>
      <c r="E26" s="0" t="s">
        <v>165</v>
      </c>
      <c r="F26" s="0" t="s">
        <v>2782</v>
      </c>
      <c r="G26" s="0" t="s">
        <v>163</v>
      </c>
    </row>
    <row customHeight="1" ht="11.25">
      <c r="A27" s="0" t="s">
        <v>14</v>
      </c>
      <c r="B27" s="0" t="s">
        <v>108</v>
      </c>
      <c r="C27" s="0" t="s">
        <v>2791</v>
      </c>
      <c r="D27" s="0" t="s">
        <v>2796</v>
      </c>
      <c r="E27" s="0" t="s">
        <v>2797</v>
      </c>
      <c r="F27" s="0" t="s">
        <v>2782</v>
      </c>
      <c r="G27" s="0" t="s">
        <v>1782</v>
      </c>
    </row>
    <row customHeight="1" ht="11.25">
      <c r="A28" s="0" t="s">
        <v>14</v>
      </c>
      <c r="B28" s="0" t="s">
        <v>108</v>
      </c>
      <c r="C28" s="0" t="s">
        <v>2791</v>
      </c>
      <c r="D28" s="0" t="s">
        <v>2798</v>
      </c>
      <c r="E28" s="0" t="s">
        <v>2799</v>
      </c>
      <c r="F28" s="0" t="s">
        <v>2783</v>
      </c>
      <c r="G28" s="0" t="s">
        <v>1790</v>
      </c>
    </row>
    <row customHeight="1" ht="11.25">
      <c r="A29" s="0" t="s">
        <v>14</v>
      </c>
      <c r="B29" s="0" t="s">
        <v>108</v>
      </c>
      <c r="C29" s="0" t="s">
        <v>2791</v>
      </c>
      <c r="D29" s="0" t="s">
        <v>173</v>
      </c>
      <c r="E29" s="0" t="s">
        <v>174</v>
      </c>
      <c r="F29" s="0" t="s">
        <v>2782</v>
      </c>
      <c r="G29" s="0" t="s">
        <v>172</v>
      </c>
    </row>
    <row customHeight="1" ht="11.25">
      <c r="A30" s="0" t="s">
        <v>14</v>
      </c>
      <c r="B30" s="0" t="s">
        <v>127</v>
      </c>
      <c r="C30" s="0" t="s">
        <v>2800</v>
      </c>
      <c r="D30" s="0" t="s">
        <v>127</v>
      </c>
      <c r="E30" s="0" t="s">
        <v>2800</v>
      </c>
      <c r="F30" s="0" t="s">
        <v>2786</v>
      </c>
      <c r="G30" s="0" t="s">
        <v>1798</v>
      </c>
    </row>
    <row customHeight="1" ht="11.25">
      <c r="A31" s="0" t="s">
        <v>14</v>
      </c>
      <c r="B31" s="0" t="s">
        <v>127</v>
      </c>
      <c r="C31" s="0" t="s">
        <v>2800</v>
      </c>
      <c r="D31" s="0" t="s">
        <v>133</v>
      </c>
      <c r="E31" s="0" t="s">
        <v>134</v>
      </c>
      <c r="F31" s="0" t="s">
        <v>2787</v>
      </c>
      <c r="G31" s="0" t="s">
        <v>132</v>
      </c>
    </row>
    <row customHeight="1" ht="11.25">
      <c r="A32" s="0" t="s">
        <v>14</v>
      </c>
      <c r="B32" s="0" t="s">
        <v>127</v>
      </c>
      <c r="C32" s="0" t="s">
        <v>2800</v>
      </c>
      <c r="D32" s="0" t="s">
        <v>128</v>
      </c>
      <c r="E32" s="0" t="s">
        <v>129</v>
      </c>
      <c r="F32" s="0" t="s">
        <v>2782</v>
      </c>
      <c r="G32" s="0" t="s">
        <v>126</v>
      </c>
    </row>
    <row customHeight="1" ht="11.25">
      <c r="A33" s="0" t="s">
        <v>14</v>
      </c>
      <c r="B33" s="0" t="s">
        <v>146</v>
      </c>
      <c r="C33" s="0" t="s">
        <v>147</v>
      </c>
      <c r="D33" s="0" t="s">
        <v>146</v>
      </c>
      <c r="E33" s="0" t="s">
        <v>147</v>
      </c>
      <c r="F33" s="0" t="s">
        <v>2788</v>
      </c>
      <c r="G33" s="0" t="s">
        <v>145</v>
      </c>
    </row>
    <row customHeight="1" ht="11.25">
      <c r="A34" s="0" t="s">
        <v>14</v>
      </c>
      <c r="B34" s="0" t="s">
        <v>2801</v>
      </c>
      <c r="C34" s="0" t="s">
        <v>2802</v>
      </c>
      <c r="D34" s="0" t="s">
        <v>2803</v>
      </c>
      <c r="E34" s="0" t="s">
        <v>2804</v>
      </c>
      <c r="F34" s="0" t="s">
        <v>2783</v>
      </c>
      <c r="G34" s="0" t="s">
        <v>1806</v>
      </c>
    </row>
    <row customHeight="1" ht="11.25">
      <c r="A35" s="0" t="s">
        <v>14</v>
      </c>
      <c r="B35" s="0" t="s">
        <v>2801</v>
      </c>
      <c r="C35" s="0" t="s">
        <v>2802</v>
      </c>
      <c r="D35" s="0" t="s">
        <v>2801</v>
      </c>
      <c r="E35" s="0" t="s">
        <v>2802</v>
      </c>
      <c r="F35" s="0" t="s">
        <v>2786</v>
      </c>
      <c r="G35" s="0" t="s">
        <v>1811</v>
      </c>
    </row>
    <row customHeight="1" ht="11.25">
      <c r="A36" s="0" t="s">
        <v>14</v>
      </c>
      <c r="B36" s="0" t="s">
        <v>2801</v>
      </c>
      <c r="C36" s="0" t="s">
        <v>2802</v>
      </c>
      <c r="D36" s="0" t="s">
        <v>2805</v>
      </c>
      <c r="E36" s="0" t="s">
        <v>2806</v>
      </c>
      <c r="F36" s="0" t="s">
        <v>2787</v>
      </c>
      <c r="G36" s="0" t="s">
        <v>1815</v>
      </c>
    </row>
    <row customHeight="1" ht="11.25">
      <c r="A37" s="0" t="s">
        <v>14</v>
      </c>
      <c r="B37" s="0" t="s">
        <v>2801</v>
      </c>
      <c r="C37" s="0" t="s">
        <v>2802</v>
      </c>
      <c r="D37" s="0" t="s">
        <v>2807</v>
      </c>
      <c r="E37" s="0" t="s">
        <v>2808</v>
      </c>
      <c r="F37" s="0" t="s">
        <v>2787</v>
      </c>
      <c r="G37" s="0" t="s">
        <v>1822</v>
      </c>
    </row>
    <row customHeight="1" ht="11.25">
      <c r="A38" s="0" t="s">
        <v>14</v>
      </c>
      <c r="B38" s="0" t="s">
        <v>2801</v>
      </c>
      <c r="C38" s="0" t="s">
        <v>2802</v>
      </c>
      <c r="D38" s="0" t="s">
        <v>2809</v>
      </c>
      <c r="E38" s="0" t="s">
        <v>2810</v>
      </c>
      <c r="F38" s="0" t="s">
        <v>2782</v>
      </c>
      <c r="G38" s="0" t="s">
        <v>1828</v>
      </c>
    </row>
    <row customHeight="1" ht="11.25">
      <c r="A39" s="0" t="s">
        <v>14</v>
      </c>
      <c r="B39" s="0" t="s">
        <v>2811</v>
      </c>
      <c r="C39" s="0" t="s">
        <v>2812</v>
      </c>
      <c r="D39" s="0" t="s">
        <v>2813</v>
      </c>
      <c r="E39" s="0" t="s">
        <v>2814</v>
      </c>
      <c r="F39" s="0" t="s">
        <v>2782</v>
      </c>
      <c r="G39" s="0" t="s">
        <v>1833</v>
      </c>
    </row>
    <row customHeight="1" ht="11.25">
      <c r="A40" s="0" t="s">
        <v>14</v>
      </c>
      <c r="B40" s="0" t="s">
        <v>2811</v>
      </c>
      <c r="C40" s="0" t="s">
        <v>2812</v>
      </c>
      <c r="D40" s="0" t="s">
        <v>2815</v>
      </c>
      <c r="E40" s="0" t="s">
        <v>2816</v>
      </c>
      <c r="F40" s="0" t="s">
        <v>2787</v>
      </c>
      <c r="G40" s="0" t="s">
        <v>1837</v>
      </c>
    </row>
    <row customHeight="1" ht="11.25">
      <c r="A41" s="0" t="s">
        <v>14</v>
      </c>
      <c r="B41" s="0" t="s">
        <v>2811</v>
      </c>
      <c r="C41" s="0" t="s">
        <v>2812</v>
      </c>
      <c r="D41" s="0" t="s">
        <v>2811</v>
      </c>
      <c r="E41" s="0" t="s">
        <v>2812</v>
      </c>
      <c r="F41" s="0" t="s">
        <v>2786</v>
      </c>
      <c r="G41" s="0" t="s">
        <v>1840</v>
      </c>
    </row>
    <row customHeight="1" ht="11.25">
      <c r="A42" s="0" t="s">
        <v>14</v>
      </c>
      <c r="B42" s="0" t="s">
        <v>2817</v>
      </c>
      <c r="C42" s="0" t="s">
        <v>2818</v>
      </c>
      <c r="D42" s="0" t="s">
        <v>2817</v>
      </c>
      <c r="E42" s="0" t="s">
        <v>2818</v>
      </c>
      <c r="F42" s="0" t="s">
        <v>2788</v>
      </c>
      <c r="G42" s="0" t="s">
        <v>1847</v>
      </c>
    </row>
    <row customHeight="1" ht="11.25">
      <c r="A43" s="0" t="s">
        <v>14</v>
      </c>
      <c r="B43" s="0" t="s">
        <v>2819</v>
      </c>
      <c r="C43" s="0" t="s">
        <v>2820</v>
      </c>
      <c r="D43" s="0" t="s">
        <v>2819</v>
      </c>
      <c r="E43" s="0" t="s">
        <v>2820</v>
      </c>
      <c r="F43" s="0" t="s">
        <v>2788</v>
      </c>
      <c r="G43" s="0" t="s">
        <v>1856</v>
      </c>
    </row>
    <row customHeight="1" ht="11.25">
      <c r="A44" s="0" t="s">
        <v>14</v>
      </c>
      <c r="B44" s="0" t="s">
        <v>2821</v>
      </c>
      <c r="C44" s="0" t="s">
        <v>2822</v>
      </c>
      <c r="D44" s="0" t="s">
        <v>2821</v>
      </c>
      <c r="E44" s="0" t="s">
        <v>2822</v>
      </c>
      <c r="F44" s="0" t="s">
        <v>2788</v>
      </c>
      <c r="G44" s="0" t="s">
        <v>1861</v>
      </c>
    </row>
    <row customHeight="1" ht="11.25">
      <c r="A45" s="0" t="s">
        <v>14</v>
      </c>
      <c r="B45" s="0" t="s">
        <v>2823</v>
      </c>
      <c r="C45" s="0" t="s">
        <v>2824</v>
      </c>
      <c r="D45" s="0" t="s">
        <v>2823</v>
      </c>
      <c r="E45" s="0" t="s">
        <v>2824</v>
      </c>
      <c r="F45" s="0" t="s">
        <v>2788</v>
      </c>
      <c r="G45" s="0" t="s">
        <v>1865</v>
      </c>
    </row>
    <row customHeight="1" ht="11.25">
      <c r="A46" s="0" t="s">
        <v>14</v>
      </c>
      <c r="B46" s="0" t="s">
        <v>2825</v>
      </c>
      <c r="C46" s="0" t="s">
        <v>2826</v>
      </c>
      <c r="D46" s="0" t="s">
        <v>2825</v>
      </c>
      <c r="E46" s="0" t="s">
        <v>2826</v>
      </c>
      <c r="F46" s="0" t="s">
        <v>2788</v>
      </c>
      <c r="G46" s="0" t="s">
        <v>1871</v>
      </c>
    </row>
    <row customHeight="1" ht="11.25">
      <c r="A47" s="0" t="s">
        <v>14</v>
      </c>
      <c r="B47" s="0" t="s">
        <v>101</v>
      </c>
      <c r="C47" s="0" t="s">
        <v>102</v>
      </c>
      <c r="D47" s="0" t="s">
        <v>101</v>
      </c>
      <c r="E47" s="0" t="s">
        <v>102</v>
      </c>
      <c r="F47" s="0" t="s">
        <v>2770</v>
      </c>
      <c r="G47" s="0" t="s">
        <v>100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B77D37-F68C-BD81-C017-4E3A44449118}"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3645" width="9.140625"/>
    <col min="2" max="2" style="13645" width="84.28125" customWidth="1"/>
    <col min="3" max="3" style="13645" width="9.140625"/>
  </cols>
  <sheetData>
    <row customHeight="1" ht="11.25">
      <c r="A1" s="841" t="s">
        <v>2931</v>
      </c>
      <c r="B1" s="841" t="s">
        <v>2932</v>
      </c>
      <c r="C1" s="841" t="s">
        <v>1399</v>
      </c>
    </row>
    <row customHeight="1" ht="11.25">
      <c r="A2" s="841">
        <v>4189678</v>
      </c>
      <c r="B2" s="841" t="s">
        <v>2933</v>
      </c>
      <c r="C2" s="841" t="s">
        <v>2934</v>
      </c>
    </row>
    <row customHeight="1" ht="11.25">
      <c r="A3" s="841">
        <v>4190415</v>
      </c>
      <c r="B3" s="841" t="s">
        <v>2935</v>
      </c>
      <c r="C3" s="841" t="s">
        <v>2934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721584-5F36-A585-21EE-407C7F76D83C}"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3650" width="38.421875" customWidth="1"/>
    <col min="2" max="5" style="13650" width="9.140625"/>
  </cols>
  <sheetData>
    <row customHeight="1" ht="15">
      <c r="A1" s="149" t="s">
        <v>2936</v>
      </c>
      <c r="B1" s="149" t="s">
        <v>2937</v>
      </c>
      <c r="C1" s="149"/>
      <c r="D1" s="149"/>
      <c r="E1" s="149"/>
    </row>
    <row customHeight="1" ht="15">
      <c r="A2" s="149"/>
      <c r="B2" s="149"/>
      <c r="C2" s="149"/>
      <c r="D2" s="149"/>
      <c r="E2" s="149"/>
    </row>
    <row customHeight="1" ht="15">
      <c r="A3" s="149"/>
      <c r="B3" s="149"/>
      <c r="C3" s="149"/>
      <c r="D3" s="149"/>
      <c r="E3" s="149"/>
    </row>
    <row customHeight="1" ht="15">
      <c r="A4" s="149"/>
      <c r="B4" s="149"/>
      <c r="C4" s="149"/>
      <c r="D4" s="149"/>
      <c r="E4" s="149"/>
    </row>
    <row customHeight="1" ht="15">
      <c r="A5" s="149"/>
      <c r="B5" s="149"/>
      <c r="C5" s="149"/>
      <c r="D5" s="149"/>
      <c r="E5" s="149"/>
    </row>
    <row customHeight="1" ht="15">
      <c r="A6" s="149"/>
      <c r="B6" s="149"/>
      <c r="C6" s="149"/>
      <c r="D6" s="149"/>
      <c r="E6" s="149"/>
    </row>
    <row customHeight="1" ht="15">
      <c r="A7" s="149"/>
      <c r="B7" s="149"/>
      <c r="C7" s="149"/>
      <c r="D7" s="149"/>
      <c r="E7" s="149"/>
    </row>
    <row customHeight="1" ht="15">
      <c r="A8" s="149"/>
      <c r="B8" s="149"/>
      <c r="C8" s="149"/>
      <c r="D8" s="149"/>
      <c r="E8" s="149"/>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D512E5-D1C1-66A6-DA3D-B1B2D39DD674}"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2938</v>
      </c>
      <c r="B1" s="0" t="b">
        <v>1</v>
      </c>
    </row>
    <row customHeight="1" ht="11.25">
      <c r="A2" s="0" t="s">
        <v>2939</v>
      </c>
      <c r="B2" s="0" t="b">
        <v>0</v>
      </c>
    </row>
    <row customHeight="1" ht="11.25">
      <c r="A3" s="0" t="s">
        <v>2940</v>
      </c>
      <c r="B3" s="0" t="b">
        <v>1</v>
      </c>
    </row>
    <row customHeight="1" ht="11.25">
      <c r="A4" s="0" t="s">
        <v>2941</v>
      </c>
      <c r="B4" s="0" t="b">
        <v>0</v>
      </c>
    </row>
    <row customHeight="1" ht="11.25">
      <c r="A5" s="0" t="s">
        <v>2942</v>
      </c>
      <c r="B5" s="0" t="b">
        <v>0</v>
      </c>
    </row>
    <row customHeight="1" ht="11.25">
      <c r="A6" s="0" t="s">
        <v>2943</v>
      </c>
      <c r="B6" s="0" t="b">
        <v>0</v>
      </c>
    </row>
    <row customHeight="1" ht="11.25">
      <c r="A7" s="0" t="s">
        <v>2944</v>
      </c>
      <c r="B7" s="0" t="b">
        <v>0</v>
      </c>
    </row>
    <row customHeight="1" ht="11.25">
      <c r="A8" s="0" t="s">
        <v>2945</v>
      </c>
      <c r="B8" s="0" t="b">
        <v>0</v>
      </c>
    </row>
    <row customHeight="1" ht="11.25">
      <c r="A9" s="0" t="s">
        <v>2946</v>
      </c>
      <c r="B9" s="0" t="b">
        <v>1</v>
      </c>
    </row>
    <row customHeight="1" ht="11.25">
      <c r="A10" s="0" t="s">
        <v>2947</v>
      </c>
      <c r="B10" s="0" t="b">
        <v>0</v>
      </c>
    </row>
    <row customHeight="1" ht="11.25">
      <c r="A11" s="0" t="s">
        <v>2948</v>
      </c>
      <c r="B11" s="0" t="b">
        <v>0</v>
      </c>
    </row>
    <row customHeight="1" ht="11.25">
      <c r="A12" s="0" t="s">
        <v>2949</v>
      </c>
      <c r="B12" s="0" t="b">
        <v>0</v>
      </c>
    </row>
    <row customHeight="1" ht="11.25">
      <c r="A13" s="0" t="s">
        <v>2950</v>
      </c>
      <c r="B13" s="0" t="b">
        <v>0</v>
      </c>
    </row>
    <row customHeight="1" ht="11.25">
      <c r="A14" s="0" t="s">
        <v>2951</v>
      </c>
      <c r="B14" s="0" t="b">
        <v>0</v>
      </c>
    </row>
    <row customHeight="1" ht="11.25">
      <c r="A15" s="0" t="s">
        <v>2952</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8BB9DA-F586-E77A-D862-CBAD67030805}"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13652" width="9.140625"/>
  </cols>
  <sheetData>
    <row customHeight="1" ht="12.75">
      <c r="A1" s="80"/>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CC3B76-E3DE-94CB-4446-B3A6C1A9A5D8}"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3627" width="36.28125" customWidth="1"/>
    <col min="2" max="2" style="13627" width="21.140625" customWidth="1"/>
  </cols>
  <sheetData>
    <row customHeight="1" ht="11.25">
      <c r="A1" s="52" t="s">
        <v>2953</v>
      </c>
      <c r="B1" s="52" t="s">
        <v>2954</v>
      </c>
    </row>
    <row customHeight="1" ht="11.25">
      <c r="A2" s="48" t="s">
        <v>2955</v>
      </c>
      <c r="B2" s="48" t="s">
        <v>2956</v>
      </c>
    </row>
    <row customHeight="1" ht="11.25">
      <c r="A3" s="48" t="s">
        <v>2957</v>
      </c>
      <c r="B3" s="48" t="s">
        <v>2958</v>
      </c>
    </row>
    <row customHeight="1" ht="11.25">
      <c r="A4" s="48" t="s">
        <v>2959</v>
      </c>
      <c r="B4" s="48" t="s">
        <v>2960</v>
      </c>
    </row>
    <row customHeight="1" ht="11.25">
      <c r="A5" s="48" t="s">
        <v>2961</v>
      </c>
      <c r="B5" s="48" t="s">
        <v>2962</v>
      </c>
    </row>
    <row customHeight="1" ht="11.25">
      <c r="A6" s="48" t="s">
        <v>2963</v>
      </c>
      <c r="B6" s="48" t="s">
        <v>2964</v>
      </c>
    </row>
    <row customHeight="1" ht="11.25">
      <c r="A7" s="48" t="s">
        <v>2965</v>
      </c>
      <c r="B7" s="48" t="s">
        <v>2966</v>
      </c>
    </row>
    <row customHeight="1" ht="11.25">
      <c r="A8" s="48" t="s">
        <v>2967</v>
      </c>
      <c r="B8" s="48" t="s">
        <v>2968</v>
      </c>
    </row>
    <row customHeight="1" ht="11.25">
      <c r="A9" s="48" t="s">
        <v>2969</v>
      </c>
      <c r="B9" s="48" t="s">
        <v>2970</v>
      </c>
    </row>
    <row customHeight="1" ht="11.25">
      <c r="A10" s="48" t="s">
        <v>2971</v>
      </c>
      <c r="B10" s="48" t="s">
        <v>2972</v>
      </c>
    </row>
    <row customHeight="1" ht="11.25">
      <c r="A11" s="48" t="s">
        <v>2973</v>
      </c>
      <c r="B11" s="48" t="s">
        <v>2974</v>
      </c>
    </row>
    <row customHeight="1" ht="11.25">
      <c r="A12" s="48" t="s">
        <v>2975</v>
      </c>
      <c r="B12" s="48" t="s">
        <v>2976</v>
      </c>
    </row>
    <row customHeight="1" ht="11.25">
      <c r="A13" s="48" t="s">
        <v>2977</v>
      </c>
      <c r="B13" s="48" t="s">
        <v>2978</v>
      </c>
    </row>
    <row customHeight="1" ht="11.25">
      <c r="A14" s="48" t="s">
        <v>2979</v>
      </c>
      <c r="B14" s="48" t="s">
        <v>2980</v>
      </c>
    </row>
    <row customHeight="1" ht="11.25">
      <c r="A15" s="48" t="s">
        <v>2981</v>
      </c>
      <c r="B15" s="48" t="s">
        <v>2982</v>
      </c>
    </row>
    <row customHeight="1" ht="11.25">
      <c r="A16" s="48" t="s">
        <v>2983</v>
      </c>
      <c r="B16" s="48" t="s">
        <v>2984</v>
      </c>
    </row>
    <row customHeight="1" ht="11.25">
      <c r="A17" s="48" t="s">
        <v>2985</v>
      </c>
      <c r="B17" s="48" t="s">
        <v>2986</v>
      </c>
    </row>
    <row customHeight="1" ht="11.25">
      <c r="A18" s="48" t="s">
        <v>2987</v>
      </c>
      <c r="B18" s="48" t="s">
        <v>2988</v>
      </c>
    </row>
    <row customHeight="1" ht="11.25">
      <c r="A19" s="48" t="s">
        <v>2989</v>
      </c>
      <c r="B19" s="48" t="s">
        <v>2990</v>
      </c>
    </row>
    <row customHeight="1" ht="11.25">
      <c r="A20" s="48" t="s">
        <v>2991</v>
      </c>
      <c r="B20" s="48" t="s">
        <v>2992</v>
      </c>
    </row>
    <row customHeight="1" ht="11.25">
      <c r="A21" s="48" t="s">
        <v>2993</v>
      </c>
      <c r="B21" s="48" t="s">
        <v>2994</v>
      </c>
    </row>
    <row customHeight="1" ht="11.25">
      <c r="A22" s="48" t="s">
        <v>2995</v>
      </c>
      <c r="B22" s="48" t="s">
        <v>2996</v>
      </c>
    </row>
    <row customHeight="1" ht="11.25">
      <c r="A23" s="48" t="s">
        <v>2997</v>
      </c>
      <c r="B23" s="48" t="s">
        <v>2998</v>
      </c>
    </row>
    <row customHeight="1" ht="11.25">
      <c r="A24" s="48" t="s">
        <v>2999</v>
      </c>
      <c r="B24" s="48" t="s">
        <v>3000</v>
      </c>
    </row>
    <row customHeight="1" ht="11.25">
      <c r="A25" s="48" t="s">
        <v>3001</v>
      </c>
      <c r="B25" s="48" t="s">
        <v>3002</v>
      </c>
    </row>
    <row customHeight="1" ht="11.25">
      <c r="A26" s="48" t="s">
        <v>3003</v>
      </c>
      <c r="B26" s="48" t="s">
        <v>3004</v>
      </c>
    </row>
    <row customHeight="1" ht="11.25">
      <c r="A27" s="48" t="s">
        <v>3005</v>
      </c>
      <c r="B27" s="48" t="s">
        <v>3006</v>
      </c>
    </row>
    <row customHeight="1" ht="11.25">
      <c r="A28" s="48" t="s">
        <v>3007</v>
      </c>
      <c r="B28" s="48" t="s">
        <v>3008</v>
      </c>
    </row>
    <row customHeight="1" ht="11.25">
      <c r="A29" s="48" t="s">
        <v>3009</v>
      </c>
      <c r="B29" s="48" t="s">
        <v>3010</v>
      </c>
    </row>
    <row customHeight="1" ht="11.25">
      <c r="A30" s="48" t="s">
        <v>3011</v>
      </c>
      <c r="B30" s="48" t="s">
        <v>3012</v>
      </c>
    </row>
    <row customHeight="1" ht="11.25">
      <c r="A31" s="48" t="s">
        <v>3013</v>
      </c>
      <c r="B31" s="48" t="s">
        <v>3014</v>
      </c>
    </row>
    <row customHeight="1" ht="11.25">
      <c r="A32" s="48" t="s">
        <v>3015</v>
      </c>
      <c r="B32" s="48" t="s">
        <v>3016</v>
      </c>
    </row>
    <row customHeight="1" ht="11.25">
      <c r="A33" s="48" t="s">
        <v>3017</v>
      </c>
      <c r="B33" s="48" t="s">
        <v>3018</v>
      </c>
    </row>
    <row customHeight="1" ht="11.25">
      <c r="A34" s="48" t="s">
        <v>3019</v>
      </c>
      <c r="B34" s="48" t="s">
        <v>3020</v>
      </c>
    </row>
    <row customHeight="1" ht="11.25">
      <c r="A35" s="48" t="s">
        <v>3021</v>
      </c>
      <c r="B35" s="48" t="s">
        <v>3022</v>
      </c>
    </row>
    <row customHeight="1" ht="11.25">
      <c r="A36" s="48" t="s">
        <v>3023</v>
      </c>
      <c r="B36" s="48" t="s">
        <v>3024</v>
      </c>
    </row>
    <row customHeight="1" ht="11.25">
      <c r="A37" s="48" t="s">
        <v>3025</v>
      </c>
      <c r="B37" s="48" t="s">
        <v>3026</v>
      </c>
    </row>
    <row customHeight="1" ht="11.25">
      <c r="A38" s="48" t="s">
        <v>3027</v>
      </c>
      <c r="B38" s="48" t="s">
        <v>3028</v>
      </c>
    </row>
    <row customHeight="1" ht="11.25">
      <c r="A39" s="48" t="s">
        <v>3029</v>
      </c>
      <c r="B39" s="48" t="s">
        <v>3030</v>
      </c>
    </row>
    <row customHeight="1" ht="11.25">
      <c r="A40" s="48" t="s">
        <v>3031</v>
      </c>
      <c r="B40" s="48" t="s">
        <v>3032</v>
      </c>
    </row>
    <row customHeight="1" ht="11.25">
      <c r="A41" s="48" t="s">
        <v>3033</v>
      </c>
      <c r="B41" s="48" t="s">
        <v>3034</v>
      </c>
    </row>
    <row customHeight="1" ht="11.25">
      <c r="A42" s="48" t="s">
        <v>3035</v>
      </c>
      <c r="B42" s="48" t="s">
        <v>3036</v>
      </c>
    </row>
    <row customHeight="1" ht="11.25">
      <c r="A43" s="48" t="s">
        <v>3037</v>
      </c>
      <c r="B43" s="48" t="s">
        <v>3038</v>
      </c>
    </row>
    <row customHeight="1" ht="11.25">
      <c r="A44" s="48" t="s">
        <v>3039</v>
      </c>
      <c r="B44" s="48" t="s">
        <v>3040</v>
      </c>
    </row>
    <row customHeight="1" ht="11.25">
      <c r="A45" s="48" t="s">
        <v>3041</v>
      </c>
      <c r="B45" s="48" t="s">
        <v>3042</v>
      </c>
    </row>
    <row customHeight="1" ht="11.25">
      <c r="A46" s="48" t="s">
        <v>3043</v>
      </c>
      <c r="B46" s="48" t="s">
        <v>3044</v>
      </c>
    </row>
    <row customHeight="1" ht="11.25">
      <c r="A47" s="48" t="s">
        <v>3045</v>
      </c>
      <c r="B47" s="48" t="s">
        <v>3046</v>
      </c>
    </row>
    <row customHeight="1" ht="11.25">
      <c r="A48" s="48" t="s">
        <v>3047</v>
      </c>
      <c r="B48" s="48" t="s">
        <v>3048</v>
      </c>
    </row>
    <row customHeight="1" ht="11.25">
      <c r="A49" s="48" t="s">
        <v>3049</v>
      </c>
      <c r="B49" s="48" t="s">
        <v>3050</v>
      </c>
    </row>
    <row customHeight="1" ht="11.25">
      <c r="A50" s="48" t="s">
        <v>3051</v>
      </c>
      <c r="B50" s="48" t="s">
        <v>3052</v>
      </c>
    </row>
    <row customHeight="1" ht="11.25">
      <c r="A51" s="48" t="s">
        <v>3053</v>
      </c>
      <c r="B51" s="48" t="s">
        <v>3054</v>
      </c>
    </row>
    <row customHeight="1" ht="11.25">
      <c r="A52" s="48" t="s">
        <v>3055</v>
      </c>
      <c r="B52" s="48" t="s">
        <v>3056</v>
      </c>
    </row>
    <row customHeight="1" ht="11.25">
      <c r="A53" s="48" t="s">
        <v>3057</v>
      </c>
      <c r="B53" s="48" t="s">
        <v>3058</v>
      </c>
    </row>
    <row customHeight="1" ht="11.25">
      <c r="A54" s="48" t="s">
        <v>3059</v>
      </c>
      <c r="B54" s="48" t="s">
        <v>3060</v>
      </c>
    </row>
    <row customHeight="1" ht="11.25">
      <c r="A55" s="48" t="s">
        <v>3061</v>
      </c>
      <c r="B55" s="48" t="s">
        <v>3062</v>
      </c>
    </row>
    <row customHeight="1" ht="11.25">
      <c r="A56" s="48" t="s">
        <v>3063</v>
      </c>
      <c r="B56" s="48" t="s">
        <v>3064</v>
      </c>
    </row>
    <row customHeight="1" ht="11.25">
      <c r="A57" s="48" t="s">
        <v>3065</v>
      </c>
      <c r="B57" s="48" t="s">
        <v>3066</v>
      </c>
    </row>
    <row customHeight="1" ht="11.25">
      <c r="A58" s="48" t="s">
        <v>3067</v>
      </c>
      <c r="B58" s="48" t="s">
        <v>3068</v>
      </c>
    </row>
    <row customHeight="1" ht="11.25">
      <c r="A59" s="48" t="s">
        <v>3069</v>
      </c>
      <c r="B59" s="48" t="s">
        <v>3070</v>
      </c>
    </row>
    <row customHeight="1" ht="11.25">
      <c r="A60" s="48" t="s">
        <v>3071</v>
      </c>
      <c r="B60" s="48" t="s">
        <v>3072</v>
      </c>
    </row>
    <row customHeight="1" ht="11.25">
      <c r="A61" s="48"/>
      <c r="B61" s="48" t="s">
        <v>3073</v>
      </c>
    </row>
    <row customHeight="1" ht="11.25">
      <c r="A62" s="48"/>
      <c r="B62" s="48" t="s">
        <v>3074</v>
      </c>
    </row>
    <row customHeight="1" ht="11.25">
      <c r="A63" s="48"/>
      <c r="B63" s="48" t="s">
        <v>3075</v>
      </c>
    </row>
    <row customHeight="1" ht="11.25">
      <c r="A64" s="48"/>
      <c r="B64" s="48" t="s">
        <v>3076</v>
      </c>
    </row>
    <row customHeight="1" ht="11.25">
      <c r="A65" s="48"/>
      <c r="B65" s="48" t="s">
        <v>3077</v>
      </c>
    </row>
    <row customHeight="1" ht="11.25">
      <c r="A66" s="48"/>
      <c r="B66" s="48" t="s">
        <v>3078</v>
      </c>
    </row>
    <row customHeight="1" ht="11.25">
      <c r="A67" s="48"/>
      <c r="B67" s="48" t="s">
        <v>3079</v>
      </c>
    </row>
    <row customHeight="1" ht="11.25">
      <c r="A68" s="48"/>
      <c r="B68" s="48" t="s">
        <v>3080</v>
      </c>
    </row>
    <row customHeight="1" ht="11.25">
      <c r="A69" s="48"/>
      <c r="B69" s="48" t="s">
        <v>3081</v>
      </c>
    </row>
    <row customHeight="1" ht="11.25">
      <c r="A70" s="48"/>
      <c r="B70" s="48" t="s">
        <v>3082</v>
      </c>
    </row>
    <row customHeight="1" ht="11.25">
      <c r="A71" s="48"/>
      <c r="B71" s="48"/>
    </row>
    <row customHeight="1" ht="11.25">
      <c r="A72" s="48"/>
      <c r="B72" s="48"/>
    </row>
    <row customHeight="1" ht="11.25">
      <c r="A73" s="48"/>
      <c r="B73" s="48"/>
    </row>
    <row customHeight="1" ht="11.25">
      <c r="A74" s="48"/>
      <c r="B74" s="48"/>
    </row>
    <row customHeight="1" ht="11.25">
      <c r="A75" s="48"/>
      <c r="B75" s="48"/>
    </row>
    <row customHeight="1" ht="11.25">
      <c r="A76" s="48"/>
      <c r="B76" s="48"/>
    </row>
    <row customHeight="1" ht="11.25">
      <c r="A77" s="48"/>
      <c r="B77" s="48"/>
    </row>
    <row customHeight="1" ht="11.25">
      <c r="A78" s="48"/>
      <c r="B78" s="48"/>
    </row>
    <row customHeight="1" ht="11.25">
      <c r="A79" s="48"/>
      <c r="B79" s="48"/>
    </row>
    <row customHeight="1" ht="11.25">
      <c r="A80" s="48"/>
      <c r="B80" s="48"/>
    </row>
    <row customHeight="1" ht="11.25">
      <c r="A81" s="48"/>
      <c r="B81" s="48"/>
    </row>
    <row customHeight="1" ht="11.25">
      <c r="A82" s="48"/>
      <c r="B82" s="48"/>
    </row>
    <row customHeight="1" ht="11.25">
      <c r="A83" s="48"/>
      <c r="B83" s="48"/>
    </row>
    <row customHeight="1" ht="11.25">
      <c r="A84" s="48"/>
      <c r="B84" s="48"/>
    </row>
    <row customHeight="1" ht="11.25">
      <c r="A85" s="48"/>
      <c r="B85" s="48"/>
    </row>
    <row customHeight="1" ht="11.25">
      <c r="A86" s="48"/>
      <c r="B86" s="48"/>
    </row>
    <row customHeight="1" ht="11.25">
      <c r="A87" s="48"/>
      <c r="B87" s="48"/>
    </row>
    <row customHeight="1" ht="11.25">
      <c r="A88" s="48"/>
      <c r="B88" s="48"/>
    </row>
    <row customHeight="1" ht="11.25">
      <c r="A89" s="48"/>
      <c r="B89" s="48"/>
    </row>
    <row customHeight="1" ht="11.25">
      <c r="A90" s="48"/>
      <c r="B90" s="48"/>
    </row>
    <row customHeight="1" ht="11.25">
      <c r="A91" s="48"/>
      <c r="B91" s="48"/>
    </row>
    <row customHeight="1" ht="11.25">
      <c r="A92" s="48"/>
      <c r="B92" s="48"/>
    </row>
    <row customHeight="1" ht="11.25">
      <c r="A93" s="48"/>
      <c r="B93" s="48"/>
    </row>
    <row customHeight="1" ht="11.25">
      <c r="A94" s="48"/>
      <c r="B94" s="48"/>
    </row>
    <row customHeight="1" ht="11.25">
      <c r="A95" s="48"/>
      <c r="B95" s="48"/>
    </row>
    <row customHeight="1" ht="11.25">
      <c r="A96" s="48"/>
      <c r="B96" s="48"/>
    </row>
    <row customHeight="1" ht="11.25">
      <c r="A97" s="48"/>
      <c r="B97" s="48"/>
    </row>
    <row customHeight="1" ht="11.25">
      <c r="A98" s="48"/>
      <c r="B98" s="48"/>
    </row>
    <row customHeight="1" ht="11.25">
      <c r="A99" s="48"/>
      <c r="B99" s="48"/>
    </row>
    <row customHeight="1" ht="11.25">
      <c r="A100" s="48"/>
      <c r="B100" s="48"/>
    </row>
    <row customHeight="1" ht="11.25">
      <c r="A101" s="48"/>
      <c r="B101" s="48"/>
    </row>
    <row customHeight="1" ht="11.25">
      <c r="A102" s="48"/>
      <c r="B102" s="48"/>
    </row>
    <row customHeight="1" ht="11.25">
      <c r="A103" s="48"/>
      <c r="B103" s="48"/>
    </row>
    <row customHeight="1" ht="11.25">
      <c r="A104" s="48"/>
      <c r="B104" s="48"/>
    </row>
    <row customHeight="1" ht="11.25">
      <c r="A105" s="48"/>
      <c r="B105" s="48"/>
    </row>
    <row customHeight="1" ht="11.25">
      <c r="A106" s="48"/>
      <c r="B106" s="48"/>
    </row>
    <row customHeight="1" ht="11.25">
      <c r="A107" s="48"/>
      <c r="B107" s="48"/>
    </row>
    <row customHeight="1" ht="11.25">
      <c r="A108" s="48"/>
      <c r="B108" s="48"/>
    </row>
    <row customHeight="1" ht="11.25">
      <c r="A109" s="48"/>
      <c r="B109" s="48"/>
    </row>
    <row customHeight="1" ht="11.25">
      <c r="A110" s="48"/>
      <c r="B110" s="48"/>
    </row>
    <row customHeight="1" ht="11.25">
      <c r="A111" s="48"/>
      <c r="B111" s="48"/>
    </row>
    <row customHeight="1" ht="11.25">
      <c r="A112" s="48"/>
      <c r="B112" s="48"/>
    </row>
    <row customHeight="1" ht="11.25">
      <c r="A113" s="48"/>
      <c r="B113" s="48"/>
    </row>
    <row customHeight="1" ht="11.25">
      <c r="A114" s="48"/>
      <c r="B114" s="48"/>
    </row>
    <row customHeight="1" ht="11.25">
      <c r="A115" s="48"/>
      <c r="B115" s="48"/>
    </row>
    <row customHeight="1" ht="11.25">
      <c r="A116" s="48"/>
      <c r="B116" s="48"/>
    </row>
    <row customHeight="1" ht="11.25">
      <c r="A117" s="48"/>
      <c r="B117" s="48"/>
    </row>
    <row customHeight="1" ht="11.25">
      <c r="A118" s="48"/>
      <c r="B118" s="48"/>
    </row>
    <row customHeight="1" ht="11.25">
      <c r="A119" s="48"/>
      <c r="B119" s="48"/>
    </row>
    <row customHeight="1" ht="11.25">
      <c r="A120" s="48"/>
      <c r="B120" s="48"/>
    </row>
    <row customHeight="1" ht="11.25">
      <c r="A121" s="48"/>
      <c r="B121" s="48"/>
    </row>
    <row customHeight="1" ht="11.25">
      <c r="A122" s="48"/>
      <c r="B122" s="48"/>
    </row>
    <row customHeight="1" ht="11.25">
      <c r="A123" s="48"/>
      <c r="B123" s="48"/>
    </row>
    <row customHeight="1" ht="11.25">
      <c r="A124" s="48"/>
      <c r="B124" s="48"/>
    </row>
    <row customHeight="1" ht="11.25">
      <c r="A125" s="48"/>
      <c r="B125" s="48"/>
    </row>
    <row customHeight="1" ht="11.25">
      <c r="A126" s="48"/>
      <c r="B126" s="48"/>
    </row>
    <row customHeight="1" ht="11.25">
      <c r="A127" s="48"/>
      <c r="B127" s="48"/>
    </row>
    <row customHeight="1" ht="11.25">
      <c r="A128" s="48"/>
      <c r="B128" s="48"/>
    </row>
    <row customHeight="1" ht="11.25">
      <c r="A129" s="48"/>
      <c r="B129" s="48"/>
    </row>
    <row customHeight="1" ht="11.25">
      <c r="A130" s="48"/>
      <c r="B130" s="48"/>
    </row>
    <row customHeight="1" ht="11.25">
      <c r="A131" s="48"/>
      <c r="B131" s="48"/>
    </row>
    <row customHeight="1" ht="11.25">
      <c r="A132" s="48"/>
      <c r="B132" s="48"/>
    </row>
    <row customHeight="1" ht="11.25">
      <c r="A133" s="48"/>
      <c r="B133" s="48"/>
    </row>
    <row customHeight="1" ht="11.25">
      <c r="A134" s="48"/>
      <c r="B134" s="48"/>
    </row>
    <row customHeight="1" ht="11.25">
      <c r="A135" s="48"/>
      <c r="B135" s="48"/>
    </row>
    <row customHeight="1" ht="11.25">
      <c r="A136" s="48"/>
      <c r="B136" s="48"/>
    </row>
    <row customHeight="1" ht="11.25">
      <c r="A137" s="48"/>
      <c r="B137" s="48"/>
    </row>
    <row customHeight="1" ht="11.25">
      <c r="A138" s="48"/>
      <c r="B138" s="48"/>
    </row>
    <row customHeight="1" ht="11.25">
      <c r="A139" s="48"/>
      <c r="B139" s="48"/>
    </row>
    <row customHeight="1" ht="11.25">
      <c r="A140" s="48"/>
      <c r="B140" s="48"/>
    </row>
    <row customHeight="1" ht="11.25">
      <c r="A141" s="48"/>
      <c r="B141" s="48"/>
    </row>
    <row customHeight="1" ht="11.25">
      <c r="A142" s="48"/>
      <c r="B142" s="48"/>
    </row>
    <row customHeight="1" ht="11.25">
      <c r="A143" s="48"/>
      <c r="B143" s="48"/>
    </row>
    <row customHeight="1" ht="11.25">
      <c r="A144" s="48"/>
      <c r="B144" s="48"/>
    </row>
    <row customHeight="1" ht="11.25">
      <c r="A145" s="48"/>
      <c r="B145" s="48"/>
    </row>
    <row customHeight="1" ht="11.25">
      <c r="A146" s="48"/>
      <c r="B146" s="48"/>
    </row>
    <row customHeight="1" ht="11.25">
      <c r="A147" s="48"/>
      <c r="B147" s="48"/>
    </row>
    <row customHeight="1" ht="11.25">
      <c r="A148" s="48"/>
      <c r="B148" s="48"/>
    </row>
    <row customHeight="1" ht="11.25">
      <c r="A149" s="48"/>
      <c r="B149" s="48"/>
    </row>
    <row customHeight="1" ht="11.25">
      <c r="A150" s="48"/>
      <c r="B150" s="48"/>
    </row>
    <row customHeight="1" ht="11.25">
      <c r="A151" s="48"/>
      <c r="B151" s="48"/>
    </row>
    <row customHeight="1" ht="11.25">
      <c r="A152" s="48"/>
      <c r="B152" s="48"/>
    </row>
    <row customHeight="1" ht="11.25">
      <c r="A153" s="48"/>
      <c r="B153" s="48"/>
    </row>
    <row customHeight="1" ht="11.25">
      <c r="A154" s="48"/>
      <c r="B154" s="48"/>
    </row>
    <row customHeight="1" ht="11.25">
      <c r="A155" s="48"/>
      <c r="B155" s="48"/>
    </row>
    <row customHeight="1" ht="11.25">
      <c r="A156" s="48"/>
      <c r="B156" s="48"/>
    </row>
    <row customHeight="1" ht="11.25">
      <c r="A157" s="48"/>
      <c r="B157" s="48"/>
    </row>
    <row customHeight="1" ht="11.25">
      <c r="A158" s="48"/>
      <c r="B158" s="48"/>
    </row>
    <row customHeight="1" ht="11.25">
      <c r="A159" s="48"/>
      <c r="B159" s="48"/>
    </row>
    <row customHeight="1" ht="11.25">
      <c r="A160" s="48"/>
      <c r="B160" s="48"/>
    </row>
    <row customHeight="1" ht="11.25">
      <c r="A161" s="48"/>
      <c r="B161" s="48"/>
    </row>
    <row customHeight="1" ht="11.25">
      <c r="A162" s="48"/>
      <c r="B162" s="48"/>
    </row>
    <row customHeight="1" ht="11.25">
      <c r="A163" s="48"/>
      <c r="B163" s="48"/>
    </row>
    <row customHeight="1" ht="11.25">
      <c r="A164" s="48"/>
      <c r="B164" s="48"/>
    </row>
    <row customHeight="1" ht="11.25">
      <c r="A165" s="48"/>
      <c r="B165" s="48"/>
    </row>
    <row customHeight="1" ht="11.25">
      <c r="A166" s="48"/>
      <c r="B166" s="48"/>
    </row>
    <row customHeight="1" ht="11.25">
      <c r="A167" s="48"/>
      <c r="B167" s="48"/>
    </row>
    <row customHeight="1" ht="11.25">
      <c r="A168" s="48"/>
      <c r="B168" s="48"/>
    </row>
    <row customHeight="1" ht="11.25">
      <c r="A169" s="48"/>
      <c r="B169" s="48"/>
    </row>
    <row customHeight="1" ht="11.25">
      <c r="A170" s="48"/>
      <c r="B170" s="48"/>
    </row>
    <row customHeight="1" ht="11.25">
      <c r="A171" s="48"/>
      <c r="B171" s="48"/>
    </row>
    <row customHeight="1" ht="11.25">
      <c r="A172" s="48"/>
      <c r="B172" s="48"/>
    </row>
    <row customHeight="1" ht="11.25">
      <c r="A173" s="48"/>
      <c r="B173" s="48"/>
    </row>
    <row customHeight="1" ht="11.25">
      <c r="A174" s="48"/>
      <c r="B174" s="48"/>
    </row>
    <row customHeight="1" ht="11.25">
      <c r="A175" s="48"/>
      <c r="B175" s="48"/>
    </row>
    <row customHeight="1" ht="11.25">
      <c r="A176" s="48"/>
      <c r="B176" s="48"/>
    </row>
    <row customHeight="1" ht="11.25">
      <c r="A177" s="48"/>
      <c r="B177" s="48"/>
    </row>
    <row customHeight="1" ht="11.25">
      <c r="A178" s="48"/>
      <c r="B178" s="48"/>
    </row>
    <row customHeight="1" ht="11.25">
      <c r="A179" s="48"/>
      <c r="B179" s="48"/>
    </row>
    <row customHeight="1" ht="11.25">
      <c r="A180" s="48"/>
      <c r="B180" s="48"/>
    </row>
    <row customHeight="1" ht="11.25">
      <c r="A181" s="48"/>
      <c r="B181" s="48"/>
    </row>
    <row customHeight="1" ht="11.25">
      <c r="A182" s="48"/>
      <c r="B182" s="48"/>
    </row>
    <row customHeight="1" ht="11.25">
      <c r="A183" s="48"/>
      <c r="B183" s="48"/>
    </row>
    <row customHeight="1" ht="11.25">
      <c r="A184" s="48"/>
      <c r="B184" s="48"/>
    </row>
    <row customHeight="1" ht="11.25">
      <c r="A185" s="48"/>
      <c r="B185" s="48"/>
    </row>
    <row customHeight="1" ht="11.25">
      <c r="A186" s="48"/>
      <c r="B186" s="48"/>
    </row>
    <row customHeight="1" ht="11.25">
      <c r="A187" s="48"/>
      <c r="B187" s="48"/>
    </row>
    <row customHeight="1" ht="11.25">
      <c r="A188" s="48"/>
      <c r="B188" s="48"/>
    </row>
    <row customHeight="1" ht="11.25">
      <c r="A189" s="48"/>
      <c r="B189" s="48"/>
    </row>
    <row customHeight="1" ht="11.25">
      <c r="A190" s="48"/>
      <c r="B190" s="48"/>
    </row>
    <row customHeight="1" ht="11.25">
      <c r="A191" s="48"/>
      <c r="B191" s="48"/>
    </row>
    <row customHeight="1" ht="11.25">
      <c r="A192" s="48"/>
      <c r="B192" s="48"/>
    </row>
    <row customHeight="1" ht="11.25">
      <c r="A193" s="48"/>
      <c r="B193" s="48"/>
    </row>
    <row customHeight="1" ht="11.25">
      <c r="A194" s="48"/>
      <c r="B194" s="48"/>
    </row>
    <row customHeight="1" ht="11.25">
      <c r="A195" s="48"/>
      <c r="B195" s="48"/>
    </row>
    <row customHeight="1" ht="11.25">
      <c r="A196" s="48"/>
      <c r="B196" s="48"/>
    </row>
    <row customHeight="1" ht="11.25">
      <c r="A197" s="48"/>
      <c r="B197" s="48"/>
    </row>
    <row customHeight="1" ht="11.25">
      <c r="A198" s="48"/>
      <c r="B198" s="48"/>
    </row>
    <row customHeight="1" ht="11.25">
      <c r="A199" s="48"/>
      <c r="B199" s="48"/>
    </row>
    <row customHeight="1" ht="11.25">
      <c r="A200" s="48"/>
      <c r="B200" s="48"/>
    </row>
    <row customHeight="1" ht="11.25">
      <c r="A201" s="48"/>
      <c r="B201" s="48"/>
    </row>
    <row customHeight="1" ht="11.25">
      <c r="A202" s="48"/>
      <c r="B202" s="48"/>
    </row>
    <row customHeight="1" ht="11.25">
      <c r="A203" s="48"/>
      <c r="B203" s="48"/>
    </row>
    <row customHeight="1" ht="11.25">
      <c r="A204" s="48"/>
      <c r="B204" s="48"/>
    </row>
    <row customHeight="1" ht="11.25">
      <c r="A205" s="48"/>
      <c r="B205" s="48"/>
    </row>
    <row customHeight="1" ht="11.25">
      <c r="A206" s="48"/>
      <c r="B206" s="48"/>
    </row>
    <row customHeight="1" ht="11.25">
      <c r="A207" s="48"/>
      <c r="B207" s="48"/>
    </row>
    <row customHeight="1" ht="11.25">
      <c r="A208" s="48"/>
      <c r="B208" s="48"/>
    </row>
    <row customHeight="1" ht="11.25">
      <c r="A209" s="48"/>
      <c r="B209" s="48"/>
    </row>
    <row customHeight="1" ht="11.25">
      <c r="A210" s="48"/>
      <c r="B210" s="48"/>
    </row>
    <row customHeight="1" ht="11.25">
      <c r="A211" s="48"/>
      <c r="B211" s="48"/>
    </row>
    <row customHeight="1" ht="11.25">
      <c r="A212" s="48"/>
      <c r="B212" s="48"/>
    </row>
    <row customHeight="1" ht="11.25">
      <c r="A213" s="48"/>
      <c r="B213" s="48"/>
    </row>
    <row customHeight="1" ht="11.25">
      <c r="A214" s="48"/>
      <c r="B214" s="48"/>
    </row>
    <row customHeight="1" ht="11.25">
      <c r="A215" s="48"/>
      <c r="B215" s="48"/>
    </row>
    <row customHeight="1" ht="11.25">
      <c r="A216" s="48"/>
      <c r="B216" s="48"/>
    </row>
    <row customHeight="1" ht="11.25">
      <c r="A217" s="48"/>
      <c r="B217" s="48"/>
    </row>
    <row customHeight="1" ht="11.25">
      <c r="A218" s="48"/>
      <c r="B218" s="48"/>
    </row>
    <row customHeight="1" ht="11.25">
      <c r="A219" s="48"/>
      <c r="B219" s="48"/>
    </row>
    <row customHeight="1" ht="11.25">
      <c r="A220" s="48"/>
      <c r="B220" s="48"/>
    </row>
    <row customHeight="1" ht="11.25">
      <c r="A221" s="48"/>
      <c r="B221" s="48"/>
    </row>
    <row customHeight="1" ht="11.25">
      <c r="A222" s="48"/>
      <c r="B222" s="48"/>
    </row>
    <row customHeight="1" ht="11.25">
      <c r="A223" s="48"/>
      <c r="B223" s="48"/>
    </row>
    <row customHeight="1" ht="11.25">
      <c r="A224" s="48"/>
      <c r="B224" s="48"/>
    </row>
    <row customHeight="1" ht="11.25">
      <c r="A225" s="48"/>
      <c r="B225" s="48"/>
    </row>
    <row customHeight="1" ht="11.25">
      <c r="A226" s="48"/>
      <c r="B226" s="48"/>
    </row>
    <row customHeight="1" ht="11.25">
      <c r="A227" s="48"/>
      <c r="B227" s="48"/>
    </row>
    <row customHeight="1" ht="11.25">
      <c r="A228" s="48"/>
      <c r="B228" s="48"/>
    </row>
    <row customHeight="1" ht="11.25">
      <c r="A229" s="48"/>
      <c r="B229" s="48"/>
    </row>
    <row customHeight="1" ht="11.25">
      <c r="A230" s="48"/>
      <c r="B230" s="48"/>
    </row>
    <row customHeight="1" ht="11.25">
      <c r="A231" s="48"/>
      <c r="B231" s="48"/>
    </row>
    <row customHeight="1" ht="11.25">
      <c r="A232" s="48"/>
      <c r="B232" s="48"/>
    </row>
    <row customHeight="1" ht="11.25">
      <c r="A233" s="48"/>
      <c r="B233" s="48"/>
    </row>
    <row customHeight="1" ht="11.25">
      <c r="A234" s="48"/>
      <c r="B234" s="48"/>
    </row>
    <row customHeight="1" ht="11.25">
      <c r="A235" s="48"/>
      <c r="B235" s="48"/>
    </row>
    <row customHeight="1" ht="11.25">
      <c r="A236" s="48"/>
      <c r="B236" s="48"/>
    </row>
    <row customHeight="1" ht="11.25">
      <c r="A237" s="48"/>
      <c r="B237" s="48"/>
    </row>
    <row customHeight="1" ht="11.25">
      <c r="A238" s="48"/>
      <c r="B238" s="48"/>
    </row>
    <row customHeight="1" ht="11.25">
      <c r="A239" s="48"/>
      <c r="B239" s="48"/>
    </row>
    <row customHeight="1" ht="11.25">
      <c r="A240" s="48"/>
      <c r="B240" s="48"/>
    </row>
    <row customHeight="1" ht="11.25">
      <c r="A241" s="48"/>
      <c r="B241" s="48"/>
    </row>
    <row customHeight="1" ht="11.25">
      <c r="A242" s="48"/>
      <c r="B242" s="48"/>
    </row>
    <row customHeight="1" ht="11.25">
      <c r="A243" s="48"/>
      <c r="B243" s="48"/>
    </row>
    <row customHeight="1" ht="11.25">
      <c r="A244" s="48"/>
      <c r="B244" s="48"/>
    </row>
    <row customHeight="1" ht="11.25">
      <c r="A245" s="48"/>
      <c r="B245" s="48"/>
    </row>
    <row customHeight="1" ht="11.25">
      <c r="A246" s="48"/>
      <c r="B246" s="48"/>
    </row>
    <row customHeight="1" ht="11.25">
      <c r="A247" s="48"/>
      <c r="B247" s="48"/>
    </row>
    <row customHeight="1" ht="11.25">
      <c r="A248" s="48"/>
      <c r="B248" s="48"/>
    </row>
    <row customHeight="1" ht="11.25">
      <c r="A249" s="48"/>
      <c r="B249" s="48"/>
    </row>
    <row customHeight="1" ht="11.25">
      <c r="A250" s="48"/>
      <c r="B250" s="48"/>
    </row>
    <row customHeight="1" ht="11.25">
      <c r="A251" s="48"/>
      <c r="B251" s="48"/>
    </row>
    <row customHeight="1" ht="11.25">
      <c r="A252" s="48"/>
      <c r="B252" s="48"/>
    </row>
    <row customHeight="1" ht="11.25">
      <c r="A253" s="48"/>
      <c r="B253" s="48"/>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9DC09D-3CEE-8C13-23D2-07653EB606A6}"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515" width="3.7109375" customWidth="1"/>
    <col min="2" max="2" style="2515" width="90.7109375" customWidth="1"/>
    <col min="3" max="4" style="2515" width="9.140625"/>
  </cols>
  <sheetData>
    <row customHeight="1" ht="11.25">
      <c r="B1" s="78" t="s">
        <v>3083</v>
      </c>
    </row>
    <row customHeight="1" ht="90">
      <c r="B2" s="79" t="s">
        <v>3084</v>
      </c>
    </row>
    <row customHeight="1" ht="67.5">
      <c r="B3" s="79" t="s">
        <v>3085</v>
      </c>
    </row>
    <row customHeight="1" ht="33.75">
      <c r="B4" s="79" t="s">
        <v>3086</v>
      </c>
    </row>
    <row customHeight="1" ht="11.25">
      <c r="B5" s="79" t="s">
        <v>3087</v>
      </c>
    </row>
    <row customHeight="1" ht="22.5">
      <c r="B6" s="79" t="s">
        <v>3088</v>
      </c>
    </row>
    <row customHeight="1" ht="22.5">
      <c r="B7" s="79" t="s">
        <v>3089</v>
      </c>
    </row>
    <row customHeight="1" ht="22.5">
      <c r="B8" s="79" t="s">
        <v>3090</v>
      </c>
    </row>
    <row customHeight="1" ht="22.5">
      <c r="B9" s="79" t="s">
        <v>3091</v>
      </c>
    </row>
    <row customHeight="1" ht="56.25">
      <c r="B10" s="79" t="s">
        <v>3092</v>
      </c>
    </row>
    <row customHeight="1" ht="12.75">
      <c r="B11" s="145" t="s">
        <v>3093</v>
      </c>
    </row>
    <row customHeight="1" ht="11.25">
      <c r="B12" s="78" t="s">
        <v>3094</v>
      </c>
    </row>
    <row customHeight="1" ht="22.5">
      <c r="B13" s="79" t="s">
        <v>3095</v>
      </c>
    </row>
    <row customHeight="1" ht="67.5">
      <c r="B14" s="79" t="s">
        <v>3096</v>
      </c>
    </row>
    <row customHeight="1" ht="22.5">
      <c r="B15" s="79" t="s">
        <v>3097</v>
      </c>
    </row>
    <row customHeight="1" ht="11.25">
      <c r="B16" s="78" t="s">
        <v>3098</v>
      </c>
      <c r="D16" s="86"/>
    </row>
    <row customHeight="1" ht="33.75">
      <c r="B17" s="79" t="s">
        <v>3099</v>
      </c>
    </row>
    <row customHeight="1" ht="33.75">
      <c r="B18" s="79" t="s">
        <v>3100</v>
      </c>
    </row>
    <row customHeight="1" ht="11.25">
      <c r="B19" s="79" t="s">
        <v>3101</v>
      </c>
    </row>
    <row customHeight="1" ht="33.75">
      <c r="B20" s="79" t="s">
        <v>3102</v>
      </c>
    </row>
    <row customHeight="1" ht="11.25">
      <c r="B21" s="78" t="s">
        <v>3103</v>
      </c>
    </row>
    <row customHeight="1" ht="11.25">
      <c r="B22" s="79" t="s">
        <v>3104</v>
      </c>
    </row>
    <row r="24" customHeight="1" ht="22.5">
      <c r="B24" s="147" t="s">
        <v>3105</v>
      </c>
    </row>
    <row r="26" customHeight="1" ht="11.25">
      <c r="B26" s="78" t="s">
        <v>3106</v>
      </c>
    </row>
    <row customHeight="1" ht="22.5">
      <c r="B27" s="146" t="s">
        <v>611</v>
      </c>
    </row>
    <row customHeight="1" ht="56.25">
      <c r="B28" s="146" t="s">
        <v>3107</v>
      </c>
    </row>
    <row customHeight="1" ht="11.25">
      <c r="B29" s="196" t="s">
        <v>3108</v>
      </c>
    </row>
    <row customHeight="1" ht="22.5">
      <c r="B30" s="146" t="s">
        <v>3109</v>
      </c>
    </row>
    <row r="32" customHeight="1" ht="11.25">
      <c r="A32" s="174"/>
      <c r="B32" s="175" t="s">
        <v>3110</v>
      </c>
    </row>
    <row customHeight="1" ht="14.25">
      <c r="A33" s="176">
        <v>1</v>
      </c>
      <c r="B33" s="177" t="s">
        <v>3111</v>
      </c>
    </row>
    <row customHeight="1" ht="14.25">
      <c r="A34" s="176">
        <v>2</v>
      </c>
      <c r="B34" s="177" t="s">
        <v>3112</v>
      </c>
    </row>
    <row customHeight="1" ht="11.25">
      <c r="B35" s="175" t="s">
        <v>3113</v>
      </c>
    </row>
    <row customHeight="1" ht="11.25">
      <c r="B36" s="177" t="s">
        <v>3114</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4053BF-C1BA-B351-F64E-1ABC54663B57}" mc:Ignorable="x14ac xr xr2 xr3">
  <sheetPr>
    <tabColor theme="3" tint="0.6"/>
  </sheetPr>
  <dimension ref="A1:U17"/>
  <sheetViews>
    <sheetView topLeftCell="A1" showGridLines="0" zoomScale="90" workbookViewId="0">
      <selection activeCell="A1" sqref="A1"/>
    </sheetView>
  </sheetViews>
  <sheetFormatPr defaultColWidth="10.57421875" customHeight="1" defaultRowHeight="14.25"/>
  <cols>
    <col min="1" max="1" style="3219" width="9.140625" hidden="1" customWidth="1"/>
    <col min="2" max="2" style="3216" width="9.140625" hidden="1" customWidth="1"/>
    <col min="3" max="3" style="3194" width="3.7109375" customWidth="1"/>
    <col min="4" max="4" style="3216" width="5.57421875" customWidth="1"/>
    <col min="5" max="5" style="3216" width="38.140625" customWidth="1"/>
    <col min="6" max="7" style="3216" width="3.7109375" customWidth="1"/>
    <col min="8" max="8" style="3216" width="38.28125" customWidth="1"/>
    <col min="9" max="9" style="3216" width="35.7109375" customWidth="1"/>
    <col min="10" max="10" style="3216" width="103.7109375" customWidth="1"/>
    <col min="11" max="11" style="2991" width="3.7109375" customWidth="1"/>
    <col min="12" max="14" style="3209" width="10.57421875"/>
    <col min="15" max="15" style="3209" width="13.7109375" customWidth="1"/>
    <col min="16" max="16" style="3209" width="15.421875" customWidth="1"/>
    <col min="17" max="17" style="3209" width="16.28125" customWidth="1"/>
    <col min="18" max="21" style="3209" width="10.57421875"/>
  </cols>
  <sheetData>
    <row customHeight="1" ht="14.25" hidden="1">
      <c r="E1" s="418"/>
      <c r="F1" s="418"/>
      <c r="G1" s="418"/>
      <c r="H1" s="2082" t="s">
        <v>567</v>
      </c>
      <c r="I1" s="2082"/>
    </row>
    <row s="3197" customFormat="1" customHeight="1" ht="14.25" hidden="1">
      <c r="C2" s="1659"/>
      <c r="D2" s="2086" t="s">
        <v>193</v>
      </c>
      <c r="E2" s="2088"/>
      <c r="F2" s="1665"/>
      <c r="G2" s="1660" t="s">
        <v>193</v>
      </c>
      <c r="H2" s="1663"/>
      <c r="I2" s="1661"/>
      <c r="L2" s="1662"/>
      <c r="M2" s="1662"/>
      <c r="N2" s="1662"/>
      <c r="O2" s="1662" t="s">
        <v>597</v>
      </c>
      <c r="P2" s="1662"/>
      <c r="Q2" s="1662"/>
      <c r="R2" s="1664" t="s">
        <v>596</v>
      </c>
      <c r="S2" s="1664" t="s">
        <v>596</v>
      </c>
      <c r="T2" s="1662"/>
      <c r="U2" s="1662"/>
    </row>
    <row s="3197" customFormat="1" customHeight="1" ht="14.25" hidden="1">
      <c r="C3" s="1659"/>
      <c r="D3" s="2087"/>
      <c r="E3" s="2089"/>
      <c r="F3" s="411"/>
      <c r="G3" s="875"/>
      <c r="H3" s="875" t="s">
        <v>598</v>
      </c>
      <c r="I3" s="303"/>
      <c r="L3" s="1662"/>
      <c r="M3" s="1662"/>
      <c r="N3" s="1662"/>
      <c r="O3" s="1662"/>
      <c r="P3" s="1662"/>
      <c r="Q3" s="1662"/>
      <c r="R3" s="1664"/>
      <c r="S3" s="1664"/>
      <c r="T3" s="1662"/>
      <c r="U3" s="1662"/>
    </row>
    <row customHeight="1" ht="14.25" hidden="1"/>
    <row s="3208" customFormat="1" customHeight="1" ht="6">
      <c r="C5" s="707"/>
      <c r="D5" s="708"/>
      <c r="E5" s="708"/>
      <c r="F5" s="708"/>
      <c r="G5" s="708"/>
      <c r="H5" s="708" t="s">
        <v>571</v>
      </c>
      <c r="I5" s="708"/>
      <c r="J5" s="708"/>
      <c r="L5" s="1654"/>
      <c r="M5" s="1654"/>
      <c r="N5" s="1654"/>
      <c r="O5" s="1654"/>
      <c r="P5" s="1654"/>
      <c r="Q5" s="1654"/>
      <c r="R5" s="1654"/>
      <c r="S5" s="1654"/>
      <c r="T5" s="1654"/>
      <c r="U5" s="1654"/>
    </row>
    <row customHeight="1" ht="27.75">
      <c r="C6" s="1546"/>
      <c r="D6" s="2085" t="s">
        <v>599</v>
      </c>
      <c r="E6" s="2085"/>
      <c r="F6" s="2085"/>
      <c r="G6" s="2085"/>
      <c r="H6" s="2085"/>
      <c r="I6" s="2085"/>
      <c r="J6" s="497"/>
      <c r="K6" s="1655"/>
    </row>
    <row customHeight="1" ht="17.25">
      <c r="C7" s="1546"/>
      <c r="D7" s="2053" t="str">
        <f>IF(org=0,"Не определено",org)</f>
        <v>АО "Мурманэнергосбыт"</v>
      </c>
      <c r="E7" s="2053"/>
      <c r="F7" s="2053"/>
      <c r="G7" s="2053"/>
      <c r="H7" s="2053"/>
      <c r="I7" s="2053"/>
      <c r="J7" s="497"/>
      <c r="K7" s="1655"/>
    </row>
    <row s="3213" customFormat="1" customHeight="1" ht="6">
      <c r="A8" s="1651"/>
      <c r="C8" s="492"/>
      <c r="D8" s="491"/>
      <c r="E8" s="491"/>
      <c r="F8" s="491"/>
      <c r="G8" s="491"/>
      <c r="H8" s="491"/>
      <c r="I8" s="491"/>
      <c r="J8" s="491"/>
      <c r="L8" s="1654"/>
      <c r="M8" s="1654"/>
      <c r="N8" s="1654"/>
      <c r="O8" s="1654"/>
      <c r="P8" s="1654"/>
      <c r="Q8" s="1654"/>
      <c r="R8" s="1654"/>
      <c r="S8" s="1654"/>
      <c r="T8" s="1654"/>
      <c r="U8" s="1654"/>
    </row>
    <row s="3213" customFormat="1" customHeight="1" ht="6">
      <c r="A9" s="1651"/>
      <c r="C9" s="492"/>
      <c r="D9" s="491"/>
      <c r="E9" s="491"/>
      <c r="F9" s="491"/>
      <c r="G9" s="491"/>
      <c r="H9" s="491"/>
      <c r="I9" s="491"/>
      <c r="J9" s="491"/>
      <c r="L9" s="1662"/>
      <c r="M9" s="1662"/>
      <c r="N9" s="1662"/>
      <c r="O9" s="1662"/>
      <c r="P9" s="1662"/>
      <c r="Q9" s="1662"/>
      <c r="R9" s="1662"/>
      <c r="S9" s="1662"/>
      <c r="T9" s="1662"/>
      <c r="U9" s="1662"/>
    </row>
    <row customHeight="1" ht="14.25">
      <c r="C10" s="1546"/>
      <c r="D10" s="2068" t="s">
        <v>513</v>
      </c>
      <c r="E10" s="2083"/>
      <c r="F10" s="2083"/>
      <c r="G10" s="2083"/>
      <c r="H10" s="2083"/>
      <c r="I10" s="2083"/>
      <c r="J10" s="2067" t="s">
        <v>514</v>
      </c>
    </row>
    <row customHeight="1" ht="25.5">
      <c r="C11" s="1546"/>
      <c r="D11" s="1971" t="s">
        <v>89</v>
      </c>
      <c r="E11" s="2067" t="str">
        <f>IF(TEMPLATE_SPHERE&lt;&gt;"HEAT","Регулируемый вид деятельности","Вид регулируемой деятельности")</f>
        <v>Вид регулируемой деятельности</v>
      </c>
      <c r="F11" s="2029" t="s">
        <v>89</v>
      </c>
      <c r="G11" s="2030"/>
      <c r="H11" s="2028" t="s">
        <v>600</v>
      </c>
      <c r="I11" s="2028" t="s">
        <v>601</v>
      </c>
      <c r="J11" s="2067"/>
    </row>
    <row customHeight="1" ht="14.25">
      <c r="C12" s="1546"/>
      <c r="D12" s="1971"/>
      <c r="E12" s="2067"/>
      <c r="F12" s="2037"/>
      <c r="G12" s="2038"/>
      <c r="H12" s="2090"/>
      <c r="I12" s="2090"/>
      <c r="J12" s="2067"/>
    </row>
    <row s="2611" customFormat="1" customHeight="1" ht="11.25" hidden="1">
      <c r="C13" s="504"/>
      <c r="D13" s="505" t="s">
        <v>591</v>
      </c>
      <c r="E13" s="505"/>
      <c r="F13" s="505"/>
      <c r="G13" s="505"/>
      <c r="H13" s="503"/>
      <c r="I13" s="503"/>
      <c r="J13" s="441"/>
      <c r="L13" s="1654"/>
      <c r="M13" s="1654"/>
      <c r="N13" s="1654"/>
      <c r="O13" s="1654"/>
      <c r="P13" s="1654"/>
      <c r="Q13" s="1654"/>
      <c r="R13" s="1654"/>
      <c r="S13" s="1654"/>
      <c r="T13" s="1654"/>
      <c r="U13" s="1654"/>
    </row>
    <row customHeight="1" ht="14.25">
      <c r="A14" s="1647"/>
      <c r="C14" s="1546"/>
      <c r="D14" s="2086" t="s">
        <v>193</v>
      </c>
      <c r="E14" s="2088"/>
      <c r="F14" s="1657"/>
      <c r="G14" s="1656" t="s">
        <v>193</v>
      </c>
      <c r="H14" s="1663"/>
      <c r="I14" s="1661"/>
      <c r="J14" s="2015" t="s">
        <v>602</v>
      </c>
      <c r="K14" s="1647"/>
      <c r="R14" s="506" t="s">
        <v>596</v>
      </c>
      <c r="S14" s="506" t="s">
        <v>596</v>
      </c>
    </row>
    <row customHeight="1" ht="14.25">
      <c r="A15" s="1647"/>
      <c r="C15" s="1546"/>
      <c r="D15" s="2087"/>
      <c r="E15" s="2089"/>
      <c r="F15" s="411"/>
      <c r="G15" s="875"/>
      <c r="H15" s="875" t="s">
        <v>598</v>
      </c>
      <c r="I15" s="303"/>
      <c r="J15" s="2016"/>
      <c r="K15" s="1647"/>
      <c r="R15" s="506"/>
      <c r="S15" s="506"/>
    </row>
    <row customHeight="1" ht="14.25">
      <c r="A16" s="1647"/>
      <c r="C16" s="1546"/>
      <c r="D16" s="411"/>
      <c r="E16" s="875" t="s">
        <v>202</v>
      </c>
      <c r="F16" s="303"/>
      <c r="G16" s="303"/>
      <c r="H16" s="412"/>
      <c r="I16" s="412"/>
      <c r="J16" s="2017"/>
      <c r="K16" s="1647"/>
    </row>
    <row customHeight="1" ht="14.25">
      <c r="K17" s="1647"/>
    </row>
  </sheetData>
  <sheetProtection formatColumns="0" formatRows="0" autoFilter="0" sort="0" insertRows="0" insertColumns="1" deleteRows="0" deleteColumns="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1913</vt:i4>
      </vt:variant>
    </vt:vector>
  </HeadingPairs>
  <TitlesOfParts>
    <vt:vector size="1914"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2023-10-08T20:57:54Z</dcterms:modified>
</cp:coreProperties>
</file>

<file path=docProps/custom.xml><?xml version="1.0" encoding="utf-8"?>
<Properties xmlns="http://schemas.openxmlformats.org/officeDocument/2006/custom-properties" xmlns:vt="http://schemas.openxmlformats.org/officeDocument/2006/docPropsVTypes"/>
</file>